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drawings/drawing2.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4590" windowWidth="7200" windowHeight="4605"/>
  </bookViews>
  <sheets>
    <sheet name="まとめ" sheetId="1" r:id="rId1"/>
    <sheet name="元表" sheetId="2" r:id="rId2"/>
    <sheet name="作業途中" sheetId="3" r:id="rId3"/>
    <sheet name="一廃実調" sheetId="4" r:id="rId4"/>
    <sheet name="月間量回帰式" sheetId="5" r:id="rId5"/>
    <sheet name="維持管理" sheetId="6" r:id="rId6"/>
  </sheets>
  <definedNames>
    <definedName name="下駄1">#REF!</definedName>
    <definedName name="下駄2">#REF!</definedName>
    <definedName name="事故日">まとめ!$AY$32</definedName>
    <definedName name="事故日の濃度1">#REF!</definedName>
    <definedName name="事故日の濃度2">#REF!</definedName>
    <definedName name="除数11">#REF!</definedName>
    <definedName name="除数12">#REF!</definedName>
    <definedName name="除数21">#REF!</definedName>
    <definedName name="除数22">#REF!</definedName>
    <definedName name="調査初日">まとめ!$AY$33</definedName>
    <definedName name="半1">#REF!</definedName>
    <definedName name="半2">#REF!</definedName>
    <definedName name="半Cs134">まとめ!$BD$28</definedName>
    <definedName name="半Cs137">まとめ!$BE$28</definedName>
    <definedName name="半I131">まとめ!$BC$28</definedName>
  </definedNames>
  <calcPr calcId="145621" refMode="R1C1"/>
</workbook>
</file>

<file path=xl/calcChain.xml><?xml version="1.0" encoding="utf-8"?>
<calcChain xmlns="http://schemas.openxmlformats.org/spreadsheetml/2006/main">
  <c r="BW57" i="1" l="1"/>
  <c r="BX57" i="1"/>
  <c r="BW58" i="1"/>
  <c r="BX58" i="1"/>
  <c r="BW59" i="1"/>
  <c r="BX59" i="1"/>
  <c r="BW60" i="1"/>
  <c r="BX60" i="1"/>
  <c r="BW61" i="1"/>
  <c r="BX61" i="1"/>
  <c r="BW62" i="1"/>
  <c r="BX62" i="1"/>
  <c r="BW63" i="1"/>
  <c r="BX63" i="1"/>
  <c r="BW64" i="1"/>
  <c r="BX64" i="1"/>
  <c r="BW65" i="1"/>
  <c r="BX65" i="1"/>
  <c r="BW66" i="1"/>
  <c r="BX66" i="1"/>
  <c r="BW67" i="1"/>
  <c r="BX67" i="1"/>
  <c r="BW68" i="1"/>
  <c r="BX68" i="1"/>
  <c r="BW69" i="1"/>
  <c r="BX69" i="1"/>
  <c r="BW70" i="1"/>
  <c r="BX70" i="1"/>
  <c r="BW71" i="1"/>
  <c r="BX71" i="1"/>
  <c r="BW72" i="1"/>
  <c r="BX72" i="1"/>
  <c r="BW73" i="1"/>
  <c r="BX73" i="1"/>
  <c r="BW74" i="1"/>
  <c r="BX74" i="1"/>
  <c r="BW75" i="1"/>
  <c r="BX75" i="1"/>
  <c r="BW76" i="1"/>
  <c r="BX76" i="1"/>
  <c r="BW77" i="1"/>
  <c r="BX77" i="1"/>
  <c r="BW78" i="1"/>
  <c r="BX78" i="1"/>
  <c r="BW79" i="1"/>
  <c r="BX79" i="1"/>
  <c r="BW80" i="1"/>
  <c r="BX80" i="1"/>
  <c r="BW81" i="1"/>
  <c r="BX81" i="1"/>
  <c r="BW82" i="1"/>
  <c r="BX82" i="1"/>
  <c r="BW83" i="1"/>
  <c r="BX83" i="1"/>
  <c r="BW84" i="1"/>
  <c r="BX84" i="1"/>
  <c r="BW85" i="1"/>
  <c r="BX85" i="1"/>
  <c r="BW86" i="1"/>
  <c r="BX86" i="1"/>
  <c r="BW87" i="1"/>
  <c r="BX87" i="1"/>
  <c r="BW88" i="1"/>
  <c r="BX88" i="1"/>
  <c r="BW89" i="1"/>
  <c r="BX89" i="1"/>
  <c r="BW90" i="1"/>
  <c r="BX90" i="1"/>
  <c r="BW91" i="1"/>
  <c r="BX91" i="1"/>
  <c r="BW92" i="1"/>
  <c r="BX92" i="1"/>
  <c r="BW93" i="1"/>
  <c r="BX93" i="1"/>
  <c r="BW94" i="1"/>
  <c r="BX94" i="1"/>
  <c r="BW95" i="1"/>
  <c r="BX95" i="1"/>
  <c r="BW96" i="1"/>
  <c r="BX96" i="1"/>
  <c r="BW97" i="1"/>
  <c r="BX97" i="1"/>
  <c r="BW98" i="1"/>
  <c r="BX98" i="1"/>
  <c r="BW99" i="1"/>
  <c r="BX99" i="1"/>
  <c r="BW100" i="1"/>
  <c r="BX100" i="1"/>
  <c r="BW101" i="1"/>
  <c r="BX101" i="1"/>
  <c r="BW102" i="1"/>
  <c r="BX102" i="1"/>
  <c r="BW103" i="1"/>
  <c r="BX103" i="1"/>
  <c r="BW104" i="1"/>
  <c r="BX104" i="1"/>
  <c r="BW105" i="1"/>
  <c r="BX105" i="1"/>
  <c r="BW106" i="1"/>
  <c r="BX106" i="1"/>
  <c r="BW107" i="1"/>
  <c r="BX107" i="1"/>
  <c r="BW108" i="1"/>
  <c r="BX108" i="1"/>
  <c r="BW109" i="1"/>
  <c r="BX109" i="1"/>
  <c r="BW110" i="1"/>
  <c r="BX110" i="1"/>
  <c r="BW111" i="1"/>
  <c r="BX111" i="1"/>
  <c r="BW112" i="1"/>
  <c r="BX112" i="1"/>
  <c r="BW113" i="1"/>
  <c r="BX113" i="1"/>
  <c r="BW114" i="1"/>
  <c r="BX114" i="1"/>
  <c r="BW115" i="1"/>
  <c r="BX115" i="1"/>
  <c r="BW116" i="1"/>
  <c r="BX116" i="1"/>
  <c r="BW117" i="1"/>
  <c r="BX117" i="1"/>
  <c r="BW118" i="1"/>
  <c r="BX118" i="1"/>
  <c r="BW119" i="1"/>
  <c r="BX119" i="1"/>
  <c r="BW34" i="1"/>
  <c r="BX34" i="1"/>
  <c r="BW35" i="1"/>
  <c r="BX35" i="1"/>
  <c r="BW36" i="1"/>
  <c r="BX36" i="1"/>
  <c r="BW37" i="1"/>
  <c r="BX37" i="1"/>
  <c r="BW38" i="1"/>
  <c r="BX38" i="1"/>
  <c r="BW39" i="1"/>
  <c r="BX39" i="1"/>
  <c r="BW40" i="1"/>
  <c r="BX40" i="1"/>
  <c r="BW41" i="1"/>
  <c r="BX41" i="1"/>
  <c r="BW42" i="1"/>
  <c r="BX42" i="1"/>
  <c r="BW43" i="1"/>
  <c r="BX43" i="1"/>
  <c r="BW44" i="1"/>
  <c r="BX44" i="1"/>
  <c r="BW45" i="1"/>
  <c r="BX45" i="1"/>
  <c r="BW46" i="1"/>
  <c r="BX46" i="1"/>
  <c r="BW47" i="1"/>
  <c r="BX47" i="1"/>
  <c r="BW48" i="1"/>
  <c r="BX48" i="1"/>
  <c r="BW49" i="1"/>
  <c r="BX49" i="1"/>
  <c r="BW50" i="1"/>
  <c r="BX50" i="1"/>
  <c r="BW51" i="1"/>
  <c r="BX51" i="1"/>
  <c r="BW52" i="1"/>
  <c r="BX52" i="1"/>
  <c r="BW53" i="1"/>
  <c r="BX53" i="1"/>
  <c r="BW54" i="1"/>
  <c r="BX54" i="1"/>
  <c r="BW55" i="1"/>
  <c r="BX55" i="1"/>
  <c r="BW56" i="1"/>
  <c r="BX56" i="1"/>
  <c r="BX33" i="1"/>
  <c r="BW33" i="1"/>
  <c r="Y119" i="1" l="1"/>
  <c r="Y118" i="1"/>
  <c r="Y117" i="1"/>
  <c r="Y116" i="1"/>
  <c r="Y115" i="1"/>
  <c r="Y114" i="1"/>
  <c r="Y113" i="1"/>
  <c r="Y112" i="1"/>
  <c r="Y111" i="1"/>
  <c r="Y110" i="1"/>
  <c r="Y109" i="1"/>
  <c r="Y108" i="1"/>
  <c r="Y107" i="1"/>
  <c r="Y106" i="1"/>
  <c r="Y105" i="1"/>
  <c r="Y104" i="1"/>
  <c r="Y103" i="1"/>
  <c r="Y102" i="1"/>
  <c r="Y101" i="1"/>
  <c r="Y100" i="1"/>
  <c r="Y99" i="1"/>
  <c r="Y98" i="1"/>
  <c r="Y97" i="1"/>
  <c r="Y96" i="1"/>
  <c r="Y95" i="1"/>
  <c r="Y94" i="1"/>
  <c r="Y93" i="1"/>
  <c r="Y92" i="1"/>
  <c r="Y91" i="1"/>
  <c r="Y90" i="1"/>
  <c r="Y89" i="1"/>
  <c r="Y88" i="1"/>
  <c r="Y87" i="1"/>
  <c r="Y86" i="1"/>
  <c r="Y85" i="1"/>
  <c r="Y84" i="1"/>
  <c r="Y83" i="1"/>
  <c r="Y82" i="1"/>
  <c r="Y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81" i="1"/>
  <c r="AT34" i="1"/>
  <c r="AT35" i="1"/>
  <c r="AT36" i="1"/>
  <c r="AT37" i="1"/>
  <c r="AT38" i="1"/>
  <c r="AT39" i="1"/>
  <c r="AT40" i="1"/>
  <c r="AT41" i="1"/>
  <c r="AT42" i="1"/>
  <c r="AT43" i="1"/>
  <c r="AT44" i="1"/>
  <c r="AT45" i="1"/>
  <c r="AT46" i="1"/>
  <c r="AT47" i="1"/>
  <c r="AT48" i="1"/>
  <c r="AT49" i="1"/>
  <c r="AT50" i="1"/>
  <c r="AT51" i="1"/>
  <c r="AT52" i="1"/>
  <c r="AT53" i="1"/>
  <c r="AT54" i="1"/>
  <c r="AT55" i="1"/>
  <c r="AT56" i="1"/>
  <c r="AT57" i="1"/>
  <c r="AT58" i="1"/>
  <c r="AT59" i="1"/>
  <c r="AT60" i="1"/>
  <c r="AT61" i="1"/>
  <c r="AT62" i="1"/>
  <c r="AT63" i="1"/>
  <c r="AT64" i="1"/>
  <c r="AT65" i="1"/>
  <c r="AT66" i="1"/>
  <c r="AT67" i="1"/>
  <c r="AT68" i="1"/>
  <c r="AT69" i="1"/>
  <c r="AT70" i="1"/>
  <c r="AT71" i="1"/>
  <c r="AT72" i="1"/>
  <c r="AT73" i="1"/>
  <c r="AT74" i="1"/>
  <c r="AT75" i="1"/>
  <c r="AT76" i="1"/>
  <c r="AT77" i="1"/>
  <c r="AT78" i="1"/>
  <c r="AT79" i="1"/>
  <c r="AT80" i="1"/>
  <c r="AT81" i="1"/>
  <c r="AT33" i="1"/>
  <c r="BL37" i="1"/>
  <c r="BL38" i="1"/>
  <c r="BL39" i="1"/>
  <c r="BL40" i="1"/>
  <c r="BL41" i="1"/>
  <c r="BL42" i="1"/>
  <c r="BL43" i="1"/>
  <c r="BL44" i="1"/>
  <c r="BL45" i="1"/>
  <c r="BL46" i="1"/>
  <c r="BL47" i="1"/>
  <c r="BL48" i="1"/>
  <c r="BL49" i="1"/>
  <c r="BL50" i="1"/>
  <c r="BL51" i="1"/>
  <c r="BL52" i="1"/>
  <c r="BL53" i="1"/>
  <c r="BL54" i="1"/>
  <c r="BL55" i="1"/>
  <c r="BL56" i="1"/>
  <c r="BL36" i="1"/>
  <c r="BK37" i="1"/>
  <c r="BK38" i="1"/>
  <c r="BK39" i="1"/>
  <c r="BK40" i="1"/>
  <c r="BK41" i="1"/>
  <c r="BK42" i="1"/>
  <c r="BK43" i="1"/>
  <c r="BK44" i="1"/>
  <c r="BK45" i="1"/>
  <c r="BK46" i="1"/>
  <c r="BK47" i="1"/>
  <c r="BK48" i="1"/>
  <c r="BK49" i="1"/>
  <c r="BK50" i="1"/>
  <c r="BK51" i="1"/>
  <c r="BK52" i="1"/>
  <c r="BK53" i="1"/>
  <c r="BK54" i="1"/>
  <c r="BK55" i="1"/>
  <c r="BK56" i="1"/>
  <c r="BK36" i="1"/>
  <c r="BG34" i="1"/>
  <c r="BG35" i="1"/>
  <c r="BG36" i="1"/>
  <c r="BG37" i="1"/>
  <c r="BG38" i="1"/>
  <c r="BG39" i="1"/>
  <c r="BG40" i="1"/>
  <c r="BG41" i="1"/>
  <c r="BG42" i="1"/>
  <c r="BG43" i="1"/>
  <c r="BG44" i="1"/>
  <c r="BG45" i="1"/>
  <c r="BG46" i="1"/>
  <c r="BG47" i="1"/>
  <c r="BG48" i="1"/>
  <c r="BG49" i="1"/>
  <c r="BG50" i="1"/>
  <c r="BG51" i="1"/>
  <c r="BG52" i="1"/>
  <c r="BG53" i="1"/>
  <c r="BG54" i="1"/>
  <c r="BG55" i="1"/>
  <c r="BG56" i="1"/>
  <c r="BG57" i="1"/>
  <c r="BG58" i="1"/>
  <c r="BG59" i="1"/>
  <c r="BG60" i="1"/>
  <c r="BG61" i="1"/>
  <c r="BG62" i="1"/>
  <c r="BG63" i="1"/>
  <c r="BG64" i="1"/>
  <c r="BG65" i="1"/>
  <c r="BG66" i="1"/>
  <c r="BG67" i="1"/>
  <c r="BG68" i="1"/>
  <c r="BG69" i="1"/>
  <c r="BG70" i="1"/>
  <c r="BG71" i="1"/>
  <c r="BG72" i="1"/>
  <c r="BG73" i="1"/>
  <c r="BG74" i="1"/>
  <c r="BG75" i="1"/>
  <c r="BG76" i="1"/>
  <c r="BG77" i="1"/>
  <c r="BG78" i="1"/>
  <c r="BG79" i="1"/>
  <c r="BG80" i="1"/>
  <c r="BG81" i="1"/>
  <c r="BG82" i="1"/>
  <c r="BG83" i="1"/>
  <c r="BG84" i="1"/>
  <c r="BG85" i="1"/>
  <c r="BG86" i="1"/>
  <c r="BG87" i="1"/>
  <c r="BG88" i="1"/>
  <c r="BG89" i="1"/>
  <c r="BG90" i="1"/>
  <c r="BG91" i="1"/>
  <c r="BG92" i="1"/>
  <c r="BG93" i="1"/>
  <c r="BG94" i="1"/>
  <c r="BG95" i="1"/>
  <c r="BG96" i="1"/>
  <c r="BG97" i="1"/>
  <c r="BG98" i="1"/>
  <c r="BG99" i="1"/>
  <c r="BG100" i="1"/>
  <c r="BG101" i="1"/>
  <c r="BG102" i="1"/>
  <c r="BG103" i="1"/>
  <c r="BG104" i="1"/>
  <c r="BG105" i="1"/>
  <c r="BG106" i="1"/>
  <c r="BG107" i="1"/>
  <c r="BG108" i="1"/>
  <c r="BG109" i="1"/>
  <c r="BG110" i="1"/>
  <c r="BG111" i="1"/>
  <c r="BG112" i="1"/>
  <c r="BG113" i="1"/>
  <c r="BG114" i="1"/>
  <c r="BG115" i="1"/>
  <c r="BG116" i="1"/>
  <c r="BG117" i="1"/>
  <c r="BG118" i="1"/>
  <c r="BG119" i="1"/>
  <c r="BG33" i="1"/>
  <c r="BQ112" i="5" l="1"/>
  <c r="BR112" i="5"/>
  <c r="BQ113" i="5"/>
  <c r="BR113" i="5"/>
  <c r="BQ114" i="5"/>
  <c r="BR114" i="5"/>
  <c r="BQ115" i="5"/>
  <c r="BR115" i="5"/>
  <c r="BQ116" i="5"/>
  <c r="BR116" i="5"/>
  <c r="BQ117" i="5"/>
  <c r="BR117" i="5"/>
  <c r="BQ118" i="5"/>
  <c r="BR118" i="5"/>
  <c r="BQ119" i="5"/>
  <c r="BR119" i="5"/>
  <c r="BQ120" i="5"/>
  <c r="BR120" i="5"/>
  <c r="BQ121" i="5"/>
  <c r="BR121" i="5"/>
  <c r="BQ122" i="5"/>
  <c r="BR122" i="5"/>
  <c r="BR111" i="5"/>
  <c r="BQ111" i="5"/>
  <c r="BQ100" i="5"/>
  <c r="BR100" i="5"/>
  <c r="BQ101" i="5"/>
  <c r="BR101" i="5"/>
  <c r="BQ102" i="5"/>
  <c r="BR102" i="5"/>
  <c r="BQ103" i="5"/>
  <c r="BR103" i="5"/>
  <c r="BQ104" i="5"/>
  <c r="BR104" i="5"/>
  <c r="BQ105" i="5"/>
  <c r="BR105" i="5"/>
  <c r="BQ106" i="5"/>
  <c r="BR106" i="5"/>
  <c r="BQ107" i="5"/>
  <c r="BR107" i="5"/>
  <c r="BQ108" i="5"/>
  <c r="BR108" i="5"/>
  <c r="BQ109" i="5"/>
  <c r="BR109" i="5"/>
  <c r="BQ110" i="5"/>
  <c r="BR110" i="5"/>
  <c r="BR99" i="5"/>
  <c r="BQ99" i="5"/>
  <c r="BQ88" i="5"/>
  <c r="BR88" i="5"/>
  <c r="BQ89" i="5"/>
  <c r="BR89" i="5"/>
  <c r="BQ90" i="5"/>
  <c r="BR90" i="5"/>
  <c r="BQ91" i="5"/>
  <c r="BR91" i="5"/>
  <c r="BQ92" i="5"/>
  <c r="BR92" i="5"/>
  <c r="BQ93" i="5"/>
  <c r="BR93" i="5"/>
  <c r="BQ94" i="5"/>
  <c r="BR94" i="5"/>
  <c r="BQ95" i="5"/>
  <c r="BR95" i="5"/>
  <c r="BQ96" i="5"/>
  <c r="BR96" i="5"/>
  <c r="BQ97" i="5"/>
  <c r="BR97" i="5"/>
  <c r="BQ98" i="5"/>
  <c r="BR98" i="5"/>
  <c r="BR87" i="5"/>
  <c r="BQ87" i="5"/>
  <c r="BK76" i="5"/>
  <c r="BL76" i="5"/>
  <c r="BK77" i="5"/>
  <c r="BL77" i="5"/>
  <c r="BK78" i="5"/>
  <c r="BL78" i="5"/>
  <c r="BK79" i="5"/>
  <c r="BL79" i="5"/>
  <c r="BK80" i="5"/>
  <c r="BL80" i="5"/>
  <c r="BK81" i="5"/>
  <c r="BL81" i="5"/>
  <c r="BK82" i="5"/>
  <c r="BL82" i="5"/>
  <c r="BK83" i="5"/>
  <c r="BL83" i="5"/>
  <c r="BK84" i="5"/>
  <c r="BL84" i="5"/>
  <c r="BK85" i="5"/>
  <c r="BL85" i="5"/>
  <c r="BK86" i="5"/>
  <c r="BL86" i="5"/>
  <c r="BL75" i="5"/>
  <c r="BK75" i="5"/>
  <c r="BK64" i="5"/>
  <c r="BL64" i="5"/>
  <c r="BK65" i="5"/>
  <c r="BL65" i="5"/>
  <c r="BK66" i="5"/>
  <c r="BL66" i="5"/>
  <c r="BK67" i="5"/>
  <c r="BL67" i="5"/>
  <c r="BK68" i="5"/>
  <c r="BL68" i="5"/>
  <c r="BK69" i="5"/>
  <c r="BL69" i="5"/>
  <c r="BK70" i="5"/>
  <c r="BL70" i="5"/>
  <c r="BK71" i="5"/>
  <c r="BL71" i="5"/>
  <c r="BK72" i="5"/>
  <c r="BL72" i="5"/>
  <c r="BK73" i="5"/>
  <c r="BL73" i="5"/>
  <c r="BK74" i="5"/>
  <c r="BL74" i="5"/>
  <c r="BL63" i="5"/>
  <c r="BK63" i="5"/>
  <c r="BK52" i="5"/>
  <c r="BL52" i="5"/>
  <c r="BK53" i="5"/>
  <c r="BL53" i="5"/>
  <c r="BK54" i="5"/>
  <c r="BL54" i="5"/>
  <c r="BK55" i="5"/>
  <c r="BL55" i="5"/>
  <c r="BK56" i="5"/>
  <c r="BL56" i="5"/>
  <c r="BK57" i="5"/>
  <c r="BL57" i="5"/>
  <c r="BK58" i="5"/>
  <c r="BL58" i="5"/>
  <c r="BK59" i="5"/>
  <c r="BL59" i="5"/>
  <c r="BK60" i="5"/>
  <c r="BL60" i="5"/>
  <c r="BK61" i="5"/>
  <c r="BL61" i="5"/>
  <c r="BK62" i="5"/>
  <c r="BL62" i="5"/>
  <c r="BL51" i="5"/>
  <c r="BK51" i="5"/>
  <c r="BK43" i="5"/>
  <c r="BL43" i="5"/>
  <c r="BK44" i="5"/>
  <c r="BL44" i="5"/>
  <c r="BK45" i="5"/>
  <c r="BL45" i="5"/>
  <c r="BK46" i="5"/>
  <c r="BL46" i="5"/>
  <c r="BK47" i="5"/>
  <c r="BL47" i="5"/>
  <c r="BK48" i="5"/>
  <c r="BL48" i="5"/>
  <c r="BK49" i="5"/>
  <c r="BL49" i="5"/>
  <c r="BK50" i="5"/>
  <c r="BL50" i="5"/>
  <c r="BL42" i="5"/>
  <c r="BK42" i="5"/>
  <c r="BE76" i="5"/>
  <c r="BF76" i="5"/>
  <c r="BE77" i="5"/>
  <c r="BF77" i="5"/>
  <c r="BE78" i="5"/>
  <c r="BF78" i="5"/>
  <c r="BE79" i="5"/>
  <c r="BF79" i="5"/>
  <c r="BE80" i="5"/>
  <c r="BF80" i="5"/>
  <c r="BE81" i="5"/>
  <c r="BF81" i="5"/>
  <c r="BE82" i="5"/>
  <c r="BF82" i="5"/>
  <c r="BE83" i="5"/>
  <c r="BF83" i="5"/>
  <c r="BE84" i="5"/>
  <c r="BF84" i="5"/>
  <c r="BE85" i="5"/>
  <c r="BF85" i="5"/>
  <c r="BE86" i="5"/>
  <c r="BF86" i="5"/>
  <c r="BF75" i="5"/>
  <c r="BE75" i="5"/>
  <c r="BE64" i="5"/>
  <c r="BF64" i="5"/>
  <c r="BE65" i="5"/>
  <c r="BF65" i="5"/>
  <c r="BE66" i="5"/>
  <c r="BF66" i="5"/>
  <c r="BE67" i="5"/>
  <c r="BF67" i="5"/>
  <c r="BE68" i="5"/>
  <c r="BF68" i="5"/>
  <c r="BE69" i="5"/>
  <c r="BF69" i="5"/>
  <c r="BE70" i="5"/>
  <c r="BF70" i="5"/>
  <c r="BE71" i="5"/>
  <c r="BF71" i="5"/>
  <c r="BE72" i="5"/>
  <c r="BF72" i="5"/>
  <c r="BE73" i="5"/>
  <c r="BF73" i="5"/>
  <c r="BE74" i="5"/>
  <c r="BF74" i="5"/>
  <c r="BF63" i="5"/>
  <c r="BE63" i="5"/>
  <c r="BE52" i="5"/>
  <c r="BF52" i="5"/>
  <c r="BE53" i="5"/>
  <c r="BF53" i="5"/>
  <c r="BE54" i="5"/>
  <c r="BF54" i="5"/>
  <c r="BE55" i="5"/>
  <c r="BF55" i="5"/>
  <c r="BE56" i="5"/>
  <c r="BF56" i="5"/>
  <c r="BE57" i="5"/>
  <c r="BF57" i="5"/>
  <c r="BE58" i="5"/>
  <c r="BF58" i="5"/>
  <c r="BE59" i="5"/>
  <c r="BF59" i="5"/>
  <c r="BE60" i="5"/>
  <c r="BF60" i="5"/>
  <c r="BE61" i="5"/>
  <c r="BF61" i="5"/>
  <c r="BE62" i="5"/>
  <c r="BF62" i="5"/>
  <c r="BF51" i="5"/>
  <c r="BE51" i="5"/>
  <c r="BE43" i="5"/>
  <c r="BF43" i="5"/>
  <c r="BE44" i="5"/>
  <c r="BF44" i="5"/>
  <c r="BE45" i="5"/>
  <c r="BF45" i="5"/>
  <c r="BE46" i="5"/>
  <c r="BF46" i="5"/>
  <c r="BE47" i="5"/>
  <c r="BF47" i="5"/>
  <c r="BE48" i="5"/>
  <c r="BF48" i="5"/>
  <c r="BE49" i="5"/>
  <c r="BF49" i="5"/>
  <c r="BE50" i="5"/>
  <c r="BF50" i="5"/>
  <c r="BF42" i="5"/>
  <c r="BE42" i="5"/>
  <c r="AY76" i="5"/>
  <c r="AZ76" i="5"/>
  <c r="AY77" i="5"/>
  <c r="AZ77" i="5"/>
  <c r="AY78" i="5"/>
  <c r="AZ78" i="5"/>
  <c r="AY79" i="5"/>
  <c r="AZ79" i="5"/>
  <c r="AY80" i="5"/>
  <c r="AZ80" i="5"/>
  <c r="AY81" i="5"/>
  <c r="AZ81" i="5"/>
  <c r="AY82" i="5"/>
  <c r="AZ82" i="5"/>
  <c r="AY83" i="5"/>
  <c r="AZ83" i="5"/>
  <c r="AY84" i="5"/>
  <c r="AZ84" i="5"/>
  <c r="AY85" i="5"/>
  <c r="AZ85" i="5"/>
  <c r="AY86" i="5"/>
  <c r="AZ86" i="5"/>
  <c r="AZ75" i="5"/>
  <c r="AY75" i="5"/>
  <c r="AY64" i="5"/>
  <c r="AZ64" i="5"/>
  <c r="AY65" i="5"/>
  <c r="AZ65" i="5"/>
  <c r="AY66" i="5"/>
  <c r="AZ66" i="5"/>
  <c r="AY67" i="5"/>
  <c r="AZ67" i="5"/>
  <c r="AY68" i="5"/>
  <c r="AZ68" i="5"/>
  <c r="AY69" i="5"/>
  <c r="AZ69" i="5"/>
  <c r="AY70" i="5"/>
  <c r="AZ70" i="5"/>
  <c r="AY71" i="5"/>
  <c r="AZ71" i="5"/>
  <c r="AY72" i="5"/>
  <c r="AZ72" i="5"/>
  <c r="AY73" i="5"/>
  <c r="AZ73" i="5"/>
  <c r="AY74" i="5"/>
  <c r="AZ74" i="5"/>
  <c r="AZ63" i="5"/>
  <c r="AY63" i="5"/>
  <c r="AY52" i="5"/>
  <c r="AZ52" i="5"/>
  <c r="AY53" i="5"/>
  <c r="AZ53" i="5"/>
  <c r="AY54" i="5"/>
  <c r="AZ54" i="5"/>
  <c r="AY55" i="5"/>
  <c r="AZ55" i="5"/>
  <c r="AY56" i="5"/>
  <c r="AZ56" i="5"/>
  <c r="AY57" i="5"/>
  <c r="AZ57" i="5"/>
  <c r="AY58" i="5"/>
  <c r="AZ58" i="5"/>
  <c r="AY59" i="5"/>
  <c r="AZ59" i="5"/>
  <c r="AY60" i="5"/>
  <c r="AZ60" i="5"/>
  <c r="AY61" i="5"/>
  <c r="AZ61" i="5"/>
  <c r="AY62" i="5"/>
  <c r="AZ62" i="5"/>
  <c r="AZ51" i="5"/>
  <c r="AY51" i="5"/>
  <c r="AY40" i="5"/>
  <c r="AZ40" i="5"/>
  <c r="AY41" i="5"/>
  <c r="AZ41" i="5"/>
  <c r="AY42" i="5"/>
  <c r="AZ42" i="5"/>
  <c r="AY43" i="5"/>
  <c r="AZ43" i="5"/>
  <c r="AY44" i="5"/>
  <c r="AZ44" i="5"/>
  <c r="AY45" i="5"/>
  <c r="AZ45" i="5"/>
  <c r="AY46" i="5"/>
  <c r="AZ46" i="5"/>
  <c r="AY47" i="5"/>
  <c r="AZ47" i="5"/>
  <c r="AY48" i="5"/>
  <c r="AZ48" i="5"/>
  <c r="AY49" i="5"/>
  <c r="AZ49" i="5"/>
  <c r="AY50" i="5"/>
  <c r="AZ50" i="5"/>
  <c r="AZ39" i="5"/>
  <c r="AY39" i="5"/>
  <c r="AS76" i="5"/>
  <c r="AT76" i="5"/>
  <c r="AS77" i="5"/>
  <c r="AT77" i="5"/>
  <c r="AS78" i="5"/>
  <c r="AT78" i="5"/>
  <c r="AS79" i="5"/>
  <c r="AT79" i="5"/>
  <c r="AS80" i="5"/>
  <c r="AT80" i="5"/>
  <c r="AS81" i="5"/>
  <c r="AT81" i="5"/>
  <c r="AS82" i="5"/>
  <c r="AT82" i="5"/>
  <c r="AS83" i="5"/>
  <c r="AT83" i="5"/>
  <c r="AS84" i="5"/>
  <c r="AT84" i="5"/>
  <c r="AS85" i="5"/>
  <c r="AT85" i="5"/>
  <c r="AS86" i="5"/>
  <c r="AT86" i="5"/>
  <c r="AT75" i="5"/>
  <c r="AS75" i="5"/>
  <c r="AS64" i="5"/>
  <c r="AT64" i="5"/>
  <c r="AS65" i="5"/>
  <c r="AT65" i="5"/>
  <c r="AS66" i="5"/>
  <c r="AT66" i="5"/>
  <c r="AS67" i="5"/>
  <c r="AT67" i="5"/>
  <c r="AS68" i="5"/>
  <c r="AT68" i="5"/>
  <c r="AS69" i="5"/>
  <c r="AT69" i="5"/>
  <c r="AS70" i="5"/>
  <c r="AT70" i="5"/>
  <c r="AS71" i="5"/>
  <c r="AT71" i="5"/>
  <c r="AS72" i="5"/>
  <c r="AT72" i="5"/>
  <c r="AS73" i="5"/>
  <c r="AT73" i="5"/>
  <c r="AS74" i="5"/>
  <c r="AT74" i="5"/>
  <c r="AT63" i="5"/>
  <c r="AS63" i="5"/>
  <c r="AS52" i="5"/>
  <c r="AT52" i="5"/>
  <c r="AS53" i="5"/>
  <c r="AT53" i="5"/>
  <c r="AS54" i="5"/>
  <c r="AT54" i="5"/>
  <c r="AS55" i="5"/>
  <c r="AT55" i="5"/>
  <c r="AS56" i="5"/>
  <c r="AT56" i="5"/>
  <c r="AS57" i="5"/>
  <c r="AT57" i="5"/>
  <c r="AS58" i="5"/>
  <c r="AT58" i="5"/>
  <c r="AS59" i="5"/>
  <c r="AT59" i="5"/>
  <c r="AS60" i="5"/>
  <c r="AT60" i="5"/>
  <c r="AS61" i="5"/>
  <c r="AT61" i="5"/>
  <c r="AS62" i="5"/>
  <c r="AT62" i="5"/>
  <c r="AT51" i="5"/>
  <c r="AS51" i="5"/>
  <c r="AS40" i="5"/>
  <c r="AT40" i="5"/>
  <c r="AS41" i="5"/>
  <c r="AT41" i="5"/>
  <c r="AS42" i="5"/>
  <c r="AT42" i="5"/>
  <c r="AS43" i="5"/>
  <c r="AT43" i="5"/>
  <c r="AS44" i="5"/>
  <c r="AT44" i="5"/>
  <c r="AS45" i="5"/>
  <c r="AT45" i="5"/>
  <c r="AS46" i="5"/>
  <c r="AT46" i="5"/>
  <c r="AS47" i="5"/>
  <c r="AT47" i="5"/>
  <c r="AS48" i="5"/>
  <c r="AT48" i="5"/>
  <c r="AS49" i="5"/>
  <c r="AT49" i="5"/>
  <c r="AS50" i="5"/>
  <c r="AT50" i="5"/>
  <c r="AT39" i="5"/>
  <c r="AS39" i="5"/>
  <c r="BX122" i="5"/>
  <c r="BW122" i="5"/>
  <c r="BV122" i="5"/>
  <c r="BU122" i="5"/>
  <c r="BX121" i="5"/>
  <c r="BW121" i="5"/>
  <c r="BX120" i="5"/>
  <c r="BW120" i="5"/>
  <c r="BX119" i="5"/>
  <c r="BW119" i="5"/>
  <c r="BX118" i="5"/>
  <c r="BW118" i="5"/>
  <c r="BX117" i="5"/>
  <c r="BW117" i="5"/>
  <c r="BX116" i="5"/>
  <c r="BW116" i="5"/>
  <c r="BX115" i="5"/>
  <c r="BW115" i="5"/>
  <c r="BX114" i="5"/>
  <c r="BW114" i="5"/>
  <c r="BX113" i="5"/>
  <c r="BW113" i="5"/>
  <c r="BX112" i="5"/>
  <c r="BW112" i="5"/>
  <c r="BX111" i="5"/>
  <c r="BW111" i="5"/>
  <c r="BX110" i="5"/>
  <c r="BW110" i="5"/>
  <c r="BV110" i="5"/>
  <c r="BU110" i="5"/>
  <c r="BX109" i="5"/>
  <c r="BW109" i="5"/>
  <c r="BX108" i="5"/>
  <c r="BW108" i="5"/>
  <c r="BX107" i="5"/>
  <c r="BW107" i="5"/>
  <c r="BX106" i="5"/>
  <c r="BW106" i="5"/>
  <c r="BX105" i="5"/>
  <c r="BW105" i="5"/>
  <c r="BX104" i="5"/>
  <c r="BW104" i="5"/>
  <c r="BX103" i="5"/>
  <c r="BW103" i="5"/>
  <c r="BX102" i="5"/>
  <c r="BW102" i="5"/>
  <c r="BX101" i="5"/>
  <c r="BW101" i="5"/>
  <c r="BX100" i="5"/>
  <c r="BW100" i="5"/>
  <c r="BX99" i="5"/>
  <c r="BW99" i="5"/>
  <c r="BX98" i="5"/>
  <c r="BW98" i="5"/>
  <c r="BV98" i="5"/>
  <c r="BU98" i="5"/>
  <c r="BX97" i="5"/>
  <c r="BW97" i="5"/>
  <c r="BX96" i="5"/>
  <c r="BW96" i="5"/>
  <c r="BX95" i="5"/>
  <c r="BW95" i="5"/>
  <c r="BX94" i="5"/>
  <c r="BW94" i="5"/>
  <c r="BX93" i="5"/>
  <c r="BW93" i="5"/>
  <c r="BX92" i="5"/>
  <c r="BW92" i="5"/>
  <c r="BX91" i="5"/>
  <c r="BW91" i="5"/>
  <c r="BX90" i="5"/>
  <c r="BW90" i="5"/>
  <c r="BX89" i="5"/>
  <c r="BW89" i="5"/>
  <c r="BX88" i="5"/>
  <c r="BW88" i="5"/>
  <c r="BX87" i="5"/>
  <c r="BW87" i="5"/>
  <c r="BV86" i="5"/>
  <c r="BU86" i="5"/>
  <c r="BX35" i="5"/>
  <c r="BW35" i="5"/>
  <c r="BX34" i="5"/>
  <c r="BW34" i="5"/>
  <c r="BX33" i="5"/>
  <c r="BW33" i="5"/>
  <c r="BX32" i="5"/>
  <c r="BW32" i="5"/>
  <c r="BX31" i="5"/>
  <c r="BW31" i="5"/>
  <c r="BX30" i="5"/>
  <c r="BW30" i="5"/>
  <c r="BX29" i="5"/>
  <c r="BW29" i="5"/>
  <c r="BX28" i="5"/>
  <c r="BW28" i="5"/>
  <c r="BX27" i="5"/>
  <c r="BW27" i="5"/>
  <c r="BX26" i="5"/>
  <c r="BW26" i="5"/>
  <c r="BX25" i="5"/>
  <c r="BW25" i="5"/>
  <c r="BX24" i="5"/>
  <c r="BX36" i="5" s="1"/>
  <c r="BW24" i="5"/>
  <c r="BW36" i="5" s="1"/>
  <c r="BP122" i="5"/>
  <c r="BO122" i="5"/>
  <c r="BP110" i="5"/>
  <c r="BO110" i="5"/>
  <c r="BP98" i="5"/>
  <c r="BO98" i="5"/>
  <c r="BP86" i="5"/>
  <c r="BO86" i="5"/>
  <c r="BR35" i="5"/>
  <c r="BQ35" i="5"/>
  <c r="BR34" i="5"/>
  <c r="BQ34" i="5"/>
  <c r="BR33" i="5"/>
  <c r="BQ33" i="5"/>
  <c r="BR32" i="5"/>
  <c r="BQ32" i="5"/>
  <c r="BR31" i="5"/>
  <c r="BQ31" i="5"/>
  <c r="BR30" i="5"/>
  <c r="BQ30" i="5"/>
  <c r="BR29" i="5"/>
  <c r="BQ29" i="5"/>
  <c r="BR28" i="5"/>
  <c r="BQ28" i="5"/>
  <c r="BR27" i="5"/>
  <c r="BQ27" i="5"/>
  <c r="BR26" i="5"/>
  <c r="BQ26" i="5"/>
  <c r="BR25" i="5"/>
  <c r="BQ25" i="5"/>
  <c r="BR24" i="5"/>
  <c r="BR36" i="5" s="1"/>
  <c r="BQ24" i="5"/>
  <c r="BQ36" i="5" s="1"/>
  <c r="BJ86" i="5"/>
  <c r="BI86" i="5"/>
  <c r="BJ74" i="5"/>
  <c r="BI74" i="5"/>
  <c r="BJ62" i="5"/>
  <c r="BI62" i="5"/>
  <c r="BJ50" i="5"/>
  <c r="BI50" i="5"/>
  <c r="BL35" i="5"/>
  <c r="BK35" i="5"/>
  <c r="BL34" i="5"/>
  <c r="BK34" i="5"/>
  <c r="BL33" i="5"/>
  <c r="BK33" i="5"/>
  <c r="BL32" i="5"/>
  <c r="BK32" i="5"/>
  <c r="BL31" i="5"/>
  <c r="BK31" i="5"/>
  <c r="BL30" i="5"/>
  <c r="BK30" i="5"/>
  <c r="BL29" i="5"/>
  <c r="BK29" i="5"/>
  <c r="BL28" i="5"/>
  <c r="BK28" i="5"/>
  <c r="BL27" i="5"/>
  <c r="BK27" i="5"/>
  <c r="BL26" i="5"/>
  <c r="BK26" i="5"/>
  <c r="BL25" i="5"/>
  <c r="BK25" i="5"/>
  <c r="BL24" i="5"/>
  <c r="BL36" i="5" s="1"/>
  <c r="BK24" i="5"/>
  <c r="BK36" i="5" s="1"/>
  <c r="BD86" i="5"/>
  <c r="BC86" i="5"/>
  <c r="BD74" i="5"/>
  <c r="BC74" i="5"/>
  <c r="BD62" i="5"/>
  <c r="BC62" i="5"/>
  <c r="BD50" i="5"/>
  <c r="BC50" i="5"/>
  <c r="BF35" i="5"/>
  <c r="BE35" i="5"/>
  <c r="BF34" i="5"/>
  <c r="BE34" i="5"/>
  <c r="BF33" i="5"/>
  <c r="BE33" i="5"/>
  <c r="BF32" i="5"/>
  <c r="BE32" i="5"/>
  <c r="BF31" i="5"/>
  <c r="BE31" i="5"/>
  <c r="BF30" i="5"/>
  <c r="BE30" i="5"/>
  <c r="BF29" i="5"/>
  <c r="BE29" i="5"/>
  <c r="BF28" i="5"/>
  <c r="BE28" i="5"/>
  <c r="BF27" i="5"/>
  <c r="BE27" i="5"/>
  <c r="BF26" i="5"/>
  <c r="BE26" i="5"/>
  <c r="BF25" i="5"/>
  <c r="BE25" i="5"/>
  <c r="BF24" i="5"/>
  <c r="BF36" i="5" s="1"/>
  <c r="BE24" i="5"/>
  <c r="BE36" i="5" s="1"/>
  <c r="AX86" i="5"/>
  <c r="AW86" i="5"/>
  <c r="AX74" i="5"/>
  <c r="AW74" i="5"/>
  <c r="AX62" i="5"/>
  <c r="AW62" i="5"/>
  <c r="AX50" i="5"/>
  <c r="AW50" i="5"/>
  <c r="AZ35" i="5"/>
  <c r="AY35" i="5"/>
  <c r="AZ34" i="5"/>
  <c r="AY34" i="5"/>
  <c r="AZ33" i="5"/>
  <c r="AY33" i="5"/>
  <c r="AZ32" i="5"/>
  <c r="AY32" i="5"/>
  <c r="AZ31" i="5"/>
  <c r="AY31" i="5"/>
  <c r="AZ30" i="5"/>
  <c r="AY30" i="5"/>
  <c r="AZ29" i="5"/>
  <c r="AY29" i="5"/>
  <c r="AZ28" i="5"/>
  <c r="AY28" i="5"/>
  <c r="AZ27" i="5"/>
  <c r="AY27" i="5"/>
  <c r="AZ26" i="5"/>
  <c r="AY26" i="5"/>
  <c r="AZ25" i="5"/>
  <c r="AY25" i="5"/>
  <c r="AZ24" i="5"/>
  <c r="AZ36" i="5" s="1"/>
  <c r="AY24" i="5"/>
  <c r="AY36" i="5" s="1"/>
  <c r="AR86" i="5"/>
  <c r="AQ86" i="5"/>
  <c r="AR74" i="5"/>
  <c r="AQ74" i="5"/>
  <c r="AR62" i="5"/>
  <c r="AQ62" i="5"/>
  <c r="AR50" i="5"/>
  <c r="AQ50" i="5"/>
  <c r="AT35" i="5"/>
  <c r="AS35" i="5"/>
  <c r="AT34" i="5"/>
  <c r="AS34" i="5"/>
  <c r="AT33" i="5"/>
  <c r="AS33" i="5"/>
  <c r="AT32" i="5"/>
  <c r="AS32" i="5"/>
  <c r="AT31" i="5"/>
  <c r="AS31" i="5"/>
  <c r="AT30" i="5"/>
  <c r="AS30" i="5"/>
  <c r="AT29" i="5"/>
  <c r="AS29" i="5"/>
  <c r="AT28" i="5"/>
  <c r="AS28" i="5"/>
  <c r="AT27" i="5"/>
  <c r="AS27" i="5"/>
  <c r="AT26" i="5"/>
  <c r="AS26" i="5"/>
  <c r="AT25" i="5"/>
  <c r="AS25" i="5"/>
  <c r="AT24" i="5"/>
  <c r="AT36" i="5" s="1"/>
  <c r="AS24" i="5"/>
  <c r="AS36" i="5" s="1"/>
  <c r="AM112" i="5"/>
  <c r="AN112" i="5"/>
  <c r="AM113" i="5"/>
  <c r="AN113" i="5"/>
  <c r="AM114" i="5"/>
  <c r="AN114" i="5"/>
  <c r="AM115" i="5"/>
  <c r="AN115" i="5"/>
  <c r="AM116" i="5"/>
  <c r="AN116" i="5"/>
  <c r="AM117" i="5"/>
  <c r="AN117" i="5"/>
  <c r="AM118" i="5"/>
  <c r="AN118" i="5"/>
  <c r="AM119" i="5"/>
  <c r="AN119" i="5"/>
  <c r="AM120" i="5"/>
  <c r="AN120" i="5"/>
  <c r="AM121" i="5"/>
  <c r="AN121" i="5"/>
  <c r="AM122" i="5"/>
  <c r="AN122" i="5"/>
  <c r="AN111" i="5"/>
  <c r="AM111" i="5"/>
  <c r="AM100" i="5"/>
  <c r="AN100" i="5"/>
  <c r="AM101" i="5"/>
  <c r="AN101" i="5"/>
  <c r="AM102" i="5"/>
  <c r="AN102" i="5"/>
  <c r="AM103" i="5"/>
  <c r="AN103" i="5"/>
  <c r="AM104" i="5"/>
  <c r="AN104" i="5"/>
  <c r="AM105" i="5"/>
  <c r="AN105" i="5"/>
  <c r="AM106" i="5"/>
  <c r="AN106" i="5"/>
  <c r="AM107" i="5"/>
  <c r="AN107" i="5"/>
  <c r="AM108" i="5"/>
  <c r="AN108" i="5"/>
  <c r="AM109" i="5"/>
  <c r="AN109" i="5"/>
  <c r="AM110" i="5"/>
  <c r="AN110" i="5"/>
  <c r="AN99" i="5"/>
  <c r="AM99" i="5"/>
  <c r="AM88" i="5"/>
  <c r="AN88" i="5"/>
  <c r="AM89" i="5"/>
  <c r="AN89" i="5"/>
  <c r="AM90" i="5"/>
  <c r="AN90" i="5"/>
  <c r="AM91" i="5"/>
  <c r="AN91" i="5"/>
  <c r="AM92" i="5"/>
  <c r="AN92" i="5"/>
  <c r="AM93" i="5"/>
  <c r="AN93" i="5"/>
  <c r="AM94" i="5"/>
  <c r="AN94" i="5"/>
  <c r="AM95" i="5"/>
  <c r="AN95" i="5"/>
  <c r="AM96" i="5"/>
  <c r="AN96" i="5"/>
  <c r="AM97" i="5"/>
  <c r="AN97" i="5"/>
  <c r="AM98" i="5"/>
  <c r="AN98" i="5"/>
  <c r="AN87" i="5"/>
  <c r="AM87" i="5"/>
  <c r="AM76" i="5"/>
  <c r="AN76" i="5"/>
  <c r="AM77" i="5"/>
  <c r="AN77" i="5"/>
  <c r="AM78" i="5"/>
  <c r="AN78" i="5"/>
  <c r="AM79" i="5"/>
  <c r="AN79" i="5"/>
  <c r="AM80" i="5"/>
  <c r="AN80" i="5"/>
  <c r="AM81" i="5"/>
  <c r="AN81" i="5"/>
  <c r="AM82" i="5"/>
  <c r="AN82" i="5"/>
  <c r="AM83" i="5"/>
  <c r="AN83" i="5"/>
  <c r="AM84" i="5"/>
  <c r="AN84" i="5"/>
  <c r="AM85" i="5"/>
  <c r="AN85" i="5"/>
  <c r="AM86" i="5"/>
  <c r="AN86" i="5"/>
  <c r="AN75" i="5"/>
  <c r="AM75" i="5"/>
  <c r="AM64" i="5"/>
  <c r="AN64" i="5"/>
  <c r="AM65" i="5"/>
  <c r="AN65" i="5"/>
  <c r="AM66" i="5"/>
  <c r="AN66" i="5"/>
  <c r="AM67" i="5"/>
  <c r="AN67" i="5"/>
  <c r="AM68" i="5"/>
  <c r="AN68" i="5"/>
  <c r="AM69" i="5"/>
  <c r="AN69" i="5"/>
  <c r="AM70" i="5"/>
  <c r="AN70" i="5"/>
  <c r="AM71" i="5"/>
  <c r="AN71" i="5"/>
  <c r="AM72" i="5"/>
  <c r="AN72" i="5"/>
  <c r="AM73" i="5"/>
  <c r="AN73" i="5"/>
  <c r="AM74" i="5"/>
  <c r="AN74" i="5"/>
  <c r="AN63" i="5"/>
  <c r="AM63" i="5"/>
  <c r="AM52" i="5"/>
  <c r="AN52" i="5"/>
  <c r="AM53" i="5"/>
  <c r="AN53" i="5"/>
  <c r="AM54" i="5"/>
  <c r="AN54" i="5"/>
  <c r="AM55" i="5"/>
  <c r="AN55" i="5"/>
  <c r="AM56" i="5"/>
  <c r="AN56" i="5"/>
  <c r="AM57" i="5"/>
  <c r="AN57" i="5"/>
  <c r="AM58" i="5"/>
  <c r="AN58" i="5"/>
  <c r="AM59" i="5"/>
  <c r="AN59" i="5"/>
  <c r="AM60" i="5"/>
  <c r="AN60" i="5"/>
  <c r="AM61" i="5"/>
  <c r="AN61" i="5"/>
  <c r="AM62" i="5"/>
  <c r="AN62" i="5"/>
  <c r="AN51" i="5"/>
  <c r="AM51" i="5"/>
  <c r="AM40" i="5"/>
  <c r="AN40" i="5"/>
  <c r="AM41" i="5"/>
  <c r="AN41" i="5"/>
  <c r="AM42" i="5"/>
  <c r="AN42" i="5"/>
  <c r="AM43" i="5"/>
  <c r="AN43" i="5"/>
  <c r="AM44" i="5"/>
  <c r="AN44" i="5"/>
  <c r="AM45" i="5"/>
  <c r="AN45" i="5"/>
  <c r="AM46" i="5"/>
  <c r="AN46" i="5"/>
  <c r="AM47" i="5"/>
  <c r="AN47" i="5"/>
  <c r="AM48" i="5"/>
  <c r="AN48" i="5"/>
  <c r="AM49" i="5"/>
  <c r="AN49" i="5"/>
  <c r="AM50" i="5"/>
  <c r="AN50" i="5"/>
  <c r="AN39" i="5"/>
  <c r="AM39" i="5"/>
  <c r="AG112" i="5"/>
  <c r="AH112" i="5"/>
  <c r="AG113" i="5"/>
  <c r="AH113" i="5"/>
  <c r="AG114" i="5"/>
  <c r="AH114" i="5"/>
  <c r="AG115" i="5"/>
  <c r="AH115" i="5"/>
  <c r="AG116" i="5"/>
  <c r="AH116" i="5"/>
  <c r="AG117" i="5"/>
  <c r="AH117" i="5"/>
  <c r="AG118" i="5"/>
  <c r="AH118" i="5"/>
  <c r="AG119" i="5"/>
  <c r="AH119" i="5"/>
  <c r="AG120" i="5"/>
  <c r="AH120" i="5"/>
  <c r="AG121" i="5"/>
  <c r="AH121" i="5"/>
  <c r="AG122" i="5"/>
  <c r="AH122" i="5"/>
  <c r="AH111" i="5"/>
  <c r="AG111" i="5"/>
  <c r="AG100" i="5"/>
  <c r="AH100" i="5"/>
  <c r="AG101" i="5"/>
  <c r="AH101" i="5"/>
  <c r="AG102" i="5"/>
  <c r="AH102" i="5"/>
  <c r="AG103" i="5"/>
  <c r="AH103" i="5"/>
  <c r="AG104" i="5"/>
  <c r="AH104" i="5"/>
  <c r="AG105" i="5"/>
  <c r="AH105" i="5"/>
  <c r="AG106" i="5"/>
  <c r="AH106" i="5"/>
  <c r="AG107" i="5"/>
  <c r="AH107" i="5"/>
  <c r="AG108" i="5"/>
  <c r="AH108" i="5"/>
  <c r="AG109" i="5"/>
  <c r="AH109" i="5"/>
  <c r="AG110" i="5"/>
  <c r="AH110" i="5"/>
  <c r="AH99" i="5"/>
  <c r="AG99" i="5"/>
  <c r="AG88" i="5"/>
  <c r="AH88" i="5"/>
  <c r="AG89" i="5"/>
  <c r="AH89" i="5"/>
  <c r="AG90" i="5"/>
  <c r="AH90" i="5"/>
  <c r="AG91" i="5"/>
  <c r="AH91" i="5"/>
  <c r="AG92" i="5"/>
  <c r="AH92" i="5"/>
  <c r="AG93" i="5"/>
  <c r="AH93" i="5"/>
  <c r="AG94" i="5"/>
  <c r="AH94" i="5"/>
  <c r="AG95" i="5"/>
  <c r="AH95" i="5"/>
  <c r="AG96" i="5"/>
  <c r="AH96" i="5"/>
  <c r="AG97" i="5"/>
  <c r="AH97" i="5"/>
  <c r="AG98" i="5"/>
  <c r="AH98" i="5"/>
  <c r="AH87" i="5"/>
  <c r="AG87" i="5"/>
  <c r="AG76" i="5"/>
  <c r="AH76" i="5"/>
  <c r="AG77" i="5"/>
  <c r="AH77" i="5"/>
  <c r="AG78" i="5"/>
  <c r="AH78" i="5"/>
  <c r="AG79" i="5"/>
  <c r="AH79" i="5"/>
  <c r="AG80" i="5"/>
  <c r="AH80" i="5"/>
  <c r="AG81" i="5"/>
  <c r="AH81" i="5"/>
  <c r="AG82" i="5"/>
  <c r="AH82" i="5"/>
  <c r="AG83" i="5"/>
  <c r="AH83" i="5"/>
  <c r="AG84" i="5"/>
  <c r="AH84" i="5"/>
  <c r="AG85" i="5"/>
  <c r="AH85" i="5"/>
  <c r="AG86" i="5"/>
  <c r="AH86" i="5"/>
  <c r="AH75" i="5"/>
  <c r="AG75" i="5"/>
  <c r="AG64" i="5"/>
  <c r="AH64" i="5"/>
  <c r="AG65" i="5"/>
  <c r="AH65" i="5"/>
  <c r="AG66" i="5"/>
  <c r="AH66" i="5"/>
  <c r="AG67" i="5"/>
  <c r="AH67" i="5"/>
  <c r="AG68" i="5"/>
  <c r="AH68" i="5"/>
  <c r="AG69" i="5"/>
  <c r="AH69" i="5"/>
  <c r="AG70" i="5"/>
  <c r="AH70" i="5"/>
  <c r="AG71" i="5"/>
  <c r="AH71" i="5"/>
  <c r="AG72" i="5"/>
  <c r="AH72" i="5"/>
  <c r="AG73" i="5"/>
  <c r="AH73" i="5"/>
  <c r="AG74" i="5"/>
  <c r="AH74" i="5"/>
  <c r="AH63" i="5"/>
  <c r="AG63" i="5"/>
  <c r="AG52" i="5"/>
  <c r="AH52" i="5"/>
  <c r="AG53" i="5"/>
  <c r="AH53" i="5"/>
  <c r="AG54" i="5"/>
  <c r="AH54" i="5"/>
  <c r="AG55" i="5"/>
  <c r="AH55" i="5"/>
  <c r="AG56" i="5"/>
  <c r="AH56" i="5"/>
  <c r="AG57" i="5"/>
  <c r="AH57" i="5"/>
  <c r="AG58" i="5"/>
  <c r="AH58" i="5"/>
  <c r="AG59" i="5"/>
  <c r="AH59" i="5"/>
  <c r="AG60" i="5"/>
  <c r="AH60" i="5"/>
  <c r="AG61" i="5"/>
  <c r="AH61" i="5"/>
  <c r="AG62" i="5"/>
  <c r="AH62" i="5"/>
  <c r="AH51" i="5"/>
  <c r="AG51" i="5"/>
  <c r="AG40" i="5"/>
  <c r="AH40" i="5"/>
  <c r="AG41" i="5"/>
  <c r="AH41" i="5"/>
  <c r="AG42" i="5"/>
  <c r="AH42" i="5"/>
  <c r="AG43" i="5"/>
  <c r="AH43" i="5"/>
  <c r="AG44" i="5"/>
  <c r="AH44" i="5"/>
  <c r="AG45" i="5"/>
  <c r="AH45" i="5"/>
  <c r="AG46" i="5"/>
  <c r="AH46" i="5"/>
  <c r="AG47" i="5"/>
  <c r="AH47" i="5"/>
  <c r="AG48" i="5"/>
  <c r="AH48" i="5"/>
  <c r="AG49" i="5"/>
  <c r="AH49" i="5"/>
  <c r="AG50" i="5"/>
  <c r="AH50" i="5"/>
  <c r="AH39" i="5"/>
  <c r="AG39" i="5"/>
  <c r="AN32" i="5"/>
  <c r="AN28" i="5"/>
  <c r="AN24" i="5"/>
  <c r="AH32" i="5"/>
  <c r="AH24" i="5"/>
  <c r="AH29" i="5"/>
  <c r="AF122" i="5"/>
  <c r="AE122" i="5"/>
  <c r="AF110" i="5"/>
  <c r="AE110" i="5"/>
  <c r="AF98" i="5"/>
  <c r="AE98" i="5"/>
  <c r="AF86" i="5"/>
  <c r="AE86" i="5"/>
  <c r="AF74" i="5"/>
  <c r="AE74" i="5"/>
  <c r="AF62" i="5"/>
  <c r="AE62" i="5"/>
  <c r="AF50" i="5"/>
  <c r="AE50" i="5"/>
  <c r="AL122" i="5"/>
  <c r="AK122" i="5"/>
  <c r="AL110" i="5"/>
  <c r="AK110" i="5"/>
  <c r="AL98" i="5"/>
  <c r="AK98" i="5"/>
  <c r="AL86" i="5"/>
  <c r="AK86" i="5"/>
  <c r="AL74" i="5"/>
  <c r="AK74" i="5"/>
  <c r="AL62" i="5"/>
  <c r="AK62" i="5"/>
  <c r="AL50" i="5"/>
  <c r="AK50" i="5"/>
  <c r="AA112" i="5"/>
  <c r="AB112" i="5"/>
  <c r="AA113" i="5"/>
  <c r="AB113" i="5"/>
  <c r="AA114" i="5"/>
  <c r="AB114" i="5"/>
  <c r="AA115" i="5"/>
  <c r="AB115" i="5"/>
  <c r="AA116" i="5"/>
  <c r="AB116" i="5"/>
  <c r="AA117" i="5"/>
  <c r="AB117" i="5"/>
  <c r="AA118" i="5"/>
  <c r="AB118" i="5"/>
  <c r="AA119" i="5"/>
  <c r="AB119" i="5"/>
  <c r="AA120" i="5"/>
  <c r="AB120" i="5"/>
  <c r="AA121" i="5"/>
  <c r="AB121" i="5"/>
  <c r="AA122" i="5"/>
  <c r="AB122" i="5"/>
  <c r="AB111" i="5"/>
  <c r="AA111" i="5"/>
  <c r="AA100" i="5"/>
  <c r="AB100" i="5"/>
  <c r="AA101" i="5"/>
  <c r="AB101" i="5"/>
  <c r="AA102" i="5"/>
  <c r="AB102" i="5"/>
  <c r="AA103" i="5"/>
  <c r="AB103" i="5"/>
  <c r="AA104" i="5"/>
  <c r="AB104" i="5"/>
  <c r="AA105" i="5"/>
  <c r="AB105" i="5"/>
  <c r="AA106" i="5"/>
  <c r="AB106" i="5"/>
  <c r="AA107" i="5"/>
  <c r="AB107" i="5"/>
  <c r="AA108" i="5"/>
  <c r="AB108" i="5"/>
  <c r="AA109" i="5"/>
  <c r="AB109" i="5"/>
  <c r="AA110" i="5"/>
  <c r="AB110" i="5"/>
  <c r="AB99" i="5"/>
  <c r="AA99" i="5"/>
  <c r="AA88" i="5"/>
  <c r="AB88" i="5"/>
  <c r="AA89" i="5"/>
  <c r="AB89" i="5"/>
  <c r="AA90" i="5"/>
  <c r="AB90" i="5"/>
  <c r="AA91" i="5"/>
  <c r="AB91" i="5"/>
  <c r="AA92" i="5"/>
  <c r="AB92" i="5"/>
  <c r="AA93" i="5"/>
  <c r="AB93" i="5"/>
  <c r="AA94" i="5"/>
  <c r="AB94" i="5"/>
  <c r="AA95" i="5"/>
  <c r="AB95" i="5"/>
  <c r="AA96" i="5"/>
  <c r="AB96" i="5"/>
  <c r="AA97" i="5"/>
  <c r="AB97" i="5"/>
  <c r="AA98" i="5"/>
  <c r="AB98" i="5"/>
  <c r="AB87" i="5"/>
  <c r="AA87" i="5"/>
  <c r="AB86" i="5"/>
  <c r="AA86" i="5"/>
  <c r="AB85" i="5"/>
  <c r="AA85" i="5"/>
  <c r="AB84" i="5"/>
  <c r="AA84" i="5"/>
  <c r="AB83" i="5"/>
  <c r="AA83" i="5"/>
  <c r="AB82" i="5"/>
  <c r="AA82" i="5"/>
  <c r="AB81" i="5"/>
  <c r="AA81" i="5"/>
  <c r="AB80" i="5"/>
  <c r="AA80" i="5"/>
  <c r="AB79" i="5"/>
  <c r="AA79" i="5"/>
  <c r="AB78" i="5"/>
  <c r="AA78" i="5"/>
  <c r="AB77" i="5"/>
  <c r="AA77" i="5"/>
  <c r="AB76" i="5"/>
  <c r="AA76" i="5"/>
  <c r="AB75" i="5"/>
  <c r="AA75" i="5"/>
  <c r="AA64" i="5"/>
  <c r="AB64" i="5"/>
  <c r="AA65" i="5"/>
  <c r="AB65" i="5"/>
  <c r="AA66" i="5"/>
  <c r="AB66" i="5"/>
  <c r="AA67" i="5"/>
  <c r="AB67" i="5"/>
  <c r="AA68" i="5"/>
  <c r="AB68" i="5"/>
  <c r="AA69" i="5"/>
  <c r="AB69" i="5"/>
  <c r="AA70" i="5"/>
  <c r="AB70" i="5"/>
  <c r="AA71" i="5"/>
  <c r="AB71" i="5"/>
  <c r="AA72" i="5"/>
  <c r="AB72" i="5"/>
  <c r="AA73" i="5"/>
  <c r="AB73" i="5"/>
  <c r="AA74" i="5"/>
  <c r="AB74" i="5"/>
  <c r="AB63" i="5"/>
  <c r="AA63" i="5"/>
  <c r="AA52" i="5"/>
  <c r="AB52" i="5"/>
  <c r="AA53" i="5"/>
  <c r="AB53" i="5"/>
  <c r="AA54" i="5"/>
  <c r="AB54" i="5"/>
  <c r="AA55" i="5"/>
  <c r="AB55" i="5"/>
  <c r="AA56" i="5"/>
  <c r="AB56" i="5"/>
  <c r="AA57" i="5"/>
  <c r="AB57" i="5"/>
  <c r="AA58" i="5"/>
  <c r="AB58" i="5"/>
  <c r="AA59" i="5"/>
  <c r="AB59" i="5"/>
  <c r="AA60" i="5"/>
  <c r="AB60" i="5"/>
  <c r="AA61" i="5"/>
  <c r="AB61" i="5"/>
  <c r="AA62" i="5"/>
  <c r="AB62" i="5"/>
  <c r="AB51" i="5"/>
  <c r="AA51" i="5"/>
  <c r="Z122" i="5"/>
  <c r="Y122" i="5"/>
  <c r="Z110" i="5"/>
  <c r="Y110" i="5"/>
  <c r="Z98" i="5"/>
  <c r="Y98" i="5"/>
  <c r="Z86" i="5"/>
  <c r="Y86" i="5"/>
  <c r="Z74" i="5"/>
  <c r="Y74" i="5"/>
  <c r="Z62" i="5"/>
  <c r="Y62" i="5"/>
  <c r="AA40" i="5"/>
  <c r="AB40" i="5"/>
  <c r="AA41" i="5"/>
  <c r="AB41" i="5"/>
  <c r="AA42" i="5"/>
  <c r="AB42" i="5"/>
  <c r="AA43" i="5"/>
  <c r="AB43" i="5"/>
  <c r="AA44" i="5"/>
  <c r="AB44" i="5"/>
  <c r="AA45" i="5"/>
  <c r="AB45" i="5"/>
  <c r="AB30" i="5" s="1"/>
  <c r="AA46" i="5"/>
  <c r="AB46" i="5"/>
  <c r="AA47" i="5"/>
  <c r="AB47" i="5"/>
  <c r="AA48" i="5"/>
  <c r="AB48" i="5"/>
  <c r="AA49" i="5"/>
  <c r="AB49" i="5"/>
  <c r="AB34" i="5" s="1"/>
  <c r="AA50" i="5"/>
  <c r="AB50" i="5"/>
  <c r="AB39" i="5"/>
  <c r="AA39" i="5"/>
  <c r="AB24" i="5"/>
  <c r="Z50" i="5"/>
  <c r="Y50" i="5"/>
  <c r="AH25" i="5" l="1"/>
  <c r="AH33" i="5"/>
  <c r="AH28" i="5"/>
  <c r="AN26" i="5"/>
  <c r="AH35" i="5"/>
  <c r="AH34" i="5"/>
  <c r="AH31" i="5"/>
  <c r="AH30" i="5"/>
  <c r="AH27" i="5"/>
  <c r="AH26" i="5"/>
  <c r="AH36" i="5" s="1"/>
  <c r="AN30" i="5"/>
  <c r="AN34" i="5"/>
  <c r="AB28" i="5"/>
  <c r="AB26" i="5"/>
  <c r="AN35" i="5"/>
  <c r="AN33" i="5"/>
  <c r="AN31" i="5"/>
  <c r="AN29" i="5"/>
  <c r="AN27" i="5"/>
  <c r="AN25" i="5"/>
  <c r="AB32" i="5"/>
  <c r="AG32" i="5"/>
  <c r="AG28" i="5"/>
  <c r="AG24" i="5"/>
  <c r="AB35" i="5"/>
  <c r="AB33" i="5"/>
  <c r="AB31" i="5"/>
  <c r="AB29" i="5"/>
  <c r="AB27" i="5"/>
  <c r="AB25" i="5"/>
  <c r="AG26" i="5"/>
  <c r="AG30" i="5"/>
  <c r="AG34" i="5"/>
  <c r="AG25" i="5"/>
  <c r="AG27" i="5"/>
  <c r="AG29" i="5"/>
  <c r="AG31" i="5"/>
  <c r="AG33" i="5"/>
  <c r="AG35" i="5"/>
  <c r="CI98" i="5"/>
  <c r="CE98" i="5"/>
  <c r="CA98" i="5"/>
  <c r="CJ91" i="5"/>
  <c r="CI91" i="5"/>
  <c r="CF91" i="5"/>
  <c r="CE91" i="5"/>
  <c r="CB91" i="5"/>
  <c r="CB28" i="5" s="1"/>
  <c r="CA91" i="5"/>
  <c r="CJ90" i="5"/>
  <c r="CF90" i="5"/>
  <c r="CB90" i="5"/>
  <c r="CJ89" i="5"/>
  <c r="CF89" i="5"/>
  <c r="CF26" i="5" s="1"/>
  <c r="CB89" i="5"/>
  <c r="CJ88" i="5"/>
  <c r="CF88" i="5"/>
  <c r="CB88" i="5"/>
  <c r="CJ87" i="5"/>
  <c r="CF87" i="5"/>
  <c r="CF24" i="5" s="1"/>
  <c r="CB87" i="5"/>
  <c r="CJ86" i="5"/>
  <c r="CI86" i="5"/>
  <c r="CF86" i="5"/>
  <c r="CE86" i="5"/>
  <c r="CB86" i="5"/>
  <c r="CA86" i="5"/>
  <c r="CJ85" i="5"/>
  <c r="CF85" i="5"/>
  <c r="CB85" i="5"/>
  <c r="CJ84" i="5"/>
  <c r="CF84" i="5"/>
  <c r="CB84" i="5"/>
  <c r="CJ83" i="5"/>
  <c r="CF83" i="5"/>
  <c r="CB83" i="5"/>
  <c r="CB32" i="5" s="1"/>
  <c r="CJ82" i="5"/>
  <c r="CF82" i="5"/>
  <c r="CF31" i="5" s="1"/>
  <c r="CB82" i="5"/>
  <c r="CJ81" i="5"/>
  <c r="CF81" i="5"/>
  <c r="CB81" i="5"/>
  <c r="CJ80" i="5"/>
  <c r="CF80" i="5"/>
  <c r="CB80" i="5"/>
  <c r="CJ79" i="5"/>
  <c r="CI79" i="5"/>
  <c r="CF79" i="5"/>
  <c r="CE79" i="5"/>
  <c r="CB79" i="5"/>
  <c r="CA79" i="5"/>
  <c r="CJ78" i="5"/>
  <c r="CF78" i="5"/>
  <c r="CB78" i="5"/>
  <c r="CJ77" i="5"/>
  <c r="CF77" i="5"/>
  <c r="CB77" i="5"/>
  <c r="CJ76" i="5"/>
  <c r="CF76" i="5"/>
  <c r="CB76" i="5"/>
  <c r="CJ75" i="5"/>
  <c r="CF75" i="5"/>
  <c r="CB75" i="5"/>
  <c r="CJ74" i="5"/>
  <c r="CI74" i="5"/>
  <c r="CF74" i="5"/>
  <c r="CE74" i="5"/>
  <c r="CB74" i="5"/>
  <c r="CA74" i="5"/>
  <c r="CJ73" i="5"/>
  <c r="CF73" i="5"/>
  <c r="CB73" i="5"/>
  <c r="CJ72" i="5"/>
  <c r="CF72" i="5"/>
  <c r="CB72" i="5"/>
  <c r="CJ71" i="5"/>
  <c r="CF71" i="5"/>
  <c r="CB71" i="5"/>
  <c r="CJ70" i="5"/>
  <c r="CF70" i="5"/>
  <c r="CB70" i="5"/>
  <c r="CJ69" i="5"/>
  <c r="CF69" i="5"/>
  <c r="CB69" i="5"/>
  <c r="CJ68" i="5"/>
  <c r="CF68" i="5"/>
  <c r="CB68" i="5"/>
  <c r="CJ67" i="5"/>
  <c r="CI67" i="5"/>
  <c r="CF67" i="5"/>
  <c r="CE67" i="5"/>
  <c r="CB67" i="5"/>
  <c r="CA67" i="5"/>
  <c r="CJ66" i="5"/>
  <c r="CF66" i="5"/>
  <c r="CB66" i="5"/>
  <c r="CJ65" i="5"/>
  <c r="CF65" i="5"/>
  <c r="CB65" i="5"/>
  <c r="CJ64" i="5"/>
  <c r="CF64" i="5"/>
  <c r="CB64" i="5"/>
  <c r="CJ63" i="5"/>
  <c r="CF63" i="5"/>
  <c r="CB63" i="5"/>
  <c r="CJ62" i="5"/>
  <c r="CI62" i="5"/>
  <c r="CF62" i="5"/>
  <c r="CE62" i="5"/>
  <c r="CB62" i="5"/>
  <c r="CA62" i="5"/>
  <c r="CJ61" i="5"/>
  <c r="CF61" i="5"/>
  <c r="CB61" i="5"/>
  <c r="CJ60" i="5"/>
  <c r="CF60" i="5"/>
  <c r="CB60" i="5"/>
  <c r="CJ59" i="5"/>
  <c r="CF59" i="5"/>
  <c r="CB59" i="5"/>
  <c r="CJ58" i="5"/>
  <c r="CF58" i="5"/>
  <c r="CB58" i="5"/>
  <c r="CJ57" i="5"/>
  <c r="CF57" i="5"/>
  <c r="CB57" i="5"/>
  <c r="CJ56" i="5"/>
  <c r="CF56" i="5"/>
  <c r="CB56" i="5"/>
  <c r="CJ55" i="5"/>
  <c r="CI55" i="5"/>
  <c r="CF55" i="5"/>
  <c r="CE55" i="5"/>
  <c r="CB55" i="5"/>
  <c r="CA55" i="5"/>
  <c r="CJ54" i="5"/>
  <c r="CF54" i="5"/>
  <c r="CB54" i="5"/>
  <c r="CJ53" i="5"/>
  <c r="CF53" i="5"/>
  <c r="CB53" i="5"/>
  <c r="CJ52" i="5"/>
  <c r="CF52" i="5"/>
  <c r="CB52" i="5"/>
  <c r="CJ51" i="5"/>
  <c r="CF51" i="5"/>
  <c r="CB51" i="5"/>
  <c r="CJ50" i="5"/>
  <c r="CF50" i="5"/>
  <c r="CB50" i="5"/>
  <c r="CJ49" i="5"/>
  <c r="CF49" i="5"/>
  <c r="CB49" i="5"/>
  <c r="CJ48" i="5"/>
  <c r="CF48" i="5"/>
  <c r="CB48" i="5"/>
  <c r="AA33" i="5"/>
  <c r="CJ47" i="5"/>
  <c r="CF47" i="5"/>
  <c r="CF32" i="5" s="1"/>
  <c r="CB47" i="5"/>
  <c r="AM32" i="5"/>
  <c r="CJ46" i="5"/>
  <c r="CF46" i="5"/>
  <c r="CB46" i="5"/>
  <c r="AA31" i="5"/>
  <c r="CJ45" i="5"/>
  <c r="CF45" i="5"/>
  <c r="CB45" i="5"/>
  <c r="CJ44" i="5"/>
  <c r="CJ29" i="5" s="1"/>
  <c r="CF44" i="5"/>
  <c r="CB44" i="5"/>
  <c r="CB29" i="5" s="1"/>
  <c r="AA29" i="5"/>
  <c r="AA28" i="5"/>
  <c r="AA27" i="5"/>
  <c r="AA26" i="5"/>
  <c r="AA25" i="5"/>
  <c r="AM35" i="5"/>
  <c r="AA34" i="5"/>
  <c r="AA32" i="5"/>
  <c r="CJ30" i="5"/>
  <c r="AA30" i="5"/>
  <c r="CJ28" i="5"/>
  <c r="AM27" i="5"/>
  <c r="AM25" i="5"/>
  <c r="AA24" i="5"/>
  <c r="CB34" i="5" l="1"/>
  <c r="CB24" i="5"/>
  <c r="CJ24" i="5"/>
  <c r="CF25" i="5"/>
  <c r="CB26" i="5"/>
  <c r="CJ26" i="5"/>
  <c r="CF27" i="5"/>
  <c r="CB31" i="5"/>
  <c r="CJ31" i="5"/>
  <c r="CB33" i="5"/>
  <c r="CJ33" i="5"/>
  <c r="AN36" i="5"/>
  <c r="AB36" i="5"/>
  <c r="CF33" i="5"/>
  <c r="AM31" i="5"/>
  <c r="AM26" i="5"/>
  <c r="AG36" i="5"/>
  <c r="AM30" i="5"/>
  <c r="CF30" i="5"/>
  <c r="AM34" i="5"/>
  <c r="CF34" i="5"/>
  <c r="CF29" i="5"/>
  <c r="CB30" i="5"/>
  <c r="CJ32" i="5"/>
  <c r="CJ34" i="5"/>
  <c r="CF35" i="5"/>
  <c r="CB25" i="5"/>
  <c r="CJ25" i="5"/>
  <c r="CB27" i="5"/>
  <c r="CJ27" i="5"/>
  <c r="CF28" i="5"/>
  <c r="CB35" i="5"/>
  <c r="CJ35" i="5"/>
  <c r="AM24" i="5"/>
  <c r="AM28" i="5"/>
  <c r="AM29" i="5"/>
  <c r="AM33" i="5"/>
  <c r="AA35" i="5"/>
  <c r="AA36" i="5" s="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33"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40" i="1"/>
  <c r="AO41" i="1"/>
  <c r="AO42" i="1"/>
  <c r="AO43" i="1"/>
  <c r="AO44" i="1"/>
  <c r="AO45" i="1"/>
  <c r="AO46" i="1"/>
  <c r="AO47" i="1"/>
  <c r="AO48" i="1"/>
  <c r="AO49" i="1"/>
  <c r="AO50" i="1"/>
  <c r="AO51" i="1"/>
  <c r="AO52" i="1"/>
  <c r="AO53" i="1"/>
  <c r="AO54" i="1"/>
  <c r="AO39" i="1"/>
  <c r="AO29" i="1" l="1"/>
  <c r="AG29" i="1"/>
  <c r="CB36" i="5"/>
  <c r="CJ36" i="5"/>
  <c r="CF36" i="5"/>
  <c r="AM36" i="5"/>
  <c r="AR39" i="1"/>
  <c r="BB119" i="1" l="1"/>
  <c r="BB118" i="1"/>
  <c r="AP119" i="1"/>
  <c r="AQ119" i="1" s="1"/>
  <c r="AR119" i="1" s="1"/>
  <c r="AP118" i="1"/>
  <c r="AQ118" i="1" s="1"/>
  <c r="AP117" i="1"/>
  <c r="AQ117" i="1" s="1"/>
  <c r="AP116" i="1"/>
  <c r="AQ116" i="1" s="1"/>
  <c r="AP115" i="1"/>
  <c r="AQ115" i="1" s="1"/>
  <c r="AP114" i="1"/>
  <c r="AQ114" i="1" s="1"/>
  <c r="AP113" i="1"/>
  <c r="AQ113" i="1" s="1"/>
  <c r="AP112" i="1"/>
  <c r="AQ112" i="1" s="1"/>
  <c r="AP111" i="1"/>
  <c r="AQ111" i="1" s="1"/>
  <c r="AP110" i="1"/>
  <c r="AQ110" i="1" s="1"/>
  <c r="AP109" i="1"/>
  <c r="AQ109" i="1" s="1"/>
  <c r="AP108" i="1"/>
  <c r="AQ108" i="1" s="1"/>
  <c r="AP107" i="1"/>
  <c r="AQ107" i="1" s="1"/>
  <c r="AP106" i="1"/>
  <c r="AQ106" i="1" s="1"/>
  <c r="AP105" i="1"/>
  <c r="AQ105" i="1" s="1"/>
  <c r="AP104" i="1"/>
  <c r="AQ104" i="1" s="1"/>
  <c r="AP103" i="1"/>
  <c r="AQ103" i="1" s="1"/>
  <c r="AP102" i="1"/>
  <c r="AQ102" i="1" s="1"/>
  <c r="AP101" i="1"/>
  <c r="AQ101" i="1" s="1"/>
  <c r="AS101" i="1" s="1"/>
  <c r="AP100" i="1"/>
  <c r="AQ100" i="1" s="1"/>
  <c r="AP99" i="1"/>
  <c r="AQ99" i="1" s="1"/>
  <c r="AP98" i="1"/>
  <c r="AQ98" i="1" s="1"/>
  <c r="AP97" i="1"/>
  <c r="AQ97" i="1" s="1"/>
  <c r="AR97" i="1" s="1"/>
  <c r="AP96" i="1"/>
  <c r="AQ96" i="1" s="1"/>
  <c r="U19" i="1"/>
  <c r="U20" i="1" s="1"/>
  <c r="V20" i="1" s="1"/>
  <c r="W20" i="1" s="1"/>
  <c r="T19" i="1"/>
  <c r="T20" i="1" s="1"/>
  <c r="AR99" i="1" l="1"/>
  <c r="AS99" i="1"/>
  <c r="AR103" i="1"/>
  <c r="AS103" i="1"/>
  <c r="AR107" i="1"/>
  <c r="AS107" i="1"/>
  <c r="AR111" i="1"/>
  <c r="AS111" i="1"/>
  <c r="AR113" i="1"/>
  <c r="AS113" i="1"/>
  <c r="AR115" i="1"/>
  <c r="AS115" i="1"/>
  <c r="AR117" i="1"/>
  <c r="AR105" i="1"/>
  <c r="AR109" i="1"/>
  <c r="AS109" i="1"/>
  <c r="AR98" i="1"/>
  <c r="AS98" i="1"/>
  <c r="AR100" i="1"/>
  <c r="AS100" i="1"/>
  <c r="AR102" i="1"/>
  <c r="AS102" i="1"/>
  <c r="AR104" i="1"/>
  <c r="AS104" i="1"/>
  <c r="AR106" i="1"/>
  <c r="AR108" i="1"/>
  <c r="AT108" i="1" s="1"/>
  <c r="AS108" i="1"/>
  <c r="AR110" i="1"/>
  <c r="AT110" i="1" s="1"/>
  <c r="AS110" i="1"/>
  <c r="AR112" i="1"/>
  <c r="AT112" i="1" s="1"/>
  <c r="AS112" i="1"/>
  <c r="AR114" i="1"/>
  <c r="AT114" i="1" s="1"/>
  <c r="AS114" i="1"/>
  <c r="AR116" i="1"/>
  <c r="AS118" i="1"/>
  <c r="AR118" i="1"/>
  <c r="AT118" i="1" s="1"/>
  <c r="V19" i="1"/>
  <c r="W19" i="1" s="1"/>
  <c r="AR101" i="1"/>
  <c r="AT101" i="1" s="1"/>
  <c r="AS97" i="1"/>
  <c r="AT97" i="1" s="1"/>
  <c r="AS119" i="1"/>
  <c r="AT119" i="1" s="1"/>
  <c r="AR96" i="1"/>
  <c r="AS96" i="1"/>
  <c r="AT96" i="1" l="1"/>
  <c r="AT104" i="1"/>
  <c r="AT102" i="1"/>
  <c r="AT100" i="1"/>
  <c r="AT98" i="1"/>
  <c r="AT109" i="1"/>
  <c r="AT115" i="1"/>
  <c r="AT113" i="1"/>
  <c r="AT111" i="1"/>
  <c r="AT107" i="1"/>
  <c r="AT103" i="1"/>
  <c r="AT99"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Y33" i="1"/>
  <c r="V33" i="1"/>
  <c r="BD35" i="1"/>
  <c r="BE35" i="1"/>
  <c r="BH35" i="1"/>
  <c r="BI35" i="1"/>
  <c r="BD36" i="1"/>
  <c r="BE36" i="1"/>
  <c r="BH36" i="1"/>
  <c r="BI36" i="1"/>
  <c r="BD37" i="1"/>
  <c r="BE37" i="1"/>
  <c r="BH37" i="1"/>
  <c r="BI37" i="1"/>
  <c r="BD38" i="1"/>
  <c r="BE38" i="1"/>
  <c r="BH38" i="1"/>
  <c r="BI38" i="1"/>
  <c r="BD39" i="1"/>
  <c r="BE39" i="1"/>
  <c r="BH39" i="1"/>
  <c r="BI39" i="1"/>
  <c r="BD40" i="1"/>
  <c r="BE40" i="1"/>
  <c r="BH40" i="1"/>
  <c r="BI40" i="1"/>
  <c r="BD41" i="1"/>
  <c r="BE41" i="1"/>
  <c r="BH41" i="1"/>
  <c r="BI41" i="1"/>
  <c r="BD42" i="1"/>
  <c r="BE42" i="1"/>
  <c r="BH42" i="1"/>
  <c r="BI42" i="1"/>
  <c r="BD43" i="1"/>
  <c r="BE43" i="1"/>
  <c r="BH43" i="1"/>
  <c r="BI43" i="1"/>
  <c r="BD44" i="1"/>
  <c r="BE44" i="1"/>
  <c r="BH44" i="1"/>
  <c r="BI44" i="1"/>
  <c r="BD45" i="1"/>
  <c r="BE45" i="1"/>
  <c r="BH45" i="1"/>
  <c r="BI45" i="1"/>
  <c r="BD46" i="1"/>
  <c r="BE46" i="1"/>
  <c r="BH46" i="1"/>
  <c r="BI46" i="1"/>
  <c r="BD47" i="1"/>
  <c r="BE47" i="1"/>
  <c r="BH47" i="1"/>
  <c r="BI47" i="1"/>
  <c r="BD48" i="1"/>
  <c r="BE48" i="1"/>
  <c r="BH48" i="1"/>
  <c r="BI48" i="1"/>
  <c r="BD49" i="1"/>
  <c r="BE49" i="1"/>
  <c r="BH49" i="1"/>
  <c r="BI49" i="1"/>
  <c r="BD50" i="1"/>
  <c r="BE50" i="1"/>
  <c r="BH50" i="1"/>
  <c r="BI50" i="1"/>
  <c r="BD51" i="1"/>
  <c r="BE51" i="1"/>
  <c r="BH51" i="1"/>
  <c r="BI51" i="1"/>
  <c r="BD52" i="1"/>
  <c r="BE52" i="1"/>
  <c r="BH52" i="1"/>
  <c r="BI52" i="1"/>
  <c r="BD53" i="1"/>
  <c r="BE53" i="1"/>
  <c r="BH53" i="1"/>
  <c r="BI53" i="1"/>
  <c r="BD54" i="1"/>
  <c r="BE54" i="1"/>
  <c r="BH54" i="1"/>
  <c r="BI54" i="1"/>
  <c r="BD55" i="1"/>
  <c r="BE55" i="1"/>
  <c r="BH55" i="1"/>
  <c r="BI55" i="1"/>
  <c r="BD56" i="1"/>
  <c r="BE56" i="1"/>
  <c r="BH56" i="1"/>
  <c r="BI56" i="1"/>
  <c r="BD57" i="1"/>
  <c r="BE57" i="1"/>
  <c r="BH57" i="1"/>
  <c r="BI57" i="1"/>
  <c r="BD58" i="1"/>
  <c r="BE58" i="1"/>
  <c r="BH58" i="1"/>
  <c r="BI58" i="1"/>
  <c r="BD59" i="1"/>
  <c r="BE59" i="1"/>
  <c r="BH59" i="1"/>
  <c r="BI59" i="1"/>
  <c r="BD60" i="1"/>
  <c r="BE60" i="1"/>
  <c r="BH60" i="1"/>
  <c r="BI60" i="1"/>
  <c r="BD61" i="1"/>
  <c r="BE61" i="1"/>
  <c r="BH61" i="1"/>
  <c r="BI61" i="1"/>
  <c r="BD62" i="1"/>
  <c r="BE62" i="1"/>
  <c r="BH62" i="1"/>
  <c r="BI62" i="1"/>
  <c r="BD63" i="1"/>
  <c r="BE63" i="1"/>
  <c r="BH63" i="1"/>
  <c r="BI63" i="1"/>
  <c r="BD64" i="1"/>
  <c r="BE64" i="1"/>
  <c r="BH64" i="1"/>
  <c r="BI64" i="1"/>
  <c r="BD65" i="1"/>
  <c r="BE65" i="1"/>
  <c r="BH65" i="1"/>
  <c r="BI65" i="1"/>
  <c r="BD66" i="1"/>
  <c r="BE66" i="1"/>
  <c r="BH66" i="1"/>
  <c r="BI66" i="1"/>
  <c r="BD67" i="1"/>
  <c r="BE67" i="1"/>
  <c r="BH67" i="1"/>
  <c r="BI67" i="1"/>
  <c r="BD68" i="1"/>
  <c r="BE68" i="1"/>
  <c r="BH68" i="1"/>
  <c r="BI68" i="1"/>
  <c r="BD69" i="1"/>
  <c r="BE69" i="1"/>
  <c r="BH69" i="1"/>
  <c r="BI69" i="1"/>
  <c r="BD70" i="1"/>
  <c r="BE70" i="1"/>
  <c r="BH70" i="1"/>
  <c r="BI70" i="1"/>
  <c r="BD71" i="1"/>
  <c r="BE71" i="1"/>
  <c r="BH71" i="1"/>
  <c r="BI71" i="1"/>
  <c r="BD72" i="1"/>
  <c r="BE72" i="1"/>
  <c r="BH72" i="1"/>
  <c r="BI72" i="1"/>
  <c r="BD73" i="1"/>
  <c r="BE73" i="1"/>
  <c r="BH73" i="1"/>
  <c r="BI73" i="1"/>
  <c r="BD74" i="1"/>
  <c r="BE74" i="1"/>
  <c r="BH74" i="1"/>
  <c r="BI74" i="1"/>
  <c r="BD75" i="1"/>
  <c r="BE75" i="1"/>
  <c r="BH75" i="1"/>
  <c r="BI75" i="1"/>
  <c r="BD76" i="1"/>
  <c r="BE76" i="1"/>
  <c r="BH76" i="1"/>
  <c r="BI76" i="1"/>
  <c r="BD77" i="1"/>
  <c r="BE77" i="1"/>
  <c r="BH77" i="1"/>
  <c r="BI77" i="1"/>
  <c r="BD78" i="1"/>
  <c r="BE78" i="1"/>
  <c r="BH78" i="1"/>
  <c r="BI78" i="1"/>
  <c r="BD79" i="1"/>
  <c r="BE79" i="1"/>
  <c r="BH79" i="1"/>
  <c r="BI79" i="1"/>
  <c r="BD80" i="1"/>
  <c r="BE80" i="1"/>
  <c r="BH80" i="1"/>
  <c r="BI80" i="1"/>
  <c r="BD81" i="1"/>
  <c r="BE81" i="1"/>
  <c r="BH81" i="1"/>
  <c r="BI81" i="1"/>
  <c r="BD82" i="1"/>
  <c r="BE82" i="1"/>
  <c r="BH82" i="1"/>
  <c r="BI82" i="1"/>
  <c r="BD83" i="1"/>
  <c r="BE83" i="1"/>
  <c r="BH83" i="1"/>
  <c r="BI83" i="1"/>
  <c r="BD84" i="1"/>
  <c r="BE84" i="1"/>
  <c r="BH84" i="1"/>
  <c r="BI84" i="1"/>
  <c r="BD85" i="1"/>
  <c r="BE85" i="1"/>
  <c r="BH85" i="1"/>
  <c r="BI85" i="1"/>
  <c r="BD86" i="1"/>
  <c r="BE86" i="1"/>
  <c r="BH86" i="1"/>
  <c r="BI86" i="1"/>
  <c r="BD87" i="1"/>
  <c r="BE87" i="1"/>
  <c r="BH87" i="1"/>
  <c r="BI87" i="1"/>
  <c r="BD88" i="1"/>
  <c r="BE88" i="1"/>
  <c r="BH88" i="1"/>
  <c r="BI88" i="1"/>
  <c r="BD89" i="1"/>
  <c r="BE89" i="1"/>
  <c r="BH89" i="1"/>
  <c r="BI89" i="1"/>
  <c r="BD90" i="1"/>
  <c r="BE90" i="1"/>
  <c r="BH90" i="1"/>
  <c r="BI90" i="1"/>
  <c r="BD91" i="1"/>
  <c r="BE91" i="1"/>
  <c r="BH91" i="1"/>
  <c r="BI91" i="1"/>
  <c r="BD92" i="1"/>
  <c r="BE92" i="1"/>
  <c r="BH92" i="1"/>
  <c r="BI92" i="1"/>
  <c r="BD93" i="1"/>
  <c r="BE93" i="1"/>
  <c r="BH93" i="1"/>
  <c r="BI93" i="1"/>
  <c r="BD94" i="1"/>
  <c r="BE94" i="1"/>
  <c r="BH94" i="1"/>
  <c r="BI94" i="1"/>
  <c r="BD95" i="1"/>
  <c r="BE95" i="1"/>
  <c r="BH95" i="1"/>
  <c r="BI95" i="1"/>
  <c r="BD96" i="1"/>
  <c r="BE96" i="1"/>
  <c r="BH96" i="1"/>
  <c r="BI96" i="1"/>
  <c r="BD97" i="1"/>
  <c r="BE97" i="1"/>
  <c r="BH97" i="1"/>
  <c r="BI97" i="1"/>
  <c r="BD98" i="1"/>
  <c r="BE98" i="1"/>
  <c r="BH98" i="1"/>
  <c r="BI98" i="1"/>
  <c r="BD99" i="1"/>
  <c r="BE99" i="1"/>
  <c r="BH99" i="1"/>
  <c r="BI99" i="1"/>
  <c r="BD100" i="1"/>
  <c r="BE100" i="1"/>
  <c r="BH100" i="1"/>
  <c r="BI100" i="1"/>
  <c r="BD101" i="1"/>
  <c r="BE101" i="1"/>
  <c r="BH101" i="1"/>
  <c r="BI101" i="1"/>
  <c r="BD102" i="1"/>
  <c r="BE102" i="1"/>
  <c r="BH102" i="1"/>
  <c r="BI102" i="1"/>
  <c r="BD103" i="1"/>
  <c r="BE103" i="1"/>
  <c r="BH103" i="1"/>
  <c r="BI103" i="1"/>
  <c r="BD104" i="1"/>
  <c r="BE104" i="1"/>
  <c r="BH104" i="1"/>
  <c r="BI104" i="1"/>
  <c r="BD105" i="1"/>
  <c r="BE105" i="1"/>
  <c r="BH105" i="1"/>
  <c r="BI105" i="1"/>
  <c r="BD106" i="1"/>
  <c r="BE106" i="1"/>
  <c r="BH106" i="1"/>
  <c r="BI106" i="1"/>
  <c r="BD107" i="1"/>
  <c r="BE107" i="1"/>
  <c r="BH107" i="1"/>
  <c r="BI107" i="1"/>
  <c r="BD108" i="1"/>
  <c r="BE108" i="1"/>
  <c r="BH108" i="1"/>
  <c r="BI108" i="1"/>
  <c r="BD109" i="1"/>
  <c r="BE109" i="1"/>
  <c r="BH109" i="1"/>
  <c r="BI109" i="1"/>
  <c r="BD110" i="1"/>
  <c r="BE110" i="1"/>
  <c r="BH110" i="1"/>
  <c r="BI110" i="1"/>
  <c r="BD111" i="1"/>
  <c r="BE111" i="1"/>
  <c r="BH111" i="1"/>
  <c r="BI111" i="1"/>
  <c r="BD112" i="1"/>
  <c r="BE112" i="1"/>
  <c r="BH112" i="1"/>
  <c r="BI112" i="1"/>
  <c r="BD113" i="1"/>
  <c r="BE113" i="1"/>
  <c r="BH113" i="1"/>
  <c r="BI113" i="1"/>
  <c r="BD114" i="1"/>
  <c r="BE114" i="1"/>
  <c r="BH114" i="1"/>
  <c r="BI114" i="1"/>
  <c r="BD115" i="1"/>
  <c r="BE115" i="1"/>
  <c r="BH115" i="1"/>
  <c r="BI115" i="1"/>
  <c r="BD116" i="1"/>
  <c r="BE116" i="1"/>
  <c r="BH116" i="1"/>
  <c r="BI116" i="1"/>
  <c r="BD117" i="1"/>
  <c r="BE117" i="1"/>
  <c r="BH117" i="1"/>
  <c r="BI117" i="1"/>
  <c r="BD118" i="1"/>
  <c r="BE118" i="1"/>
  <c r="BH118" i="1"/>
  <c r="BI118" i="1"/>
  <c r="BD119" i="1"/>
  <c r="BE119" i="1"/>
  <c r="BH119" i="1"/>
  <c r="BI119" i="1"/>
  <c r="BH34" i="1"/>
  <c r="BI34" i="1"/>
  <c r="BD34" i="1"/>
  <c r="BE34" i="1"/>
  <c r="BI33" i="1"/>
  <c r="BH33" i="1"/>
  <c r="BE33" i="1"/>
  <c r="BD33" i="1"/>
  <c r="BF32" i="1"/>
  <c r="BC28" i="1"/>
  <c r="W6" i="4"/>
  <c r="W7" i="4"/>
  <c r="W8" i="4"/>
  <c r="W9" i="4"/>
  <c r="W14" i="1"/>
  <c r="W15" i="1"/>
  <c r="W16" i="1"/>
  <c r="W17" i="1"/>
  <c r="W18" i="1"/>
  <c r="W13" i="1"/>
  <c r="BF38" i="1" l="1"/>
  <c r="BF36" i="1"/>
  <c r="BF40" i="1"/>
  <c r="BF114" i="1"/>
  <c r="BF110" i="1"/>
  <c r="BF108" i="1"/>
  <c r="BF106" i="1"/>
  <c r="BF70" i="1"/>
  <c r="BF62" i="1"/>
  <c r="BF58" i="1"/>
  <c r="BF52" i="1"/>
  <c r="BF50" i="1"/>
  <c r="BF48" i="1"/>
  <c r="BF44" i="1"/>
  <c r="BF42" i="1"/>
  <c r="W21" i="1"/>
  <c r="BF99" i="1"/>
  <c r="BF95" i="1"/>
  <c r="BF91" i="1"/>
  <c r="BF47" i="1"/>
  <c r="BF104" i="1"/>
  <c r="BF102" i="1"/>
  <c r="BF55" i="1"/>
  <c r="BF56" i="1"/>
  <c r="BF34" i="1"/>
  <c r="BF115" i="1"/>
  <c r="BF86" i="1"/>
  <c r="BF82" i="1"/>
  <c r="BF78" i="1"/>
  <c r="BF76" i="1"/>
  <c r="BF74" i="1"/>
  <c r="BF67" i="1"/>
  <c r="BF63" i="1"/>
  <c r="BF53" i="1"/>
  <c r="BF90" i="1"/>
  <c r="BF88" i="1"/>
  <c r="BF83" i="1"/>
  <c r="BF72" i="1"/>
  <c r="BF116" i="1"/>
  <c r="BF111" i="1"/>
  <c r="BF107" i="1"/>
  <c r="BF103" i="1"/>
  <c r="BF98" i="1"/>
  <c r="BF96" i="1"/>
  <c r="BF94" i="1"/>
  <c r="BF92" i="1"/>
  <c r="BF87" i="1"/>
  <c r="BF79" i="1"/>
  <c r="BF75" i="1"/>
  <c r="BF71" i="1"/>
  <c r="BF66" i="1"/>
  <c r="BF64" i="1"/>
  <c r="BF59" i="1"/>
  <c r="BF57" i="1"/>
  <c r="BF54" i="1"/>
  <c r="BF51" i="1"/>
  <c r="BF49" i="1"/>
  <c r="BF46" i="1"/>
  <c r="BF43" i="1"/>
  <c r="BF39" i="1"/>
  <c r="BF37" i="1"/>
  <c r="BF35" i="1"/>
  <c r="BF119" i="1"/>
  <c r="BF100" i="1"/>
  <c r="BF84" i="1"/>
  <c r="BF68" i="1"/>
  <c r="BF60" i="1"/>
  <c r="BF45" i="1"/>
  <c r="BF112" i="1"/>
  <c r="BF80" i="1"/>
  <c r="BC35" i="1"/>
  <c r="BC36" i="1"/>
  <c r="BC38" i="1"/>
  <c r="BC40" i="1"/>
  <c r="BC43" i="1"/>
  <c r="BC45" i="1"/>
  <c r="BC47" i="1"/>
  <c r="BC49" i="1"/>
  <c r="BC51" i="1"/>
  <c r="BC53" i="1"/>
  <c r="BC55" i="1"/>
  <c r="BC57" i="1"/>
  <c r="BC59" i="1"/>
  <c r="BC60" i="1"/>
  <c r="BC63" i="1"/>
  <c r="BC64" i="1"/>
  <c r="BC67" i="1"/>
  <c r="BC68" i="1"/>
  <c r="BC71" i="1"/>
  <c r="BC72" i="1"/>
  <c r="BC75" i="1"/>
  <c r="BC76" i="1"/>
  <c r="BC79" i="1"/>
  <c r="BC80" i="1"/>
  <c r="BC83" i="1"/>
  <c r="BC84" i="1"/>
  <c r="BC87" i="1"/>
  <c r="BC88" i="1"/>
  <c r="BC91" i="1"/>
  <c r="BC92" i="1"/>
  <c r="BC95" i="1"/>
  <c r="BC96" i="1"/>
  <c r="BC99" i="1"/>
  <c r="BC100" i="1"/>
  <c r="BC103" i="1"/>
  <c r="BC104" i="1"/>
  <c r="BC107" i="1"/>
  <c r="BC108" i="1"/>
  <c r="BC111" i="1"/>
  <c r="BC112" i="1"/>
  <c r="BC115" i="1"/>
  <c r="BC116" i="1"/>
  <c r="BC37" i="1"/>
  <c r="BC39" i="1"/>
  <c r="BC41" i="1"/>
  <c r="BC42" i="1"/>
  <c r="BC44" i="1"/>
  <c r="BC46" i="1"/>
  <c r="BC48" i="1"/>
  <c r="BC50" i="1"/>
  <c r="BC52" i="1"/>
  <c r="BC54" i="1"/>
  <c r="BC56" i="1"/>
  <c r="BC58" i="1"/>
  <c r="BC61" i="1"/>
  <c r="BC62" i="1"/>
  <c r="BC65" i="1"/>
  <c r="BC66" i="1"/>
  <c r="BC69" i="1"/>
  <c r="BC70" i="1"/>
  <c r="BC73" i="1"/>
  <c r="BC74" i="1"/>
  <c r="BC77" i="1"/>
  <c r="BC78" i="1"/>
  <c r="BC81" i="1"/>
  <c r="BC82" i="1"/>
  <c r="BC85" i="1"/>
  <c r="BC86" i="1"/>
  <c r="BC89" i="1"/>
  <c r="BC90" i="1"/>
  <c r="BC93" i="1"/>
  <c r="BC94" i="1"/>
  <c r="BC97" i="1"/>
  <c r="BC98" i="1"/>
  <c r="BC101" i="1"/>
  <c r="BC102" i="1"/>
  <c r="BC105" i="1"/>
  <c r="BC106" i="1"/>
  <c r="BC109" i="1"/>
  <c r="BC110" i="1"/>
  <c r="BC113" i="1"/>
  <c r="BC114" i="1"/>
  <c r="BC117" i="1"/>
  <c r="BC118" i="1"/>
  <c r="BC33" i="1"/>
  <c r="BC119" i="1"/>
  <c r="BC34" i="1"/>
  <c r="BF118" i="1"/>
  <c r="BF117" i="1"/>
  <c r="BF113" i="1"/>
  <c r="BF109" i="1"/>
  <c r="BF105" i="1"/>
  <c r="BF101" i="1"/>
  <c r="BF97" i="1"/>
  <c r="BF93" i="1"/>
  <c r="BF89" i="1"/>
  <c r="BF85" i="1"/>
  <c r="BF81" i="1"/>
  <c r="BF77" i="1"/>
  <c r="BF73" i="1"/>
  <c r="BF69" i="1"/>
  <c r="BF65" i="1"/>
  <c r="BF61" i="1"/>
  <c r="BF41" i="1"/>
  <c r="BF33" i="1"/>
  <c r="N54" i="1" l="1"/>
  <c r="V21" i="1"/>
  <c r="AP95" i="1" l="1"/>
  <c r="AQ95" i="1" s="1"/>
  <c r="AP94" i="1"/>
  <c r="AQ94" i="1" s="1"/>
  <c r="AP93" i="1"/>
  <c r="AQ93" i="1" s="1"/>
  <c r="AP92" i="1"/>
  <c r="AQ92" i="1" s="1"/>
  <c r="AP91" i="1"/>
  <c r="AQ91" i="1" s="1"/>
  <c r="AP90" i="1"/>
  <c r="AQ90" i="1" s="1"/>
  <c r="AP89" i="1"/>
  <c r="AQ89" i="1" s="1"/>
  <c r="AP88" i="1"/>
  <c r="AQ88" i="1" s="1"/>
  <c r="AP87" i="1"/>
  <c r="AQ87" i="1" s="1"/>
  <c r="AP86" i="1"/>
  <c r="AQ86" i="1" s="1"/>
  <c r="AP85" i="1"/>
  <c r="AQ85" i="1" s="1"/>
  <c r="AP84" i="1"/>
  <c r="AQ84" i="1" s="1"/>
  <c r="AP83" i="1"/>
  <c r="AQ83" i="1" s="1"/>
  <c r="AP82" i="1"/>
  <c r="AQ82" i="1" s="1"/>
  <c r="AP81" i="1"/>
  <c r="AQ81" i="1" s="1"/>
  <c r="AP80" i="1"/>
  <c r="AQ80" i="1" s="1"/>
  <c r="AP79" i="1"/>
  <c r="AQ79" i="1" s="1"/>
  <c r="AP78" i="1"/>
  <c r="AQ78" i="1" s="1"/>
  <c r="AP77" i="1"/>
  <c r="AQ77" i="1" s="1"/>
  <c r="AP76" i="1"/>
  <c r="AQ76" i="1" s="1"/>
  <c r="AP75" i="1"/>
  <c r="AQ75" i="1" s="1"/>
  <c r="AP74" i="1"/>
  <c r="AQ74" i="1" s="1"/>
  <c r="AP73" i="1"/>
  <c r="AQ73" i="1" s="1"/>
  <c r="AP72" i="1"/>
  <c r="AQ72" i="1" s="1"/>
  <c r="AP71" i="1"/>
  <c r="AQ71" i="1" s="1"/>
  <c r="AP70" i="1"/>
  <c r="AQ70" i="1" s="1"/>
  <c r="AP69" i="1"/>
  <c r="AQ69" i="1" s="1"/>
  <c r="AP68" i="1"/>
  <c r="AQ68" i="1" s="1"/>
  <c r="AP67" i="1"/>
  <c r="AQ67" i="1" s="1"/>
  <c r="AP66" i="1"/>
  <c r="AQ66" i="1" s="1"/>
  <c r="AP65" i="1"/>
  <c r="AQ65" i="1" s="1"/>
  <c r="AP64" i="1"/>
  <c r="AQ64" i="1" s="1"/>
  <c r="AP63" i="1"/>
  <c r="AQ63" i="1" s="1"/>
  <c r="AP62" i="1"/>
  <c r="AQ62" i="1" s="1"/>
  <c r="AP61" i="1"/>
  <c r="AQ61" i="1" s="1"/>
  <c r="AP60" i="1"/>
  <c r="AQ60" i="1" s="1"/>
  <c r="AP59" i="1"/>
  <c r="AQ59" i="1" s="1"/>
  <c r="AP58" i="1"/>
  <c r="AQ58" i="1" s="1"/>
  <c r="AP57" i="1"/>
  <c r="AQ57" i="1" s="1"/>
  <c r="AP56" i="1"/>
  <c r="AQ56" i="1" s="1"/>
  <c r="AP55" i="1"/>
  <c r="AQ55" i="1" s="1"/>
  <c r="AP54" i="1"/>
  <c r="AQ54" i="1" s="1"/>
  <c r="AP53" i="1"/>
  <c r="AQ53" i="1" s="1"/>
  <c r="AP52" i="1"/>
  <c r="AQ52" i="1" s="1"/>
  <c r="AP51" i="1"/>
  <c r="AQ51" i="1" s="1"/>
  <c r="AP50" i="1"/>
  <c r="AQ50" i="1" s="1"/>
  <c r="AP49" i="1"/>
  <c r="AQ49" i="1" s="1"/>
  <c r="AP48" i="1"/>
  <c r="AQ48" i="1" s="1"/>
  <c r="AP36" i="1"/>
  <c r="AQ36" i="1" s="1"/>
  <c r="AP37" i="1"/>
  <c r="AQ37" i="1" s="1"/>
  <c r="AP38" i="1"/>
  <c r="AQ38" i="1" s="1"/>
  <c r="AP39" i="1"/>
  <c r="AQ39" i="1" s="1"/>
  <c r="AP40" i="1"/>
  <c r="AQ40" i="1" s="1"/>
  <c r="AP41" i="1"/>
  <c r="AQ41" i="1" s="1"/>
  <c r="AP42" i="1"/>
  <c r="AQ42" i="1" s="1"/>
  <c r="AP43" i="1"/>
  <c r="AQ43" i="1" s="1"/>
  <c r="AP44" i="1"/>
  <c r="AQ44" i="1" s="1"/>
  <c r="AP45" i="1"/>
  <c r="AQ45" i="1" s="1"/>
  <c r="AP46" i="1"/>
  <c r="AQ46" i="1" s="1"/>
  <c r="AP47" i="1"/>
  <c r="AQ47" i="1" s="1"/>
  <c r="AP35" i="1"/>
  <c r="AQ35" i="1" s="1"/>
  <c r="AP34" i="1"/>
  <c r="AQ34" i="1" s="1"/>
  <c r="AP33" i="1"/>
  <c r="AQ33" i="1" s="1"/>
  <c r="T5" i="4"/>
  <c r="U5" i="4"/>
  <c r="V5" i="4"/>
  <c r="T6" i="4"/>
  <c r="U6" i="4"/>
  <c r="V6" i="4"/>
  <c r="T7" i="4"/>
  <c r="U7" i="4"/>
  <c r="V7" i="4"/>
  <c r="T8" i="4"/>
  <c r="U8" i="4"/>
  <c r="V8" i="4"/>
  <c r="T9" i="4"/>
  <c r="U9" i="4"/>
  <c r="V9" i="4"/>
  <c r="T10" i="4"/>
  <c r="U10" i="4"/>
  <c r="V10" i="4"/>
  <c r="S6" i="4"/>
  <c r="S7" i="4"/>
  <c r="S8" i="4"/>
  <c r="S9" i="4"/>
  <c r="S10" i="4"/>
  <c r="S5" i="4"/>
  <c r="P63" i="5"/>
  <c r="P64" i="5"/>
  <c r="P65" i="5"/>
  <c r="P66" i="5"/>
  <c r="P67" i="5"/>
  <c r="P68" i="5"/>
  <c r="P69" i="5"/>
  <c r="P70" i="5"/>
  <c r="P71" i="5"/>
  <c r="P72" i="5"/>
  <c r="P73" i="5"/>
  <c r="P74" i="5"/>
  <c r="P62" i="5"/>
  <c r="H112" i="5"/>
  <c r="H113" i="5"/>
  <c r="H114" i="5"/>
  <c r="H115" i="5"/>
  <c r="H116" i="5"/>
  <c r="H117" i="5"/>
  <c r="H118" i="5"/>
  <c r="H119" i="5"/>
  <c r="H120" i="5"/>
  <c r="H121" i="5"/>
  <c r="H122" i="5"/>
  <c r="H111" i="5"/>
  <c r="H100" i="5"/>
  <c r="H101" i="5"/>
  <c r="H102" i="5"/>
  <c r="H103" i="5"/>
  <c r="H104" i="5"/>
  <c r="H105" i="5"/>
  <c r="H106" i="5"/>
  <c r="H107" i="5"/>
  <c r="H108" i="5"/>
  <c r="H109" i="5"/>
  <c r="H110" i="5"/>
  <c r="H99" i="5"/>
  <c r="H88" i="5"/>
  <c r="H89" i="5"/>
  <c r="H90" i="5"/>
  <c r="H91" i="5"/>
  <c r="H92" i="5"/>
  <c r="H93" i="5"/>
  <c r="H94" i="5"/>
  <c r="H95" i="5"/>
  <c r="H96" i="5"/>
  <c r="H97" i="5"/>
  <c r="H98" i="5"/>
  <c r="H87" i="5"/>
  <c r="H76" i="5"/>
  <c r="H77" i="5"/>
  <c r="H78" i="5"/>
  <c r="H79" i="5"/>
  <c r="H80" i="5"/>
  <c r="H81" i="5"/>
  <c r="H82" i="5"/>
  <c r="H83" i="5"/>
  <c r="H84" i="5"/>
  <c r="H85" i="5"/>
  <c r="H86" i="5"/>
  <c r="H75" i="5"/>
  <c r="H64" i="5"/>
  <c r="H65" i="5"/>
  <c r="H66" i="5"/>
  <c r="H67" i="5"/>
  <c r="H68" i="5"/>
  <c r="H69" i="5"/>
  <c r="H70" i="5"/>
  <c r="H71" i="5"/>
  <c r="H72" i="5"/>
  <c r="H73" i="5"/>
  <c r="H74" i="5"/>
  <c r="H63" i="5"/>
  <c r="H52" i="5"/>
  <c r="H53" i="5"/>
  <c r="H54" i="5"/>
  <c r="H55" i="5"/>
  <c r="H56" i="5"/>
  <c r="H57" i="5"/>
  <c r="H58" i="5"/>
  <c r="H59" i="5"/>
  <c r="H60" i="5"/>
  <c r="H61" i="5"/>
  <c r="H62" i="5"/>
  <c r="H51" i="5"/>
  <c r="H42" i="5"/>
  <c r="H43" i="5"/>
  <c r="H44" i="5"/>
  <c r="H45" i="5"/>
  <c r="H46" i="5"/>
  <c r="H47" i="5"/>
  <c r="H48" i="5"/>
  <c r="H49" i="5"/>
  <c r="H50" i="5"/>
  <c r="H40" i="5"/>
  <c r="H41" i="5"/>
  <c r="H39" i="5"/>
  <c r="H35" i="5"/>
  <c r="G122" i="5"/>
  <c r="H33" i="5"/>
  <c r="H29" i="5"/>
  <c r="G110" i="5"/>
  <c r="G98" i="5"/>
  <c r="G86" i="5"/>
  <c r="G74" i="5"/>
  <c r="G62" i="5"/>
  <c r="G50" i="5"/>
  <c r="T88" i="5"/>
  <c r="T89" i="5"/>
  <c r="T90" i="5"/>
  <c r="T91" i="5"/>
  <c r="T92" i="5"/>
  <c r="T93" i="5"/>
  <c r="T94" i="5"/>
  <c r="T95" i="5"/>
  <c r="T96" i="5"/>
  <c r="T97" i="5"/>
  <c r="T98" i="5"/>
  <c r="T87" i="5"/>
  <c r="T76" i="5"/>
  <c r="T77" i="5"/>
  <c r="T78" i="5"/>
  <c r="T79" i="5"/>
  <c r="T80" i="5"/>
  <c r="T81" i="5"/>
  <c r="T82" i="5"/>
  <c r="T83" i="5"/>
  <c r="T84" i="5"/>
  <c r="T85" i="5"/>
  <c r="T86" i="5"/>
  <c r="T75" i="5"/>
  <c r="T64" i="5"/>
  <c r="T65" i="5"/>
  <c r="T66" i="5"/>
  <c r="T67" i="5"/>
  <c r="T68" i="5"/>
  <c r="T69" i="5"/>
  <c r="T70" i="5"/>
  <c r="T71" i="5"/>
  <c r="T72" i="5"/>
  <c r="T73" i="5"/>
  <c r="T74" i="5"/>
  <c r="T63" i="5"/>
  <c r="T52" i="5"/>
  <c r="T53" i="5"/>
  <c r="T54" i="5"/>
  <c r="T55" i="5"/>
  <c r="T56" i="5"/>
  <c r="T57" i="5"/>
  <c r="T58" i="5"/>
  <c r="T59" i="5"/>
  <c r="T60" i="5"/>
  <c r="T61" i="5"/>
  <c r="T62" i="5"/>
  <c r="T51" i="5"/>
  <c r="S81" i="5"/>
  <c r="S82" i="5"/>
  <c r="S83" i="5"/>
  <c r="S84" i="5"/>
  <c r="S85" i="5"/>
  <c r="S86" i="5"/>
  <c r="S87" i="5"/>
  <c r="S88" i="5"/>
  <c r="S89" i="5"/>
  <c r="S90" i="5"/>
  <c r="S91" i="5"/>
  <c r="S80" i="5"/>
  <c r="S69" i="5"/>
  <c r="S70" i="5"/>
  <c r="S71" i="5"/>
  <c r="S72" i="5"/>
  <c r="S73" i="5"/>
  <c r="S74" i="5"/>
  <c r="S75" i="5"/>
  <c r="S76" i="5"/>
  <c r="S77" i="5"/>
  <c r="S78" i="5"/>
  <c r="S79" i="5"/>
  <c r="S68" i="5"/>
  <c r="S57" i="5"/>
  <c r="S58" i="5"/>
  <c r="S59" i="5"/>
  <c r="S60" i="5"/>
  <c r="S61" i="5"/>
  <c r="S62" i="5"/>
  <c r="S63" i="5"/>
  <c r="S64" i="5"/>
  <c r="S65" i="5"/>
  <c r="S66" i="5"/>
  <c r="S67" i="5"/>
  <c r="S56" i="5"/>
  <c r="S45" i="5"/>
  <c r="S46" i="5"/>
  <c r="S47" i="5"/>
  <c r="S48" i="5"/>
  <c r="S49" i="5"/>
  <c r="S50" i="5"/>
  <c r="S51" i="5"/>
  <c r="S52" i="5"/>
  <c r="S53" i="5"/>
  <c r="S54" i="5"/>
  <c r="S55" i="5"/>
  <c r="S44" i="5"/>
  <c r="P88" i="5"/>
  <c r="P89" i="5"/>
  <c r="P90" i="5"/>
  <c r="P91" i="5"/>
  <c r="P92" i="5"/>
  <c r="P93" i="5"/>
  <c r="P94" i="5"/>
  <c r="P95" i="5"/>
  <c r="P96" i="5"/>
  <c r="P97" i="5"/>
  <c r="P98" i="5"/>
  <c r="P87" i="5"/>
  <c r="P76" i="5"/>
  <c r="P77" i="5"/>
  <c r="P78" i="5"/>
  <c r="P79" i="5"/>
  <c r="P80" i="5"/>
  <c r="P81" i="5"/>
  <c r="P82" i="5"/>
  <c r="P83" i="5"/>
  <c r="P84" i="5"/>
  <c r="P85" i="5"/>
  <c r="P86" i="5"/>
  <c r="P75" i="5"/>
  <c r="P52" i="5"/>
  <c r="P53" i="5"/>
  <c r="P26" i="5" s="1"/>
  <c r="P54" i="5"/>
  <c r="P55" i="5"/>
  <c r="P28" i="5" s="1"/>
  <c r="P56" i="5"/>
  <c r="P57" i="5"/>
  <c r="P30" i="5" s="1"/>
  <c r="P58" i="5"/>
  <c r="P31" i="5" s="1"/>
  <c r="P59" i="5"/>
  <c r="P32" i="5" s="1"/>
  <c r="P60" i="5"/>
  <c r="P33" i="5" s="1"/>
  <c r="P61" i="5"/>
  <c r="P34" i="5" s="1"/>
  <c r="P51" i="5"/>
  <c r="O81" i="5"/>
  <c r="O82" i="5"/>
  <c r="O83" i="5"/>
  <c r="O84" i="5"/>
  <c r="O85" i="5"/>
  <c r="O86" i="5"/>
  <c r="O87" i="5"/>
  <c r="O88" i="5"/>
  <c r="O89" i="5"/>
  <c r="O90" i="5"/>
  <c r="O91" i="5"/>
  <c r="O80" i="5"/>
  <c r="O69" i="5"/>
  <c r="O70" i="5"/>
  <c r="O71" i="5"/>
  <c r="O72" i="5"/>
  <c r="O73" i="5"/>
  <c r="O74" i="5"/>
  <c r="O75" i="5"/>
  <c r="O76" i="5"/>
  <c r="O77" i="5"/>
  <c r="O78" i="5"/>
  <c r="O79" i="5"/>
  <c r="O68" i="5"/>
  <c r="O57" i="5"/>
  <c r="O58" i="5"/>
  <c r="O59" i="5"/>
  <c r="O60" i="5"/>
  <c r="O61" i="5"/>
  <c r="O62" i="5"/>
  <c r="O63" i="5"/>
  <c r="O64" i="5"/>
  <c r="O65" i="5"/>
  <c r="O66" i="5"/>
  <c r="O67" i="5"/>
  <c r="O56" i="5"/>
  <c r="O45" i="5"/>
  <c r="O46" i="5"/>
  <c r="O47" i="5"/>
  <c r="O48" i="5"/>
  <c r="O49" i="5"/>
  <c r="O50" i="5"/>
  <c r="O51" i="5"/>
  <c r="O52" i="5"/>
  <c r="O53" i="5"/>
  <c r="O54" i="5"/>
  <c r="O55" i="5"/>
  <c r="O44" i="5"/>
  <c r="R98" i="5"/>
  <c r="R91" i="5"/>
  <c r="R86" i="5"/>
  <c r="R79" i="5"/>
  <c r="R74" i="5"/>
  <c r="R67" i="5"/>
  <c r="R62" i="5"/>
  <c r="R55" i="5"/>
  <c r="N98" i="5"/>
  <c r="N91" i="5"/>
  <c r="N86" i="5"/>
  <c r="N79" i="5"/>
  <c r="N74" i="5"/>
  <c r="N67" i="5"/>
  <c r="N62" i="5"/>
  <c r="N55" i="5"/>
  <c r="L64" i="5"/>
  <c r="L65" i="5"/>
  <c r="L66" i="5"/>
  <c r="L67" i="5"/>
  <c r="L68" i="5"/>
  <c r="L69" i="5"/>
  <c r="L70" i="5"/>
  <c r="L71" i="5"/>
  <c r="L72" i="5"/>
  <c r="L73" i="5"/>
  <c r="L74" i="5"/>
  <c r="L63" i="5"/>
  <c r="L88" i="5"/>
  <c r="L89" i="5"/>
  <c r="L90" i="5"/>
  <c r="L91" i="5"/>
  <c r="L92" i="5"/>
  <c r="L93" i="5"/>
  <c r="L94" i="5"/>
  <c r="L95" i="5"/>
  <c r="L96" i="5"/>
  <c r="L97" i="5"/>
  <c r="L98" i="5"/>
  <c r="L87" i="5"/>
  <c r="L76" i="5"/>
  <c r="L77" i="5"/>
  <c r="L78" i="5"/>
  <c r="L79" i="5"/>
  <c r="L80" i="5"/>
  <c r="L81" i="5"/>
  <c r="L82" i="5"/>
  <c r="L83" i="5"/>
  <c r="L84" i="5"/>
  <c r="L85" i="5"/>
  <c r="L86" i="5"/>
  <c r="L75" i="5"/>
  <c r="K81" i="5"/>
  <c r="K82" i="5"/>
  <c r="K83" i="5"/>
  <c r="K84" i="5"/>
  <c r="K85" i="5"/>
  <c r="K86" i="5"/>
  <c r="K87" i="5"/>
  <c r="K88" i="5"/>
  <c r="K89" i="5"/>
  <c r="K90" i="5"/>
  <c r="K91" i="5"/>
  <c r="K80" i="5"/>
  <c r="K69" i="5"/>
  <c r="K70" i="5"/>
  <c r="K71" i="5"/>
  <c r="K72" i="5"/>
  <c r="K73" i="5"/>
  <c r="K74" i="5"/>
  <c r="K75" i="5"/>
  <c r="K76" i="5"/>
  <c r="K77" i="5"/>
  <c r="K78" i="5"/>
  <c r="K79" i="5"/>
  <c r="K68" i="5"/>
  <c r="K57" i="5"/>
  <c r="K58" i="5"/>
  <c r="K59" i="5"/>
  <c r="K60" i="5"/>
  <c r="K61" i="5"/>
  <c r="K62" i="5"/>
  <c r="K63" i="5"/>
  <c r="K64" i="5"/>
  <c r="K65" i="5"/>
  <c r="K66" i="5"/>
  <c r="K67" i="5"/>
  <c r="K56" i="5"/>
  <c r="L56" i="5"/>
  <c r="L57" i="5"/>
  <c r="L58" i="5"/>
  <c r="L59" i="5"/>
  <c r="L60" i="5"/>
  <c r="L61" i="5"/>
  <c r="L62" i="5"/>
  <c r="L52" i="5"/>
  <c r="L53" i="5"/>
  <c r="L54" i="5"/>
  <c r="L55" i="5"/>
  <c r="K51" i="5"/>
  <c r="K52" i="5"/>
  <c r="K53" i="5"/>
  <c r="K54" i="5"/>
  <c r="K55" i="5"/>
  <c r="L51" i="5"/>
  <c r="K45" i="5"/>
  <c r="K46" i="5"/>
  <c r="K47" i="5"/>
  <c r="K48" i="5"/>
  <c r="K49" i="5"/>
  <c r="K50" i="5"/>
  <c r="K44" i="5"/>
  <c r="J98" i="5"/>
  <c r="J86" i="5"/>
  <c r="J74" i="5"/>
  <c r="J62" i="5"/>
  <c r="J91" i="5"/>
  <c r="J79" i="5"/>
  <c r="J67" i="5"/>
  <c r="J55" i="5"/>
  <c r="E112" i="5"/>
  <c r="E113" i="5"/>
  <c r="E114" i="5"/>
  <c r="E115" i="5"/>
  <c r="E116" i="5"/>
  <c r="E117" i="5"/>
  <c r="E118" i="5"/>
  <c r="E119" i="5"/>
  <c r="E120" i="5"/>
  <c r="E121" i="5"/>
  <c r="E122" i="5"/>
  <c r="E111" i="5"/>
  <c r="E100" i="5"/>
  <c r="E101" i="5"/>
  <c r="E102" i="5"/>
  <c r="E103" i="5"/>
  <c r="E104" i="5"/>
  <c r="E105" i="5"/>
  <c r="E106" i="5"/>
  <c r="E107" i="5"/>
  <c r="E108" i="5"/>
  <c r="E109" i="5"/>
  <c r="E110" i="5"/>
  <c r="E99" i="5"/>
  <c r="E88" i="5"/>
  <c r="E89" i="5"/>
  <c r="E90" i="5"/>
  <c r="E91" i="5"/>
  <c r="E92" i="5"/>
  <c r="E93" i="5"/>
  <c r="E94" i="5"/>
  <c r="E95" i="5"/>
  <c r="E96" i="5"/>
  <c r="E97" i="5"/>
  <c r="E98" i="5"/>
  <c r="E87" i="5"/>
  <c r="E76" i="5"/>
  <c r="E77" i="5"/>
  <c r="E78" i="5"/>
  <c r="E79" i="5"/>
  <c r="E80" i="5"/>
  <c r="E81" i="5"/>
  <c r="E82" i="5"/>
  <c r="E83" i="5"/>
  <c r="E84" i="5"/>
  <c r="E85" i="5"/>
  <c r="E86" i="5"/>
  <c r="E75" i="5"/>
  <c r="E64" i="5"/>
  <c r="E65" i="5"/>
  <c r="E66" i="5"/>
  <c r="E67" i="5"/>
  <c r="E68" i="5"/>
  <c r="E69" i="5"/>
  <c r="E70" i="5"/>
  <c r="E71" i="5"/>
  <c r="E72" i="5"/>
  <c r="E73" i="5"/>
  <c r="E74" i="5"/>
  <c r="E63" i="5"/>
  <c r="E52" i="5"/>
  <c r="E53" i="5"/>
  <c r="E54" i="5"/>
  <c r="E55" i="5"/>
  <c r="E56" i="5"/>
  <c r="E57" i="5"/>
  <c r="E58" i="5"/>
  <c r="E59" i="5"/>
  <c r="E60" i="5"/>
  <c r="E61" i="5"/>
  <c r="E62" i="5"/>
  <c r="E51" i="5"/>
  <c r="E40" i="5"/>
  <c r="E41" i="5"/>
  <c r="E42" i="5"/>
  <c r="E43" i="5"/>
  <c r="E44" i="5"/>
  <c r="E45" i="5"/>
  <c r="E46" i="5"/>
  <c r="E47" i="5"/>
  <c r="E48" i="5"/>
  <c r="E49" i="5"/>
  <c r="E50" i="5"/>
  <c r="E39" i="5"/>
  <c r="D122" i="5"/>
  <c r="D110" i="5"/>
  <c r="D98" i="5"/>
  <c r="D86" i="5"/>
  <c r="D74" i="5"/>
  <c r="D62" i="5"/>
  <c r="D50" i="5"/>
  <c r="H31" i="5" l="1"/>
  <c r="H27" i="5"/>
  <c r="H25" i="5"/>
  <c r="AS33" i="1"/>
  <c r="AR33" i="1"/>
  <c r="AR35" i="1"/>
  <c r="AS35" i="1"/>
  <c r="AR46" i="1"/>
  <c r="AS46" i="1"/>
  <c r="AR44" i="1"/>
  <c r="AS44" i="1"/>
  <c r="AR42" i="1"/>
  <c r="AS42" i="1"/>
  <c r="AR40" i="1"/>
  <c r="AS40" i="1"/>
  <c r="AR38" i="1"/>
  <c r="AS38" i="1"/>
  <c r="AS36" i="1"/>
  <c r="AR36" i="1"/>
  <c r="AR49" i="1"/>
  <c r="AS49" i="1"/>
  <c r="AR51" i="1"/>
  <c r="AS51" i="1"/>
  <c r="AR53" i="1"/>
  <c r="AS53" i="1"/>
  <c r="AR55" i="1"/>
  <c r="AS55" i="1"/>
  <c r="AR57" i="1"/>
  <c r="AS57" i="1"/>
  <c r="AR59" i="1"/>
  <c r="AS59" i="1"/>
  <c r="AR61" i="1"/>
  <c r="AS61" i="1"/>
  <c r="AR63" i="1"/>
  <c r="AS63" i="1"/>
  <c r="AR65" i="1"/>
  <c r="AS65" i="1"/>
  <c r="AR67" i="1"/>
  <c r="AS67" i="1"/>
  <c r="AR69" i="1"/>
  <c r="AS69" i="1"/>
  <c r="AR71" i="1"/>
  <c r="AS71" i="1"/>
  <c r="AR73" i="1"/>
  <c r="AS73" i="1"/>
  <c r="AR75" i="1"/>
  <c r="AS75" i="1"/>
  <c r="AR77" i="1"/>
  <c r="AS77" i="1"/>
  <c r="AR79" i="1"/>
  <c r="AS79" i="1"/>
  <c r="AR81" i="1"/>
  <c r="AS81" i="1"/>
  <c r="AR83" i="1"/>
  <c r="AS83" i="1"/>
  <c r="AR85" i="1"/>
  <c r="AS85" i="1"/>
  <c r="AR87" i="1"/>
  <c r="AS87" i="1"/>
  <c r="AR89" i="1"/>
  <c r="AS89" i="1"/>
  <c r="AR91" i="1"/>
  <c r="AS91" i="1"/>
  <c r="AR93" i="1"/>
  <c r="AS93" i="1"/>
  <c r="AR95" i="1"/>
  <c r="AS95" i="1"/>
  <c r="AR34" i="1"/>
  <c r="AS34" i="1"/>
  <c r="AR47" i="1"/>
  <c r="AS47" i="1"/>
  <c r="AR45" i="1"/>
  <c r="AS45" i="1"/>
  <c r="AR43" i="1"/>
  <c r="AS43" i="1"/>
  <c r="AR41" i="1"/>
  <c r="AS41" i="1"/>
  <c r="AS39" i="1"/>
  <c r="AR37" i="1"/>
  <c r="AS37" i="1"/>
  <c r="AR48" i="1"/>
  <c r="AS48" i="1"/>
  <c r="AR50" i="1"/>
  <c r="AS50" i="1"/>
  <c r="AR52" i="1"/>
  <c r="AS52" i="1"/>
  <c r="AR54" i="1"/>
  <c r="AS54" i="1"/>
  <c r="AR56" i="1"/>
  <c r="AS56" i="1"/>
  <c r="AR58" i="1"/>
  <c r="AS58" i="1"/>
  <c r="AS60" i="1"/>
  <c r="AR60" i="1"/>
  <c r="AR62" i="1"/>
  <c r="AS62" i="1"/>
  <c r="AR64" i="1"/>
  <c r="AS64" i="1"/>
  <c r="AR66" i="1"/>
  <c r="AS66" i="1"/>
  <c r="AR68" i="1"/>
  <c r="AS68" i="1"/>
  <c r="AR70" i="1"/>
  <c r="AS70" i="1"/>
  <c r="AS72" i="1"/>
  <c r="AR72" i="1"/>
  <c r="AR74" i="1"/>
  <c r="AS74" i="1"/>
  <c r="AR76" i="1"/>
  <c r="AS76" i="1"/>
  <c r="AR78" i="1"/>
  <c r="AS78" i="1"/>
  <c r="AR80" i="1"/>
  <c r="AS80" i="1"/>
  <c r="AS82" i="1"/>
  <c r="AR82" i="1"/>
  <c r="AS84" i="1"/>
  <c r="AR84" i="1"/>
  <c r="AR86" i="1"/>
  <c r="AS86" i="1"/>
  <c r="AR88" i="1"/>
  <c r="AS88" i="1"/>
  <c r="AR90" i="1"/>
  <c r="AS90" i="1"/>
  <c r="AR92" i="1"/>
  <c r="AS92" i="1"/>
  <c r="AR94" i="1"/>
  <c r="AS94" i="1"/>
  <c r="H24" i="5"/>
  <c r="H34" i="5"/>
  <c r="H32" i="5"/>
  <c r="H30" i="5"/>
  <c r="H28" i="5"/>
  <c r="H26" i="5"/>
  <c r="E35" i="5"/>
  <c r="E33" i="5"/>
  <c r="E31" i="5"/>
  <c r="E29" i="5"/>
  <c r="E27" i="5"/>
  <c r="E25" i="5"/>
  <c r="K28" i="5"/>
  <c r="K26" i="5"/>
  <c r="K24" i="5"/>
  <c r="K34" i="5"/>
  <c r="K32" i="5"/>
  <c r="K30" i="5"/>
  <c r="L35" i="5"/>
  <c r="L33" i="5"/>
  <c r="L31" i="5"/>
  <c r="L29" i="5"/>
  <c r="L27" i="5"/>
  <c r="L25" i="5"/>
  <c r="O28" i="5"/>
  <c r="O26" i="5"/>
  <c r="O24" i="5"/>
  <c r="O34" i="5"/>
  <c r="O32" i="5"/>
  <c r="O30" i="5"/>
  <c r="P24" i="5"/>
  <c r="S29" i="5"/>
  <c r="S27" i="5"/>
  <c r="S25" i="5"/>
  <c r="S35" i="5"/>
  <c r="S33" i="5"/>
  <c r="S31" i="5"/>
  <c r="T24" i="5"/>
  <c r="T34" i="5"/>
  <c r="T32" i="5"/>
  <c r="T30" i="5"/>
  <c r="T28" i="5"/>
  <c r="T26" i="5"/>
  <c r="E24" i="5"/>
  <c r="E34" i="5"/>
  <c r="E32" i="5"/>
  <c r="E30" i="5"/>
  <c r="E28" i="5"/>
  <c r="E26" i="5"/>
  <c r="K29" i="5"/>
  <c r="K27" i="5"/>
  <c r="K25" i="5"/>
  <c r="K35" i="5"/>
  <c r="K33" i="5"/>
  <c r="K31" i="5"/>
  <c r="L24" i="5"/>
  <c r="L34" i="5"/>
  <c r="L32" i="5"/>
  <c r="L30" i="5"/>
  <c r="L28" i="5"/>
  <c r="L26" i="5"/>
  <c r="O29" i="5"/>
  <c r="O27" i="5"/>
  <c r="O25" i="5"/>
  <c r="O35" i="5"/>
  <c r="O33" i="5"/>
  <c r="O31" i="5"/>
  <c r="S28" i="5"/>
  <c r="S26" i="5"/>
  <c r="S24" i="5"/>
  <c r="S34" i="5"/>
  <c r="S32" i="5"/>
  <c r="S30" i="5"/>
  <c r="T35" i="5"/>
  <c r="T33" i="5"/>
  <c r="T31" i="5"/>
  <c r="T29" i="5"/>
  <c r="T27" i="5"/>
  <c r="T25" i="5"/>
  <c r="P29" i="5"/>
  <c r="P27" i="5"/>
  <c r="P25" i="5"/>
  <c r="P35" i="5"/>
  <c r="AS117" i="1"/>
  <c r="AS116" i="1"/>
  <c r="AS106" i="1"/>
  <c r="AS105" i="1"/>
  <c r="BB117" i="1"/>
  <c r="BB116" i="1"/>
  <c r="BB115" i="1"/>
  <c r="BB114" i="1"/>
  <c r="BB113" i="1"/>
  <c r="BB112" i="1"/>
  <c r="BB111" i="1"/>
  <c r="BB110" i="1"/>
  <c r="BB109" i="1"/>
  <c r="BB108" i="1"/>
  <c r="BB105" i="1"/>
  <c r="BB104" i="1"/>
  <c r="BB107" i="1"/>
  <c r="BB106" i="1"/>
  <c r="BB102" i="1"/>
  <c r="BB94" i="1"/>
  <c r="BB92" i="1"/>
  <c r="BB91" i="1"/>
  <c r="BB87" i="1"/>
  <c r="BB86" i="1"/>
  <c r="BB81" i="1"/>
  <c r="BB85" i="1"/>
  <c r="BB82" i="1"/>
  <c r="BB42" i="1"/>
  <c r="BB34" i="1"/>
  <c r="BB35" i="1"/>
  <c r="BB36" i="1"/>
  <c r="BB33" i="1"/>
  <c r="AT94" i="1" l="1"/>
  <c r="AT92" i="1"/>
  <c r="AT90" i="1"/>
  <c r="AT88" i="1"/>
  <c r="AT86" i="1"/>
  <c r="AT105" i="1"/>
  <c r="AT116" i="1"/>
  <c r="AT106" i="1"/>
  <c r="AT117" i="1"/>
  <c r="AT84" i="1"/>
  <c r="AT82" i="1"/>
  <c r="AT95" i="1"/>
  <c r="AT93" i="1"/>
  <c r="AT91" i="1"/>
  <c r="AT89" i="1"/>
  <c r="AT87" i="1"/>
  <c r="AT85" i="1"/>
  <c r="AT83" i="1"/>
  <c r="H36" i="5"/>
  <c r="E36" i="5"/>
  <c r="O36" i="5"/>
  <c r="K36" i="5"/>
  <c r="L36" i="5"/>
  <c r="S36" i="5"/>
  <c r="T36" i="5"/>
  <c r="P36" i="5"/>
  <c r="K54" i="1" l="1"/>
</calcChain>
</file>

<file path=xl/sharedStrings.xml><?xml version="1.0" encoding="utf-8"?>
<sst xmlns="http://schemas.openxmlformats.org/spreadsheetml/2006/main" count="11739" uniqueCount="583">
  <si>
    <t>施設名</t>
  </si>
  <si>
    <t>測定日</t>
  </si>
  <si>
    <t>【単位：Ｂｑ／ｋｇ】</t>
  </si>
  <si>
    <t>測定結果</t>
  </si>
  <si>
    <t>採取日</t>
  </si>
  <si>
    <t>名取クリーンセンター</t>
    <phoneticPr fontId="5"/>
  </si>
  <si>
    <t>合計</t>
  </si>
  <si>
    <t>○</t>
  </si>
  <si>
    <t>岩沼一般廃棄物最終処分場</t>
    <phoneticPr fontId="5"/>
  </si>
  <si>
    <t>亘理一般廃棄物最終処分場</t>
    <phoneticPr fontId="5"/>
  </si>
  <si>
    <t>IO月分</t>
  </si>
  <si>
    <t>訓月分</t>
  </si>
  <si>
    <t>12月分</t>
  </si>
  <si>
    <t>1月分</t>
  </si>
  <si>
    <t>2月分</t>
  </si>
  <si>
    <t>3月分</t>
  </si>
  <si>
    <t>測定結東</t>
  </si>
  <si>
    <t>訓Ｏ</t>
  </si>
  <si>
    <t>ＩＯＯ</t>
  </si>
  <si>
    <t>t8</t>
  </si>
  <si>
    <t>t9</t>
  </si>
  <si>
    <t>h24</t>
  </si>
  <si>
    <t>10月分</t>
  </si>
  <si>
    <t>11月分</t>
  </si>
  <si>
    <t>｜,220</t>
  </si>
  <si>
    <t>｜,120</t>
  </si>
  <si>
    <t>L5</t>
  </si>
  <si>
    <t>L4</t>
  </si>
  <si>
    <t>h25</t>
  </si>
  <si>
    <t>測定結乗</t>
  </si>
  <si>
    <t>ＩＯ</t>
  </si>
  <si>
    <t>h26</t>
  </si>
  <si>
    <t>測定結栗</t>
  </si>
  <si>
    <t>刎○</t>
  </si>
  <si>
    <t>訓</t>
  </si>
  <si>
    <t>訓○</t>
  </si>
  <si>
    <t>刻○</t>
  </si>
  <si>
    <t>4(X⊃</t>
  </si>
  <si>
    <t>4(X)</t>
  </si>
  <si>
    <t>h27</t>
  </si>
  <si>
    <t>SX⊃</t>
  </si>
  <si>
    <t>to</t>
  </si>
  <si>
    <t>h28</t>
  </si>
  <si>
    <t>椚</t>
  </si>
  <si>
    <t>h29</t>
  </si>
  <si>
    <t>h30</t>
  </si>
  <si>
    <t>名取市</t>
  </si>
  <si>
    <t>岩沼市</t>
  </si>
  <si>
    <t>亘理町</t>
  </si>
  <si>
    <t>山元町</t>
  </si>
  <si>
    <t>岩沼東部環境センクー焼却灰</t>
  </si>
  <si>
    <t>亘理清掃センター焼却灰</t>
  </si>
  <si>
    <t>浄化センター焼却灰</t>
  </si>
  <si>
    <t>放流水</t>
  </si>
  <si>
    <t>名取クリーンセンター</t>
  </si>
  <si>
    <t>亘理溥掃センター</t>
  </si>
  <si>
    <t>浄化センター</t>
  </si>
  <si>
    <t>刻月13日</t>
  </si>
  <si>
    <t>刻月26日</t>
  </si>
  <si>
    <t>刻月刻日</t>
  </si>
  <si>
    <t>亘理浦掃センター</t>
  </si>
  <si>
    <t>岩沼東部環嗚センター</t>
  </si>
  <si>
    <t>焼却灰(主灰)</t>
  </si>
  <si>
    <t>訓月到日</t>
  </si>
  <si>
    <t>岩沼東部環晩センター</t>
  </si>
  <si>
    <t>24日</t>
  </si>
  <si>
    <t>28日</t>
  </si>
  <si>
    <t>27日</t>
  </si>
  <si>
    <t>26日</t>
  </si>
  <si>
    <t>25日</t>
  </si>
  <si>
    <t>岩沼東部環境センター</t>
  </si>
  <si>
    <t>19日</t>
  </si>
  <si>
    <t>15日</t>
  </si>
  <si>
    <t>17日</t>
  </si>
  <si>
    <t>13日</t>
  </si>
  <si>
    <t>16日</t>
  </si>
  <si>
    <t>18日</t>
  </si>
  <si>
    <t>12日</t>
  </si>
  <si>
    <t>※測定方法：ゲルマニウム半導体検出器によるガンマ線スベクトリーＧｅ半導体検出器による。</t>
  </si>
  <si>
    <t>ばいじん(飛灰)</t>
  </si>
  <si>
    <t>ぱいじん(飛灰)</t>
  </si>
  <si>
    <t>焼却灰(混合灰)</t>
  </si>
  <si>
    <t>焼却灰て主灰)</t>
  </si>
  <si>
    <t>Cs134</t>
  </si>
  <si>
    <t>Cs137</t>
  </si>
  <si>
    <t>亘理清掃センター</t>
  </si>
  <si>
    <t>岩沼一般廃棄物最終処分場</t>
  </si>
  <si>
    <t>1/31</t>
  </si>
  <si>
    <t>3/9</t>
  </si>
  <si>
    <t>4/25</t>
  </si>
  <si>
    <t>5/16</t>
  </si>
  <si>
    <t>6/29</t>
  </si>
  <si>
    <t>8/31</t>
  </si>
  <si>
    <t>9/24</t>
  </si>
  <si>
    <t>10/12</t>
  </si>
  <si>
    <t>12/13</t>
  </si>
  <si>
    <t>1/29</t>
  </si>
  <si>
    <t>2/6</t>
  </si>
  <si>
    <t>3/15</t>
  </si>
  <si>
    <t>8/23</t>
  </si>
  <si>
    <t>9/5</t>
  </si>
  <si>
    <t>10/17</t>
  </si>
  <si>
    <t>12/4</t>
  </si>
  <si>
    <t>3/8</t>
  </si>
  <si>
    <t>4/24</t>
  </si>
  <si>
    <t>5/14</t>
  </si>
  <si>
    <t>6/18</t>
  </si>
  <si>
    <t>8/20</t>
  </si>
  <si>
    <t>12/3</t>
  </si>
  <si>
    <t>1/24</t>
  </si>
  <si>
    <t>2/18</t>
  </si>
  <si>
    <t>3/4</t>
  </si>
  <si>
    <t>4/11</t>
  </si>
  <si>
    <t>6/11</t>
  </si>
  <si>
    <t>9/26</t>
  </si>
  <si>
    <t>10/2</t>
  </si>
  <si>
    <t>11/12</t>
  </si>
  <si>
    <t>12/25</t>
  </si>
  <si>
    <t>1/8</t>
  </si>
  <si>
    <t>2/5</t>
  </si>
  <si>
    <t>3/19</t>
  </si>
  <si>
    <t>4/19</t>
  </si>
  <si>
    <t>5/23</t>
  </si>
  <si>
    <t>6/14</t>
  </si>
  <si>
    <t>8/8</t>
  </si>
  <si>
    <t>9/10</t>
  </si>
  <si>
    <t>10/29</t>
  </si>
  <si>
    <t>11/22</t>
  </si>
  <si>
    <t>12/19</t>
  </si>
  <si>
    <t>1/9</t>
  </si>
  <si>
    <t>2/14</t>
  </si>
  <si>
    <t>3/12</t>
  </si>
  <si>
    <t>4/26</t>
  </si>
  <si>
    <t>5/24</t>
  </si>
  <si>
    <t>6/21</t>
  </si>
  <si>
    <t>8/25</t>
  </si>
  <si>
    <t>9/20</t>
  </si>
  <si>
    <t>10/11</t>
  </si>
  <si>
    <t>11/14</t>
  </si>
  <si>
    <t>12/26</t>
  </si>
  <si>
    <t>3/14</t>
  </si>
  <si>
    <t>4/16</t>
  </si>
  <si>
    <t>5/21</t>
  </si>
  <si>
    <t>9/19</t>
  </si>
  <si>
    <t>10/24</t>
  </si>
  <si>
    <t>11/13</t>
  </si>
  <si>
    <t>1/23</t>
  </si>
  <si>
    <t>2/20</t>
  </si>
  <si>
    <t>3/13</t>
  </si>
  <si>
    <t>5/15</t>
  </si>
  <si>
    <t>6/5</t>
  </si>
  <si>
    <t>9/4</t>
  </si>
  <si>
    <t>1/22</t>
  </si>
  <si>
    <t>2/4</t>
  </si>
  <si>
    <t>3/5</t>
  </si>
  <si>
    <t>4/15</t>
  </si>
  <si>
    <t>8/6</t>
  </si>
  <si>
    <t>9/3</t>
  </si>
  <si>
    <t>4/17</t>
  </si>
  <si>
    <t>5/13</t>
  </si>
  <si>
    <t>8/5</t>
  </si>
  <si>
    <t>9/2</t>
  </si>
  <si>
    <t>12/2</t>
  </si>
  <si>
    <t>2/26</t>
  </si>
  <si>
    <t>7/10</t>
  </si>
  <si>
    <t>8/21</t>
  </si>
  <si>
    <t>9/9</t>
  </si>
  <si>
    <t>1/6</t>
  </si>
  <si>
    <t>7/9</t>
  </si>
  <si>
    <t>8/7</t>
  </si>
  <si>
    <t>1/7</t>
  </si>
  <si>
    <t>3/17</t>
  </si>
  <si>
    <t>3/26</t>
  </si>
  <si>
    <t>1/28</t>
  </si>
  <si>
    <t>2/27</t>
  </si>
  <si>
    <t>5/12</t>
  </si>
  <si>
    <t>6/16</t>
  </si>
  <si>
    <t>7/8</t>
  </si>
  <si>
    <t>9/17</t>
  </si>
  <si>
    <t>12/9</t>
  </si>
  <si>
    <t>1/21</t>
  </si>
  <si>
    <t>2/17</t>
  </si>
  <si>
    <t>3/25</t>
  </si>
  <si>
    <t>9/16</t>
  </si>
  <si>
    <t>1/19</t>
  </si>
  <si>
    <t>3/2</t>
  </si>
  <si>
    <t>7/12</t>
  </si>
  <si>
    <t>7/25</t>
  </si>
  <si>
    <t>7/23</t>
  </si>
  <si>
    <t>7/18</t>
  </si>
  <si>
    <t>7/26</t>
  </si>
  <si>
    <t>7/24</t>
  </si>
  <si>
    <t>7/2</t>
  </si>
  <si>
    <t>7/1</t>
  </si>
  <si>
    <t>刻0</t>
  </si>
  <si>
    <t>ND</t>
  </si>
  <si>
    <t>※NDとは：検出下限値以下で不検出となります。</t>
  </si>
  <si>
    <t>h23</t>
  </si>
  <si>
    <t>10/9</t>
  </si>
  <si>
    <t>10/8</t>
  </si>
  <si>
    <t>11/26</t>
  </si>
  <si>
    <t>6/10</t>
  </si>
  <si>
    <t>10/7</t>
  </si>
  <si>
    <t>11/11</t>
  </si>
  <si>
    <t>11/7</t>
  </si>
  <si>
    <t>10/16</t>
  </si>
  <si>
    <t>11/4</t>
  </si>
  <si>
    <t>10/15</t>
  </si>
  <si>
    <t>11/5</t>
  </si>
  <si>
    <t>12/10</t>
  </si>
  <si>
    <t>10/14</t>
  </si>
  <si>
    <t>10/13</t>
  </si>
  <si>
    <t>11/6</t>
  </si>
  <si>
    <t>2/29</t>
  </si>
  <si>
    <t>2/29</t>
    <phoneticPr fontId="2"/>
  </si>
  <si>
    <t>11/11</t>
    <phoneticPr fontId="2"/>
  </si>
  <si>
    <t>2/5</t>
    <phoneticPr fontId="2"/>
  </si>
  <si>
    <t>【単位：Bq/kg】</t>
    <phoneticPr fontId="2"/>
  </si>
  <si>
    <t>廃棄物等の放射性物質測定結果一覧</t>
    <phoneticPr fontId="2"/>
  </si>
  <si>
    <t>4/22</t>
  </si>
  <si>
    <t>4/28</t>
  </si>
  <si>
    <t>4/13</t>
  </si>
  <si>
    <t>5/19</t>
  </si>
  <si>
    <t>5/11</t>
  </si>
  <si>
    <t>6/9</t>
  </si>
  <si>
    <t>6/23</t>
  </si>
  <si>
    <t>6/28</t>
  </si>
  <si>
    <t>6/15</t>
  </si>
  <si>
    <t>6/13</t>
  </si>
  <si>
    <t>7/14</t>
  </si>
  <si>
    <t>7/27</t>
  </si>
  <si>
    <t>7/28</t>
  </si>
  <si>
    <t>7/19</t>
  </si>
  <si>
    <t>8/17</t>
  </si>
  <si>
    <t>8/26</t>
  </si>
  <si>
    <t>8/24</t>
  </si>
  <si>
    <t>8/22</t>
  </si>
  <si>
    <t>9/8</t>
  </si>
  <si>
    <t>9/6</t>
  </si>
  <si>
    <t>9/13</t>
  </si>
  <si>
    <t>9/12</t>
  </si>
  <si>
    <t>10/19</t>
  </si>
  <si>
    <t>10/10</t>
  </si>
  <si>
    <t>11/4</t>
    <phoneticPr fontId="2"/>
  </si>
  <si>
    <t>11/6</t>
    <phoneticPr fontId="2"/>
  </si>
  <si>
    <t>11/8</t>
  </si>
  <si>
    <t>11/8</t>
    <phoneticPr fontId="2"/>
  </si>
  <si>
    <t>11/9</t>
  </si>
  <si>
    <t>11/9</t>
    <phoneticPr fontId="2"/>
  </si>
  <si>
    <t>11/2</t>
  </si>
  <si>
    <t>11/15</t>
  </si>
  <si>
    <t>11/28</t>
  </si>
  <si>
    <t>12/16</t>
  </si>
  <si>
    <t>12/15</t>
  </si>
  <si>
    <t>12/12</t>
  </si>
  <si>
    <t>12/20</t>
  </si>
  <si>
    <t>12/17</t>
  </si>
  <si>
    <t>1/11</t>
  </si>
  <si>
    <t>1/17</t>
  </si>
  <si>
    <t>1/10</t>
  </si>
  <si>
    <t>1/15</t>
  </si>
  <si>
    <t>2/28</t>
  </si>
  <si>
    <t>2/8</t>
  </si>
  <si>
    <t>2/7</t>
  </si>
  <si>
    <t>3/7</t>
  </si>
  <si>
    <t>焼却灰(主灰)1号</t>
    <rPh sb="8" eb="9">
      <t>ゴウ</t>
    </rPh>
    <phoneticPr fontId="7"/>
  </si>
  <si>
    <t>焼却灰(主灰)2号</t>
    <rPh sb="8" eb="9">
      <t>ゴウ</t>
    </rPh>
    <phoneticPr fontId="7"/>
  </si>
  <si>
    <t>排ガス</t>
  </si>
  <si>
    <t>地下水</t>
  </si>
  <si>
    <t>豆理湾掃センター</t>
  </si>
  <si>
    <t>焼却灰(主灰)※</t>
    <phoneticPr fontId="7"/>
  </si>
  <si>
    <t>岩沼一般廃棄物最終処分場</t>
    <phoneticPr fontId="2"/>
  </si>
  <si>
    <t>採取年月日</t>
    <rPh sb="0" eb="2">
      <t>サイシュ</t>
    </rPh>
    <rPh sb="2" eb="5">
      <t>ネンガッピ</t>
    </rPh>
    <phoneticPr fontId="2"/>
  </si>
  <si>
    <t>年度</t>
    <rPh sb="0" eb="2">
      <t>ネンド</t>
    </rPh>
    <phoneticPr fontId="11"/>
  </si>
  <si>
    <t>年度
(H17以降)</t>
    <rPh sb="0" eb="2">
      <t>ネンド</t>
    </rPh>
    <phoneticPr fontId="7"/>
  </si>
  <si>
    <t>市町村コード</t>
    <rPh sb="0" eb="3">
      <t>シチョウソン</t>
    </rPh>
    <phoneticPr fontId="7"/>
  </si>
  <si>
    <t>市町村</t>
    <rPh sb="0" eb="3">
      <t>シチョウソン</t>
    </rPh>
    <phoneticPr fontId="7"/>
  </si>
  <si>
    <t>総人口
A</t>
    <rPh sb="0" eb="3">
      <t>ソウジンコウ</t>
    </rPh>
    <phoneticPr fontId="7"/>
  </si>
  <si>
    <t>計画収集人口
Ｂ</t>
    <rPh sb="0" eb="2">
      <t>ケイカク</t>
    </rPh>
    <rPh sb="2" eb="4">
      <t>シュウシュウ</t>
    </rPh>
    <rPh sb="4" eb="6">
      <t>ジンコウ</t>
    </rPh>
    <phoneticPr fontId="7"/>
  </si>
  <si>
    <t>計画収集量  D</t>
    <rPh sb="0" eb="2">
      <t>ケイカク</t>
    </rPh>
    <rPh sb="2" eb="4">
      <t>シュウシュウ</t>
    </rPh>
    <rPh sb="4" eb="5">
      <t>リョウ</t>
    </rPh>
    <phoneticPr fontId="7"/>
  </si>
  <si>
    <t>直接焼却量 F</t>
    <phoneticPr fontId="7"/>
  </si>
  <si>
    <t>焼却以外の中間処理量 H</t>
    <rPh sb="0" eb="2">
      <t>ショウキャク</t>
    </rPh>
    <rPh sb="2" eb="4">
      <t>イガイ</t>
    </rPh>
    <rPh sb="5" eb="7">
      <t>チュウカン</t>
    </rPh>
    <rPh sb="7" eb="9">
      <t>ショリ</t>
    </rPh>
    <rPh sb="9" eb="10">
      <t>リョウ</t>
    </rPh>
    <phoneticPr fontId="7"/>
  </si>
  <si>
    <t>直接資源化量  I</t>
    <rPh sb="0" eb="2">
      <t>チョクセツ</t>
    </rPh>
    <rPh sb="2" eb="4">
      <t>シゲン</t>
    </rPh>
    <rPh sb="4" eb="5">
      <t>カ</t>
    </rPh>
    <rPh sb="5" eb="6">
      <t>リョウ</t>
    </rPh>
    <phoneticPr fontId="7"/>
  </si>
  <si>
    <t>ごみ処理量 X=F+G+H+I</t>
    <rPh sb="2" eb="4">
      <t>ショリ</t>
    </rPh>
    <rPh sb="4" eb="5">
      <t>リョウ</t>
    </rPh>
    <phoneticPr fontId="7"/>
  </si>
  <si>
    <t>減量処理率 N=(F+H+I)/X</t>
    <rPh sb="0" eb="2">
      <t>ショリ</t>
    </rPh>
    <rPh sb="2" eb="3">
      <t>リツ</t>
    </rPh>
    <phoneticPr fontId="7"/>
  </si>
  <si>
    <t>リサイクル率 R=(I+J+E)/(X+E)</t>
    <rPh sb="3" eb="4">
      <t>リツ</t>
    </rPh>
    <phoneticPr fontId="7"/>
  </si>
  <si>
    <t>焼却残渣量 K</t>
    <rPh sb="0" eb="2">
      <t>ショウキャク</t>
    </rPh>
    <rPh sb="2" eb="4">
      <t>ザンサ</t>
    </rPh>
    <rPh sb="4" eb="5">
      <t>リョウ</t>
    </rPh>
    <phoneticPr fontId="7"/>
  </si>
  <si>
    <t>処理残渣量 L</t>
    <rPh sb="0" eb="2">
      <t>ショリ</t>
    </rPh>
    <rPh sb="2" eb="4">
      <t>ザンサ</t>
    </rPh>
    <rPh sb="4" eb="5">
      <t>リョウ</t>
    </rPh>
    <phoneticPr fontId="7"/>
  </si>
  <si>
    <t>最終処分量 M=G+K+L</t>
    <rPh sb="0" eb="2">
      <t>サイシュウ</t>
    </rPh>
    <rPh sb="2" eb="4">
      <t>ショブン</t>
    </rPh>
    <rPh sb="4" eb="5">
      <t>リョウ</t>
    </rPh>
    <phoneticPr fontId="7"/>
  </si>
  <si>
    <t>備考</t>
    <rPh sb="0" eb="2">
      <t>ビコウ</t>
    </rPh>
    <phoneticPr fontId="7"/>
  </si>
  <si>
    <t>平成10年度</t>
  </si>
  <si>
    <t>04207</t>
  </si>
  <si>
    <t>04211</t>
  </si>
  <si>
    <t>04361</t>
  </si>
  <si>
    <t>04362</t>
  </si>
  <si>
    <t>平成11年度</t>
  </si>
  <si>
    <t>平成12年度</t>
  </si>
  <si>
    <t>平成13年度</t>
  </si>
  <si>
    <t>平成14年度</t>
  </si>
  <si>
    <t>平成15年度</t>
  </si>
  <si>
    <t>平成16年度</t>
  </si>
  <si>
    <t>平成17年度</t>
  </si>
  <si>
    <t>平成18年度</t>
  </si>
  <si>
    <t>平成19年度</t>
  </si>
  <si>
    <t>平成20年度</t>
  </si>
  <si>
    <t>平成21年度</t>
  </si>
  <si>
    <t>平成22年度</t>
  </si>
  <si>
    <t>平成23年度</t>
  </si>
  <si>
    <t>平成24年度</t>
    <phoneticPr fontId="7"/>
  </si>
  <si>
    <t>H25</t>
  </si>
  <si>
    <t>平成25年度</t>
    <phoneticPr fontId="7"/>
  </si>
  <si>
    <t>H26</t>
  </si>
  <si>
    <t>平成26年度</t>
  </si>
  <si>
    <t>平成27年度</t>
  </si>
  <si>
    <t>平成28年度</t>
  </si>
  <si>
    <t>注) H17以降､集団回収量が､ごみ総排出量に含む</t>
    <phoneticPr fontId="7"/>
  </si>
  <si>
    <t>H27</t>
  </si>
  <si>
    <t>H28</t>
  </si>
  <si>
    <t>ごみ総排出量  C=D+直接搬入量+E</t>
    <rPh sb="2" eb="3">
      <t>ソウ</t>
    </rPh>
    <rPh sb="3" eb="5">
      <t>ハイシュツ</t>
    </rPh>
    <rPh sb="5" eb="6">
      <t>リョウ</t>
    </rPh>
    <rPh sb="12" eb="14">
      <t>チョクセツ</t>
    </rPh>
    <rPh sb="14" eb="16">
      <t>ハンニュウ</t>
    </rPh>
    <rPh sb="16" eb="17">
      <t>リョウ</t>
    </rPh>
    <phoneticPr fontId="7"/>
  </si>
  <si>
    <t>230(115tx2炉〉</t>
  </si>
  <si>
    <t>宮城東部</t>
    <rPh sb="0" eb="2">
      <t>ミヤギ</t>
    </rPh>
    <rPh sb="2" eb="4">
      <t>トウブ</t>
    </rPh>
    <phoneticPr fontId="7"/>
  </si>
  <si>
    <t>180(90tx2炉〉</t>
  </si>
  <si>
    <t>今泉</t>
    <rPh sb="0" eb="2">
      <t>イマイズミ</t>
    </rPh>
    <phoneticPr fontId="7"/>
  </si>
  <si>
    <t>葛岡</t>
    <rPh sb="0" eb="2">
      <t>クズオカ</t>
    </rPh>
    <phoneticPr fontId="7"/>
  </si>
  <si>
    <t>松森</t>
    <rPh sb="0" eb="2">
      <t>マツモリ</t>
    </rPh>
    <phoneticPr fontId="7"/>
  </si>
  <si>
    <t>600(200tx3炉)</t>
  </si>
  <si>
    <t>600(300tx2炉〉</t>
  </si>
  <si>
    <t>600(200tx3炉〉</t>
  </si>
  <si>
    <t>石巻広域クリセ</t>
    <rPh sb="0" eb="2">
      <t>イシノマキ</t>
    </rPh>
    <rPh sb="2" eb="4">
      <t>コウイキ</t>
    </rPh>
    <phoneticPr fontId="16"/>
  </si>
  <si>
    <t>年間</t>
    <rPh sb="0" eb="2">
      <t>ネンカン</t>
    </rPh>
    <phoneticPr fontId="7"/>
  </si>
  <si>
    <t>割合</t>
    <rPh sb="0" eb="2">
      <t>ワリアイ</t>
    </rPh>
    <phoneticPr fontId="7"/>
  </si>
  <si>
    <t>4月</t>
    <rPh sb="1" eb="2">
      <t>ガツ</t>
    </rPh>
    <phoneticPr fontId="7"/>
  </si>
  <si>
    <t>5月</t>
  </si>
  <si>
    <t>6月</t>
  </si>
  <si>
    <t>7月</t>
  </si>
  <si>
    <t>8月</t>
  </si>
  <si>
    <t>9月</t>
  </si>
  <si>
    <t>10月</t>
  </si>
  <si>
    <t>11月</t>
  </si>
  <si>
    <t>12月</t>
  </si>
  <si>
    <t>1月</t>
  </si>
  <si>
    <t>2月</t>
  </si>
  <si>
    <t>3月</t>
  </si>
  <si>
    <t>計</t>
    <rPh sb="0" eb="1">
      <t>ケイ</t>
    </rPh>
    <phoneticPr fontId="7"/>
  </si>
  <si>
    <t>年間焼却量を月別に割り当てる係数</t>
    <rPh sb="0" eb="2">
      <t>ネンカン</t>
    </rPh>
    <rPh sb="2" eb="5">
      <t>ショウキャクリョウ</t>
    </rPh>
    <rPh sb="6" eb="8">
      <t>ツキベツ</t>
    </rPh>
    <rPh sb="9" eb="10">
      <t>ワ</t>
    </rPh>
    <rPh sb="11" eb="12">
      <t>ア</t>
    </rPh>
    <rPh sb="14" eb="16">
      <t>ケイスウ</t>
    </rPh>
    <phoneticPr fontId="7"/>
  </si>
  <si>
    <t>年間計</t>
    <rPh sb="0" eb="2">
      <t>ネンカン</t>
    </rPh>
    <rPh sb="2" eb="3">
      <t>ケイ</t>
    </rPh>
    <phoneticPr fontId="7"/>
  </si>
  <si>
    <t>亘名組合計</t>
    <rPh sb="0" eb="1">
      <t>ワタリ</t>
    </rPh>
    <rPh sb="1" eb="2">
      <t>ナ</t>
    </rPh>
    <rPh sb="2" eb="3">
      <t>クミ</t>
    </rPh>
    <rPh sb="3" eb="5">
      <t>ゴウケイ</t>
    </rPh>
    <phoneticPr fontId="7"/>
  </si>
  <si>
    <t>一般廃棄物処理事業実態調査(環境省)</t>
    <rPh sb="0" eb="2">
      <t>イッパン</t>
    </rPh>
    <rPh sb="2" eb="5">
      <t>ハイキブツ</t>
    </rPh>
    <rPh sb="5" eb="7">
      <t>ショリ</t>
    </rPh>
    <rPh sb="7" eb="9">
      <t>ジギョウ</t>
    </rPh>
    <rPh sb="9" eb="11">
      <t>ジッタイ</t>
    </rPh>
    <rPh sb="11" eb="13">
      <t>チョウサ</t>
    </rPh>
    <rPh sb="14" eb="17">
      <t>カンキョウショウ</t>
    </rPh>
    <phoneticPr fontId="7"/>
  </si>
  <si>
    <t>割合1</t>
    <rPh sb="0" eb="2">
      <t>ワリアイ</t>
    </rPh>
    <phoneticPr fontId="7"/>
  </si>
  <si>
    <t>割合2</t>
    <rPh sb="0" eb="2">
      <t>ワリアイ</t>
    </rPh>
    <phoneticPr fontId="7"/>
  </si>
  <si>
    <t>施設規模</t>
    <rPh sb="0" eb="2">
      <t>シセツ</t>
    </rPh>
    <rPh sb="2" eb="4">
      <t>キボ</t>
    </rPh>
    <phoneticPr fontId="2"/>
  </si>
  <si>
    <t>600
(200tx3炉)</t>
    <phoneticPr fontId="2"/>
  </si>
  <si>
    <t>600
(300tx2炉〉</t>
    <phoneticPr fontId="2"/>
  </si>
  <si>
    <t>600
(200tx3炉〉</t>
    <phoneticPr fontId="2"/>
  </si>
  <si>
    <t>焼却灰(主灰)</t>
    <phoneticPr fontId="2"/>
  </si>
  <si>
    <t>https://www.watanakyouei.jp/facility/tobu.html</t>
    <phoneticPr fontId="6"/>
  </si>
  <si>
    <t>平均 K/F</t>
    <rPh sb="0" eb="2">
      <t>ヘイキン</t>
    </rPh>
    <phoneticPr fontId="2"/>
  </si>
  <si>
    <t>岩沼東部環境センター</t>
    <phoneticPr fontId="2"/>
  </si>
  <si>
    <t>　157(78.5tx2炉〉</t>
  </si>
  <si>
    <t>名取クリーンセンター</t>
    <phoneticPr fontId="2"/>
  </si>
  <si>
    <t>　120(60tx2炉)</t>
  </si>
  <si>
    <t>亘理清掃センター</t>
    <phoneticPr fontId="2"/>
  </si>
  <si>
    <t>　75(37.5tx2炉)</t>
  </si>
  <si>
    <r>
      <t>亘名組合計</t>
    </r>
    <r>
      <rPr>
        <sz val="7"/>
        <rFont val="Meiryo UI"/>
        <family val="3"/>
        <charset val="128"/>
      </rPr>
      <t>(名+岩+亘+山元)</t>
    </r>
    <rPh sb="0" eb="1">
      <t>ワタリ</t>
    </rPh>
    <rPh sb="1" eb="2">
      <t>ナ</t>
    </rPh>
    <rPh sb="2" eb="3">
      <t>クミ</t>
    </rPh>
    <rPh sb="3" eb="5">
      <t>ゴウケイ</t>
    </rPh>
    <rPh sb="6" eb="7">
      <t>メイ</t>
    </rPh>
    <rPh sb="8" eb="9">
      <t>イワ</t>
    </rPh>
    <rPh sb="10" eb="11">
      <t>ワタリ</t>
    </rPh>
    <rPh sb="12" eb="14">
      <t>ヤマモト</t>
    </rPh>
    <phoneticPr fontId="7"/>
  </si>
  <si>
    <t>焼却残渣比率</t>
    <rPh sb="0" eb="2">
      <t>ショウキャク</t>
    </rPh>
    <rPh sb="2" eb="4">
      <t>ザンサ</t>
    </rPh>
    <rPh sb="4" eb="6">
      <t>ヒリツ</t>
    </rPh>
    <phoneticPr fontId="7"/>
  </si>
  <si>
    <t>焼却残さ量</t>
    <rPh sb="4" eb="5">
      <t>リョウ</t>
    </rPh>
    <phoneticPr fontId="2"/>
  </si>
  <si>
    <t>：淡緑色セルは計算式含む</t>
    <rPh sb="1" eb="2">
      <t>タン</t>
    </rPh>
    <rPh sb="7" eb="10">
      <t>ケイサンシキ</t>
    </rPh>
    <rPh sb="10" eb="11">
      <t>フク</t>
    </rPh>
    <phoneticPr fontId="16"/>
  </si>
  <si>
    <t>：濁淡緑色セルは「不検出」でゼロを回避するための計算式含む (※3)</t>
    <rPh sb="2" eb="3">
      <t>タン</t>
    </rPh>
    <rPh sb="9" eb="10">
      <t>フ</t>
    </rPh>
    <rPh sb="10" eb="12">
      <t>ケンシュツ</t>
    </rPh>
    <rPh sb="17" eb="19">
      <t>カイヒ</t>
    </rPh>
    <rPh sb="24" eb="27">
      <t>ケイサンシキ</t>
    </rPh>
    <rPh sb="27" eb="28">
      <t>フク</t>
    </rPh>
    <phoneticPr fontId="16"/>
  </si>
  <si>
    <t>年月日</t>
    <rPh sb="0" eb="3">
      <t>ネンガッピ</t>
    </rPh>
    <phoneticPr fontId="2"/>
  </si>
  <si>
    <t>←半減期(年)</t>
    <rPh sb="1" eb="4">
      <t>ハンゲンキ</t>
    </rPh>
    <rPh sb="5" eb="6">
      <t>ネン</t>
    </rPh>
    <phoneticPr fontId="16"/>
  </si>
  <si>
    <t>I-131当日1から減衰</t>
    <rPh sb="5" eb="7">
      <t>トウジツ</t>
    </rPh>
    <rPh sb="10" eb="12">
      <t>ゲンスイ</t>
    </rPh>
    <phoneticPr fontId="2"/>
  </si>
  <si>
    <r>
      <rPr>
        <sz val="6.5"/>
        <color theme="1"/>
        <rFont val="Meiryo UI"/>
        <family val="3"/>
        <charset val="128"/>
      </rPr>
      <t>Cs134</t>
    </r>
    <r>
      <rPr>
        <sz val="8"/>
        <color theme="1"/>
        <rFont val="Meiryo UI"/>
        <family val="3"/>
        <charset val="128"/>
      </rPr>
      <t>当日1から減衰</t>
    </r>
    <phoneticPr fontId="2"/>
  </si>
  <si>
    <r>
      <rPr>
        <sz val="6.5"/>
        <color theme="1"/>
        <rFont val="Meiryo UI"/>
        <family val="3"/>
        <charset val="128"/>
      </rPr>
      <t>Cs137</t>
    </r>
    <r>
      <rPr>
        <sz val="8"/>
        <color theme="1"/>
        <rFont val="Meiryo UI"/>
        <family val="3"/>
        <charset val="128"/>
      </rPr>
      <t>当日1から減衰</t>
    </r>
    <phoneticPr fontId="2"/>
  </si>
  <si>
    <t xml:space="preserve">両Cs当日各1から減衰  </t>
    <rPh sb="0" eb="1">
      <t>リョウ</t>
    </rPh>
    <rPh sb="3" eb="5">
      <t>トウジツ</t>
    </rPh>
    <rPh sb="5" eb="6">
      <t>カク</t>
    </rPh>
    <rPh sb="9" eb="11">
      <t>ゲンスイ</t>
    </rPh>
    <phoneticPr fontId="2"/>
  </si>
  <si>
    <t>両Cs 1万から理論減衰</t>
    <rPh sb="0" eb="1">
      <t>リョウ</t>
    </rPh>
    <rPh sb="5" eb="6">
      <t>マン</t>
    </rPh>
    <rPh sb="8" eb="10">
      <t>リロン</t>
    </rPh>
    <rPh sb="10" eb="12">
      <t>ゲンスイ</t>
    </rPh>
    <phoneticPr fontId="2"/>
  </si>
  <si>
    <r>
      <rPr>
        <sz val="6.5"/>
        <color theme="1"/>
        <rFont val="Meiryo UI"/>
        <family val="3"/>
        <charset val="128"/>
      </rPr>
      <t>Cs134</t>
    </r>
    <r>
      <rPr>
        <sz val="8"/>
        <color theme="1"/>
        <rFont val="Meiryo UI"/>
        <family val="3"/>
        <charset val="128"/>
      </rPr>
      <t>当日500から減衰</t>
    </r>
    <rPh sb="5" eb="7">
      <t>トウジツ</t>
    </rPh>
    <rPh sb="12" eb="14">
      <t>ゲンスイ</t>
    </rPh>
    <phoneticPr fontId="2"/>
  </si>
  <si>
    <r>
      <rPr>
        <sz val="6.5"/>
        <color theme="1"/>
        <rFont val="Meiryo UI"/>
        <family val="3"/>
        <charset val="128"/>
      </rPr>
      <t>Cs137</t>
    </r>
    <r>
      <rPr>
        <sz val="8"/>
        <color theme="1"/>
        <rFont val="Meiryo UI"/>
        <family val="3"/>
        <charset val="128"/>
      </rPr>
      <t>当日500から減衰</t>
    </r>
    <rPh sb="5" eb="7">
      <t>トウジツ</t>
    </rPh>
    <rPh sb="12" eb="14">
      <t>ゲンスイ</t>
    </rPh>
    <phoneticPr fontId="2"/>
  </si>
  <si>
    <t>注) 岩沼東部環境センターの焼却灰はH28.1~3月は1号と2号炉の平均､以後は2基の混合検体</t>
    <rPh sb="3" eb="5">
      <t>イワヌマ</t>
    </rPh>
    <rPh sb="5" eb="7">
      <t>トウブ</t>
    </rPh>
    <rPh sb="7" eb="9">
      <t>カンキョウ</t>
    </rPh>
    <rPh sb="14" eb="16">
      <t>ショウキャク</t>
    </rPh>
    <rPh sb="16" eb="17">
      <t>バイ</t>
    </rPh>
    <rPh sb="25" eb="26">
      <t>ガツ</t>
    </rPh>
    <rPh sb="28" eb="29">
      <t>ゴウ</t>
    </rPh>
    <rPh sb="31" eb="32">
      <t>ゴウ</t>
    </rPh>
    <rPh sb="32" eb="33">
      <t>ロ</t>
    </rPh>
    <rPh sb="34" eb="36">
      <t>ヘイキン</t>
    </rPh>
    <rPh sb="37" eb="39">
      <t>イゴ</t>
    </rPh>
    <rPh sb="41" eb="42">
      <t>キ</t>
    </rPh>
    <rPh sb="43" eb="45">
      <t>コンゴウ</t>
    </rPh>
    <rPh sb="45" eb="47">
      <t>ケンタイ</t>
    </rPh>
    <phoneticPr fontId="2"/>
  </si>
  <si>
    <t>注) 月別の按分は宮城東部の割合を使用</t>
    <rPh sb="0" eb="1">
      <t>チュウ</t>
    </rPh>
    <rPh sb="3" eb="5">
      <t>ツキベツ</t>
    </rPh>
    <rPh sb="6" eb="8">
      <t>アンブン</t>
    </rPh>
    <rPh sb="9" eb="11">
      <t>ミヤギ</t>
    </rPh>
    <rPh sb="11" eb="13">
      <t>トウブ</t>
    </rPh>
    <rPh sb="14" eb="16">
      <t>ワリアイ</t>
    </rPh>
    <rPh sb="17" eb="19">
      <t>シヨウ</t>
    </rPh>
    <phoneticPr fontId="2"/>
  </si>
  <si>
    <t>計画収集人口 Ｂ</t>
    <rPh sb="0" eb="2">
      <t>ケイカク</t>
    </rPh>
    <rPh sb="2" eb="4">
      <t>シュウシュウ</t>
    </rPh>
    <rPh sb="4" eb="6">
      <t>ジンコウ</t>
    </rPh>
    <phoneticPr fontId="7"/>
  </si>
  <si>
    <t>21日</t>
  </si>
  <si>
    <t>ND</t>
    <phoneticPr fontId="7"/>
  </si>
  <si>
    <t>2/27</t>
    <phoneticPr fontId="7"/>
  </si>
  <si>
    <t>2/22</t>
    <phoneticPr fontId="7"/>
  </si>
  <si>
    <t>2/13</t>
    <phoneticPr fontId="7"/>
  </si>
  <si>
    <t>2/21</t>
    <phoneticPr fontId="7"/>
  </si>
  <si>
    <t>3/8</t>
    <phoneticPr fontId="7"/>
  </si>
  <si>
    <t>ND</t>
    <phoneticPr fontId="7"/>
  </si>
  <si>
    <t>シート"月値予測"から転記</t>
    <rPh sb="4" eb="5">
      <t>ツキ</t>
    </rPh>
    <rPh sb="5" eb="6">
      <t>チ</t>
    </rPh>
    <rPh sb="6" eb="8">
      <t>ヨソク</t>
    </rPh>
    <rPh sb="11" eb="13">
      <t>テンキ</t>
    </rPh>
    <phoneticPr fontId="2"/>
  </si>
  <si>
    <t>シート"一廃実調"から転記</t>
    <rPh sb="4" eb="6">
      <t>イッパイ</t>
    </rPh>
    <rPh sb="6" eb="8">
      <t>ジッチョウ</t>
    </rPh>
    <rPh sb="11" eb="13">
      <t>テンキ</t>
    </rPh>
    <phoneticPr fontId="2"/>
  </si>
  <si>
    <t>(※) 名取クリーンセンター/亘理清掃センターの焼却量の割合</t>
    <rPh sb="4" eb="6">
      <t>ナトリ</t>
    </rPh>
    <rPh sb="15" eb="17">
      <t>ワタリ</t>
    </rPh>
    <rPh sb="17" eb="19">
      <t>セイソウ</t>
    </rPh>
    <rPh sb="24" eb="27">
      <t>ショウキャクリョウ</t>
    </rPh>
    <rPh sb="28" eb="30">
      <t>ワリアイ</t>
    </rPh>
    <phoneticPr fontId="2"/>
  </si>
  <si>
    <t>亘清セ/名クセ (※)</t>
    <rPh sb="0" eb="1">
      <t>ワタリ</t>
    </rPh>
    <rPh sb="1" eb="2">
      <t>キヨシ</t>
    </rPh>
    <phoneticPr fontId="7"/>
  </si>
  <si>
    <t>亘清セ/名クセ(※)</t>
    <rPh sb="4" eb="5">
      <t>ナ</t>
    </rPh>
    <phoneticPr fontId="7"/>
  </si>
  <si>
    <t>※ 名取クリーンセンター/亘理清掃センターの焼却量の割合</t>
    <rPh sb="2" eb="4">
      <t>ナトリ</t>
    </rPh>
    <rPh sb="13" eb="15">
      <t>ワタリ</t>
    </rPh>
    <rPh sb="15" eb="17">
      <t>セイソウ</t>
    </rPh>
    <rPh sb="22" eb="25">
      <t>ショウキャクリョウ</t>
    </rPh>
    <rPh sb="26" eb="28">
      <t>ワリアイ</t>
    </rPh>
    <phoneticPr fontId="2"/>
  </si>
  <si>
    <t>H26</t>
    <phoneticPr fontId="2"/>
  </si>
  <si>
    <t>H27</t>
    <phoneticPr fontId="2"/>
  </si>
  <si>
    <t>H28</t>
    <phoneticPr fontId="2"/>
  </si>
  <si>
    <t>H29</t>
  </si>
  <si>
    <t>H30</t>
  </si>
  <si>
    <t>注) H29,H30の焼却量,残渣量などはH28以前の外挿値</t>
    <rPh sb="0" eb="1">
      <t>チュウ</t>
    </rPh>
    <rPh sb="11" eb="14">
      <t>ショウキャクリョウ</t>
    </rPh>
    <rPh sb="15" eb="17">
      <t>ザンサ</t>
    </rPh>
    <rPh sb="17" eb="18">
      <t>リョウ</t>
    </rPh>
    <rPh sb="24" eb="26">
      <t>イゼン</t>
    </rPh>
    <rPh sb="27" eb="29">
      <t>ガイソウ</t>
    </rPh>
    <rPh sb="29" eb="30">
      <t>チ</t>
    </rPh>
    <phoneticPr fontId="2"/>
  </si>
  <si>
    <t>飛灰と主灰の数値入れ替え!!!</t>
    <rPh sb="0" eb="2">
      <t>ヒバイ</t>
    </rPh>
    <rPh sb="3" eb="4">
      <t>シュ</t>
    </rPh>
    <rPh sb="4" eb="5">
      <t>ハイ</t>
    </rPh>
    <rPh sb="6" eb="8">
      <t>スウチ</t>
    </rPh>
    <rPh sb="8" eb="9">
      <t>イ</t>
    </rPh>
    <rPh sb="10" eb="11">
      <t>カ</t>
    </rPh>
    <phoneticPr fontId="2"/>
  </si>
  <si>
    <t>概要</t>
  </si>
  <si>
    <t>所在地</t>
  </si>
  <si>
    <t>岩沼市下野郷字新藤曽根１－１</t>
  </si>
  <si>
    <t>敷地面積</t>
  </si>
  <si>
    <t>３７，９７８．３９㎡</t>
  </si>
  <si>
    <t>工期</t>
  </si>
  <si>
    <t>平成２５年４月～平成２８年３月</t>
  </si>
  <si>
    <t>総事業費</t>
  </si>
  <si>
    <t>１１，０２４，８５０千円</t>
  </si>
  <si>
    <t>（インフレスライド５６１，６００千円含む）</t>
  </si>
  <si>
    <t>・熱回収施設</t>
  </si>
  <si>
    <t>ストーカ式焼却炉</t>
  </si>
  <si>
    <t>施設規模 １５７ｔ／日（７８．５ｔ／２４ｈ×２炉）</t>
  </si>
  <si>
    <t>発電出力 １，９９０ｋW</t>
  </si>
  <si>
    <t>・排ガス処理設備</t>
  </si>
  <si>
    <t>ろ過式集じん器、有害ガス除去設備他</t>
  </si>
  <si>
    <t>・飛灰処理設備</t>
  </si>
  <si>
    <t>重金属類溶出防止処理</t>
  </si>
  <si>
    <t>・余熱利用設備</t>
  </si>
  <si>
    <t>ボイラー、ロードヒーティング設備、場内給湯設備、</t>
  </si>
  <si>
    <t>蒸気タービン発電機</t>
  </si>
  <si>
    <t>・リサイクル施設</t>
  </si>
  <si>
    <t>施設規模 ２２．９ｔ／５ｈ</t>
  </si>
  <si>
    <t>ばい煙関係の情報なし</t>
    <rPh sb="2" eb="3">
      <t>エン</t>
    </rPh>
    <rPh sb="3" eb="5">
      <t>カンケイ</t>
    </rPh>
    <rPh sb="6" eb="8">
      <t>ジョウホウ</t>
    </rPh>
    <phoneticPr fontId="7"/>
  </si>
  <si>
    <t>年月日</t>
  </si>
  <si>
    <t>震災瓦礫灰中の両Cs集積量</t>
    <rPh sb="0" eb="2">
      <t>シンサイ</t>
    </rPh>
    <rPh sb="2" eb="4">
      <t>ガレキ</t>
    </rPh>
    <rPh sb="4" eb="5">
      <t>ハイ</t>
    </rPh>
    <rPh sb="5" eb="6">
      <t>チュウ</t>
    </rPh>
    <rPh sb="7" eb="8">
      <t>リョウ</t>
    </rPh>
    <rPh sb="10" eb="12">
      <t>シュウセキ</t>
    </rPh>
    <rPh sb="12" eb="13">
      <t>リョウ</t>
    </rPh>
    <phoneticPr fontId="2"/>
  </si>
  <si>
    <t>両Cs</t>
  </si>
  <si>
    <t>亘理</t>
    <rPh sb="0" eb="2">
      <t>ワタリ</t>
    </rPh>
    <phoneticPr fontId="2"/>
  </si>
  <si>
    <t>名取</t>
    <rPh sb="0" eb="2">
      <t>ナトリ</t>
    </rPh>
    <phoneticPr fontId="2"/>
  </si>
  <si>
    <t>岩沼</t>
    <rPh sb="0" eb="2">
      <t>イワヌマ</t>
    </rPh>
    <phoneticPr fontId="2"/>
  </si>
  <si>
    <t>山元</t>
    <rPh sb="0" eb="2">
      <t>ヤマモト</t>
    </rPh>
    <phoneticPr fontId="2"/>
  </si>
  <si>
    <t>焼却量t/月</t>
    <rPh sb="0" eb="2">
      <t>ショウキャク</t>
    </rPh>
    <rPh sb="2" eb="3">
      <t>リョウ</t>
    </rPh>
    <rPh sb="5" eb="6">
      <t>ツキ</t>
    </rPh>
    <phoneticPr fontId="2"/>
  </si>
  <si>
    <t>Cs月間量MBq(飛灰)</t>
    <rPh sb="2" eb="4">
      <t>ゲッカン</t>
    </rPh>
    <rPh sb="4" eb="5">
      <t>リョウ</t>
    </rPh>
    <rPh sb="9" eb="11">
      <t>ヒバイ</t>
    </rPh>
    <phoneticPr fontId="2"/>
  </si>
  <si>
    <t>Cs月間量MBq(主灰)</t>
    <rPh sb="2" eb="4">
      <t>ゲッカン</t>
    </rPh>
    <rPh sb="4" eb="5">
      <t>リョウ</t>
    </rPh>
    <rPh sb="9" eb="10">
      <t>シュ</t>
    </rPh>
    <rPh sb="10" eb="11">
      <t>ハイ</t>
    </rPh>
    <phoneticPr fontId="2"/>
  </si>
  <si>
    <t>別ファイル”震災瓦礫灰Cs名取.xlsm”などから転記</t>
    <rPh sb="0" eb="1">
      <t>ベツ</t>
    </rPh>
    <rPh sb="6" eb="8">
      <t>シンサイ</t>
    </rPh>
    <rPh sb="8" eb="10">
      <t>ガレキ</t>
    </rPh>
    <rPh sb="10" eb="11">
      <t>ハイ</t>
    </rPh>
    <rPh sb="13" eb="15">
      <t>ナトリ</t>
    </rPh>
    <rPh sb="25" eb="27">
      <t>テンキ</t>
    </rPh>
    <phoneticPr fontId="2"/>
  </si>
  <si>
    <t>ごみ焼却量 (t/月)</t>
    <rPh sb="2" eb="5">
      <t>ショウキャクリョウ</t>
    </rPh>
    <rPh sb="9" eb="10">
      <t>ツキ</t>
    </rPh>
    <phoneticPr fontId="2"/>
  </si>
  <si>
    <t>両Cs濃度 (Bq/kg)</t>
    <rPh sb="0" eb="1">
      <t>リョウ</t>
    </rPh>
    <rPh sb="3" eb="5">
      <t>ノウド</t>
    </rPh>
    <phoneticPr fontId="2"/>
  </si>
  <si>
    <t>(亘理名取共立衛生処理組合､H27以前は名取クリセ+亘理清掃セ)</t>
    <phoneticPr fontId="2"/>
  </si>
  <si>
    <t>震災瓦礫灰中の両Cs集積量(MBq)</t>
    <rPh sb="10" eb="12">
      <t>シュウセキ</t>
    </rPh>
    <rPh sb="12" eb="13">
      <t>リョウ</t>
    </rPh>
    <phoneticPr fontId="2"/>
  </si>
  <si>
    <t>注) 現在ストック量はエクセルファイルを開くことで自動的に減衰計算される､総量は各月分の合計</t>
    <rPh sb="0" eb="1">
      <t>チュウ</t>
    </rPh>
    <rPh sb="3" eb="5">
      <t>ゲンザイ</t>
    </rPh>
    <rPh sb="9" eb="10">
      <t>リョウ</t>
    </rPh>
    <rPh sb="20" eb="21">
      <t>ヒラ</t>
    </rPh>
    <rPh sb="25" eb="28">
      <t>ジドウテキ</t>
    </rPh>
    <rPh sb="29" eb="31">
      <t>ゲンスイ</t>
    </rPh>
    <rPh sb="31" eb="33">
      <t>ケイサン</t>
    </rPh>
    <rPh sb="37" eb="39">
      <t>ソウリョウ</t>
    </rPh>
    <rPh sb="40" eb="42">
      <t>カクツキ</t>
    </rPh>
    <rPh sb="42" eb="43">
      <t>ブン</t>
    </rPh>
    <rPh sb="44" eb="46">
      <t>ゴウケイ</t>
    </rPh>
    <phoneticPr fontId="2"/>
  </si>
  <si>
    <t>(一般廃棄物と震災がれきの焼却に由来する分で､直接埋立や瓦礫分別土砂などは含まない)</t>
    <rPh sb="1" eb="3">
      <t>イッパン</t>
    </rPh>
    <rPh sb="3" eb="6">
      <t>ハイキブツ</t>
    </rPh>
    <rPh sb="7" eb="9">
      <t>シンサイ</t>
    </rPh>
    <rPh sb="13" eb="15">
      <t>ショウキャク</t>
    </rPh>
    <rPh sb="16" eb="18">
      <t>ユライ</t>
    </rPh>
    <rPh sb="20" eb="21">
      <t>ブン</t>
    </rPh>
    <rPh sb="23" eb="25">
      <t>チョクセツ</t>
    </rPh>
    <rPh sb="25" eb="27">
      <t>ウメタテ</t>
    </rPh>
    <rPh sb="28" eb="30">
      <t>ガレキ</t>
    </rPh>
    <rPh sb="30" eb="32">
      <t>ブンベツ</t>
    </rPh>
    <rPh sb="32" eb="34">
      <t>ドシャ</t>
    </rPh>
    <rPh sb="37" eb="38">
      <t>フク</t>
    </rPh>
    <phoneticPr fontId="2"/>
  </si>
  <si>
    <t>←　最終処分場での両Cs現在ストック量(MBq)</t>
    <phoneticPr fontId="2"/>
  </si>
  <si>
    <t>ｾｼｳﾑ137</t>
  </si>
  <si>
    <t>ｾｼｳﾑ134</t>
  </si>
  <si>
    <t>4ホ)</t>
  </si>
  <si>
    <t>6貳)</t>
  </si>
  <si>
    <t>54)</t>
  </si>
  <si>
    <t>焼却灰で主灰)</t>
  </si>
  <si>
    <t>その他(側溝土砂)</t>
  </si>
  <si>
    <t>区分</t>
  </si>
  <si>
    <t>修繕中</t>
  </si>
  <si>
    <t>岩沼一般廃棄物最終処分据</t>
  </si>
  <si>
    <t>岩沼一般廃棄物骸終処分場</t>
  </si>
  <si>
    <t>亘理一鮫廃棄物鰻終処分場</t>
  </si>
  <si>
    <t>岩沼一般廃棄物顧終処分場</t>
  </si>
  <si>
    <t>亘理一般廃棄物顧終処分場</t>
  </si>
  <si>
    <t>亘理一般廃棄物鰻終処分・</t>
  </si>
  <si>
    <t>岩沼一般廃棄物辰終処分場</t>
  </si>
  <si>
    <t>亘理一般廃棄物辰終処分場</t>
  </si>
  <si>
    <t>ND一</t>
  </si>
  <si>
    <t>市町名区分</t>
  </si>
  <si>
    <t>1号炉</t>
  </si>
  <si>
    <t>2号炉</t>
  </si>
  <si>
    <t>7月分</t>
  </si>
  <si>
    <t>29渕定日</t>
  </si>
  <si>
    <t>I00</t>
  </si>
  <si>
    <t>岩沼一般廃棄物鰻終処分1</t>
  </si>
  <si>
    <t>亘理一般廃棄物鰻終処分1</t>
  </si>
  <si>
    <t>豆理一般廃棄物最終処分1</t>
  </si>
  <si>
    <t>11日</t>
  </si>
  <si>
    <t>椚1</t>
  </si>
  <si>
    <t>岩沼一般廃棄物叢終処分1</t>
  </si>
  <si>
    <t>1岩沼一般廃棄物最終処分場【単位：ｔ】</t>
  </si>
  <si>
    <t>2月29日</t>
  </si>
  <si>
    <t>22日</t>
  </si>
  <si>
    <t>2日</t>
  </si>
  <si>
    <t>平成23年度廃棄物等の放射性物質測定結果一覧</t>
  </si>
  <si>
    <t>23日</t>
  </si>
  <si>
    <t>平成24年度廃棄物等の放射性物質測定結果一覧</t>
  </si>
  <si>
    <t>4月分</t>
  </si>
  <si>
    <t>刻月4日</t>
  </si>
  <si>
    <t>訓月4日</t>
  </si>
  <si>
    <t>刎月4日</t>
  </si>
  <si>
    <t>14日</t>
  </si>
  <si>
    <t>5月分</t>
  </si>
  <si>
    <t>(2)測定結果平成25年度廃棄物等の放射性物質測定結果―覧</t>
  </si>
  <si>
    <t>訓月5日</t>
  </si>
  <si>
    <t>刎月5日</t>
  </si>
  <si>
    <t>6月分</t>
  </si>
  <si>
    <t>訓月6日</t>
  </si>
  <si>
    <t>平成26年度廃棄物等の放射性物質測定結果一覧</t>
  </si>
  <si>
    <t>6月ＩＯ日</t>
  </si>
  <si>
    <t>6月訓日</t>
  </si>
  <si>
    <t>刻月6日</t>
  </si>
  <si>
    <t>6日</t>
  </si>
  <si>
    <t>8月分</t>
  </si>
  <si>
    <t>訓月8日</t>
  </si>
  <si>
    <t>IO月8日</t>
  </si>
  <si>
    <t>平成28年度廃棄物等の放射性物質測定結果－覧</t>
  </si>
  <si>
    <t>8日</t>
  </si>
  <si>
    <t>9月分</t>
  </si>
  <si>
    <t>訓月9日</t>
  </si>
  <si>
    <t>9月ＩＯ日</t>
  </si>
  <si>
    <t>IO月9日</t>
  </si>
  <si>
    <t>9日</t>
  </si>
  <si>
    <t>平成29年度廃棄物等の放射性物質測定結果一覧【単位:Bcl/kg】</t>
  </si>
  <si>
    <t>Ｉ07</t>
  </si>
  <si>
    <t>Ｉ06</t>
  </si>
  <si>
    <t>10日</t>
  </si>
  <si>
    <t>20日</t>
  </si>
  <si>
    <t>平成30年度廃棄物等の放射性物質測定結果－覧【単位:Bq/kg】</t>
  </si>
  <si>
    <t>訓月7日</t>
  </si>
  <si>
    <t>IO月7日</t>
  </si>
  <si>
    <t>7日</t>
  </si>
  <si>
    <t>77○</t>
  </si>
  <si>
    <t>7Ｏ</t>
  </si>
  <si>
    <t>セシウム137</t>
  </si>
  <si>
    <t>7○○</t>
  </si>
  <si>
    <t>H30年度末まで最終処分された放射性セシウムの総量は今日現在､</t>
    <rPh sb="3" eb="6">
      <t>ネンドマツ</t>
    </rPh>
    <rPh sb="8" eb="10">
      <t>サイシュウ</t>
    </rPh>
    <rPh sb="10" eb="12">
      <t>ショブン</t>
    </rPh>
    <rPh sb="15" eb="18">
      <t>ホウシャセイ</t>
    </rPh>
    <rPh sb="23" eb="25">
      <t>ソウリョウ</t>
    </rPh>
    <phoneticPr fontId="2"/>
  </si>
  <si>
    <t>1号焼却炉(ストーカ:95t/日)</t>
  </si>
  <si>
    <t>2号焼却炉(ストーカ:95t/日)</t>
  </si>
  <si>
    <t>1号焼却炉(ストーカ:50t/日)</t>
  </si>
  <si>
    <t>2号焼却炉(ストーカ:50t/日)</t>
  </si>
  <si>
    <t>3号焼却炉(ロータリーキルン:95t/日)</t>
  </si>
  <si>
    <t>亘理</t>
  </si>
  <si>
    <t>1号焼却炉(チェーンストーカ:105t/日)</t>
  </si>
  <si>
    <t>2号焼却炉(チェーンストーカ:105t/日)</t>
  </si>
  <si>
    <t>3号焼却炉(チェーンストーカ:105t/日)</t>
  </si>
  <si>
    <t>4号焼却炉(チェーンストーカ:105t/日)</t>
  </si>
  <si>
    <t>5号焼却炉(チェーンストーカ:105t/日)</t>
  </si>
  <si>
    <t>1号焼却炉(ロータリーキルン,200t/日</t>
  </si>
  <si>
    <t>2号焼却炉(ストーカ,100t/日)</t>
  </si>
  <si>
    <t>バイオマス発電(5t/日)</t>
  </si>
  <si>
    <t>震災がれき焼却のための仮設炉</t>
    <rPh sb="0" eb="2">
      <t>シンサイ</t>
    </rPh>
    <rPh sb="5" eb="7">
      <t>ショウキャク</t>
    </rPh>
    <rPh sb="11" eb="13">
      <t>カセツ</t>
    </rPh>
    <rPh sb="13" eb="14">
      <t>ロ</t>
    </rPh>
    <phoneticPr fontId="2"/>
  </si>
  <si>
    <t>上表の宮城東部採用↓</t>
    <rPh sb="0" eb="2">
      <t>ジョウヒョウ</t>
    </rPh>
    <rPh sb="3" eb="5">
      <t>ミヤギ</t>
    </rPh>
    <rPh sb="5" eb="7">
      <t>トウブ</t>
    </rPh>
    <rPh sb="7" eb="9">
      <t>サイヨウ</t>
    </rPh>
    <phoneticPr fontId="2"/>
  </si>
  <si>
    <t>↓上表23列の比率採用</t>
    <rPh sb="1" eb="3">
      <t>ジョウヒョウ</t>
    </rPh>
    <rPh sb="5" eb="6">
      <t>レツ</t>
    </rPh>
    <rPh sb="7" eb="9">
      <t>ヒリツ</t>
    </rPh>
    <rPh sb="9" eb="11">
      <t>サイヨウ</t>
    </rPh>
    <phoneticPr fontId="2"/>
  </si>
  <si>
    <t>◇ 焼却灰中放射性Csの月間集積量推移と最終処分場での現存量</t>
    <rPh sb="2" eb="4">
      <t>ショウキャク</t>
    </rPh>
    <rPh sb="4" eb="5">
      <t>ハイ</t>
    </rPh>
    <rPh sb="5" eb="6">
      <t>チュウ</t>
    </rPh>
    <rPh sb="6" eb="9">
      <t>ホウシャセイ</t>
    </rPh>
    <rPh sb="12" eb="14">
      <t>ゲッカン</t>
    </rPh>
    <rPh sb="14" eb="16">
      <t>シュウセキ</t>
    </rPh>
    <rPh sb="16" eb="17">
      <t>リョウ</t>
    </rPh>
    <rPh sb="17" eb="19">
      <t>スイイ</t>
    </rPh>
    <rPh sb="20" eb="22">
      <t>サイシュウ</t>
    </rPh>
    <rPh sb="22" eb="25">
      <t>ショブンジョウ</t>
    </rPh>
    <rPh sb="27" eb="29">
      <t>ゲンゾン</t>
    </rPh>
    <rPh sb="29" eb="30">
      <t>リョウ</t>
    </rPh>
    <phoneticPr fontId="16"/>
  </si>
  <si>
    <t>濃度比(飛/主)</t>
  </si>
  <si>
    <t>濃度変動を月別に割り当てる係数</t>
    <rPh sb="0" eb="2">
      <t>ノウド</t>
    </rPh>
    <rPh sb="2" eb="4">
      <t>ヘンドウ</t>
    </rPh>
    <rPh sb="5" eb="7">
      <t>ツキベツ</t>
    </rPh>
    <rPh sb="8" eb="9">
      <t>ワ</t>
    </rPh>
    <rPh sb="10" eb="11">
      <t>ア</t>
    </rPh>
    <rPh sb="13" eb="15">
      <t>ケイスウ</t>
    </rPh>
    <phoneticPr fontId="7"/>
  </si>
  <si>
    <t>Cs-134</t>
  </si>
  <si>
    <t>Cs-134</t>
    <phoneticPr fontId="7"/>
  </si>
  <si>
    <t>Cs-137</t>
  </si>
  <si>
    <t>Cs-137</t>
    <phoneticPr fontId="7"/>
  </si>
  <si>
    <t>焼却灰</t>
    <rPh sb="0" eb="2">
      <t>ショウキャク</t>
    </rPh>
    <rPh sb="2" eb="3">
      <t>バイ</t>
    </rPh>
    <phoneticPr fontId="7"/>
  </si>
  <si>
    <t>主灰</t>
    <rPh sb="0" eb="1">
      <t>シュ</t>
    </rPh>
    <rPh sb="1" eb="2">
      <t>バイ</t>
    </rPh>
    <phoneticPr fontId="7"/>
  </si>
  <si>
    <t>飛灰</t>
    <rPh sb="0" eb="2">
      <t>ヒバイ</t>
    </rPh>
    <phoneticPr fontId="7"/>
  </si>
  <si>
    <t>主灰3号</t>
    <rPh sb="0" eb="1">
      <t>シュ</t>
    </rPh>
    <rPh sb="1" eb="2">
      <t>バイ</t>
    </rPh>
    <rPh sb="3" eb="4">
      <t>ゴウ</t>
    </rPh>
    <phoneticPr fontId="7"/>
  </si>
  <si>
    <t>飛灰3号</t>
    <rPh sb="0" eb="2">
      <t>ヒバイ</t>
    </rPh>
    <phoneticPr fontId="7"/>
  </si>
  <si>
    <t>名取クリン</t>
    <rPh sb="0" eb="2">
      <t>ナトリ</t>
    </rPh>
    <phoneticPr fontId="7"/>
  </si>
  <si>
    <t>亘理清掃セ</t>
    <rPh sb="0" eb="2">
      <t>ワタリ</t>
    </rPh>
    <rPh sb="2" eb="4">
      <t>セイソウ</t>
    </rPh>
    <phoneticPr fontId="7"/>
  </si>
  <si>
    <t>岩沼東部環境セ</t>
    <rPh sb="0" eb="2">
      <t>イワヌマ</t>
    </rPh>
    <rPh sb="2" eb="4">
      <t>トウブ</t>
    </rPh>
    <rPh sb="4" eb="6">
      <t>カンキョウ</t>
    </rPh>
    <phoneticPr fontId="7"/>
  </si>
  <si>
    <t>年平均</t>
    <rPh sb="0" eb="3">
      <t>ネンヘイキン</t>
    </rPh>
    <phoneticPr fontId="7"/>
  </si>
  <si>
    <t>年度
(H10以降？)</t>
    <rPh sb="0" eb="2">
      <t>ネンド</t>
    </rPh>
    <rPh sb="7" eb="9">
      <t>イコウ</t>
    </rPh>
    <phoneticPr fontId="7"/>
  </si>
  <si>
    <r>
      <t xml:space="preserve">ごみ総排出量
</t>
    </r>
    <r>
      <rPr>
        <sz val="7"/>
        <rFont val="Meiryo UI"/>
        <family val="3"/>
        <charset val="128"/>
      </rPr>
      <t>C=D+直接搬入量+Y</t>
    </r>
    <rPh sb="2" eb="3">
      <t>ソウ</t>
    </rPh>
    <rPh sb="3" eb="5">
      <t>ハイシュツ</t>
    </rPh>
    <rPh sb="5" eb="6">
      <t>リョウ</t>
    </rPh>
    <phoneticPr fontId="7"/>
  </si>
  <si>
    <t>計画収集量
D</t>
    <rPh sb="0" eb="2">
      <t>ケイカク</t>
    </rPh>
    <rPh sb="2" eb="4">
      <t>シュウシュウ</t>
    </rPh>
    <rPh sb="4" eb="5">
      <t>リョウ</t>
    </rPh>
    <phoneticPr fontId="7"/>
  </si>
  <si>
    <t>自家処理量
Y</t>
    <phoneticPr fontId="7"/>
  </si>
  <si>
    <t>集団回収量
E</t>
    <phoneticPr fontId="7"/>
  </si>
  <si>
    <t>直接焼却量
F</t>
    <phoneticPr fontId="7"/>
  </si>
  <si>
    <t>直接最終処分量
G</t>
    <phoneticPr fontId="7"/>
  </si>
  <si>
    <t>焼却以外の中間処理量
H</t>
    <rPh sb="0" eb="2">
      <t>ショウキャク</t>
    </rPh>
    <rPh sb="2" eb="4">
      <t>イガイ</t>
    </rPh>
    <rPh sb="5" eb="7">
      <t>チュウカン</t>
    </rPh>
    <rPh sb="7" eb="9">
      <t>ショリ</t>
    </rPh>
    <rPh sb="9" eb="10">
      <t>リョウ</t>
    </rPh>
    <phoneticPr fontId="7"/>
  </si>
  <si>
    <t>直接資源化量
I</t>
    <rPh sb="0" eb="2">
      <t>チョクセツ</t>
    </rPh>
    <rPh sb="2" eb="4">
      <t>シゲン</t>
    </rPh>
    <rPh sb="4" eb="5">
      <t>カ</t>
    </rPh>
    <rPh sb="5" eb="6">
      <t>リョウ</t>
    </rPh>
    <phoneticPr fontId="7"/>
  </si>
  <si>
    <t>減量処理率N=(F+H+I)/X</t>
    <rPh sb="0" eb="2">
      <t>ショリ</t>
    </rPh>
    <rPh sb="2" eb="3">
      <t>リツ</t>
    </rPh>
    <phoneticPr fontId="7"/>
  </si>
  <si>
    <t>中間処理後再生利用量 J</t>
    <phoneticPr fontId="7"/>
  </si>
  <si>
    <t>焼却残渣量
K</t>
    <rPh sb="0" eb="2">
      <t>ショウキャク</t>
    </rPh>
    <rPh sb="2" eb="4">
      <t>ザンサ</t>
    </rPh>
    <rPh sb="4" eb="5">
      <t>リョウ</t>
    </rPh>
    <phoneticPr fontId="7"/>
  </si>
  <si>
    <t>処理残渣量
L</t>
    <rPh sb="0" eb="2">
      <t>ショリ</t>
    </rPh>
    <rPh sb="2" eb="4">
      <t>ザンサ</t>
    </rPh>
    <rPh sb="4" eb="5">
      <t>リョウ</t>
    </rPh>
    <phoneticPr fontId="7"/>
  </si>
  <si>
    <t>最終処分量
M=G+K+L</t>
    <rPh sb="0" eb="2">
      <t>サイシュウ</t>
    </rPh>
    <rPh sb="2" eb="4">
      <t>ショブン</t>
    </rPh>
    <rPh sb="4" eb="5">
      <t>リョウ</t>
    </rPh>
    <phoneticPr fontId="7"/>
  </si>
  <si>
    <t>H10以降？</t>
    <rPh sb="3" eb="5">
      <t>イコウ</t>
    </rPh>
    <phoneticPr fontId="7"/>
  </si>
  <si>
    <t>集団回収量が新設されたが､ごみ総排出量に含まない
自家処理量はごみ総排出量に含む
ごみ総排出量 &lt; &gt; ごみ処理量</t>
    <rPh sb="0" eb="2">
      <t>シュウダン</t>
    </rPh>
    <rPh sb="2" eb="4">
      <t>カイシュウ</t>
    </rPh>
    <rPh sb="4" eb="5">
      <t>リョウ</t>
    </rPh>
    <rPh sb="6" eb="8">
      <t>シンセツ</t>
    </rPh>
    <rPh sb="25" eb="27">
      <t>ジカ</t>
    </rPh>
    <rPh sb="27" eb="29">
      <t>ショリ</t>
    </rPh>
    <rPh sb="29" eb="30">
      <t>リョウ</t>
    </rPh>
    <rPh sb="33" eb="34">
      <t>ソウ</t>
    </rPh>
    <rPh sb="34" eb="36">
      <t>ハイシュツ</t>
    </rPh>
    <rPh sb="36" eb="37">
      <t>リョウ</t>
    </rPh>
    <rPh sb="38" eb="39">
      <t>フク</t>
    </rPh>
    <rPh sb="43" eb="44">
      <t>ソウ</t>
    </rPh>
    <rPh sb="44" eb="46">
      <t>ハイシュツ</t>
    </rPh>
    <rPh sb="46" eb="47">
      <t>リョウ</t>
    </rPh>
    <rPh sb="54" eb="56">
      <t>ショリ</t>
    </rPh>
    <rPh sb="56" eb="57">
      <t>リョウ</t>
    </rPh>
    <phoneticPr fontId="7"/>
  </si>
  <si>
    <t>自家処理量  Y</t>
    <phoneticPr fontId="7"/>
  </si>
  <si>
    <t>集団回収量  E</t>
    <phoneticPr fontId="7"/>
  </si>
  <si>
    <t>直接焼却量 F</t>
    <phoneticPr fontId="7"/>
  </si>
  <si>
    <t>直接最終処分量 G</t>
    <phoneticPr fontId="7"/>
  </si>
  <si>
    <t>H17以降</t>
    <rPh sb="3" eb="5">
      <t>イコウ</t>
    </rPh>
    <phoneticPr fontId="7"/>
  </si>
  <si>
    <t>集団回収量が､ごみ総排出量に含む
自家処理量はごみ総排出量に含まない
単位：(人)､(t)､(％)
環境省の元値X,N,R,M欄</t>
    <rPh sb="0" eb="2">
      <t>シュウダン</t>
    </rPh>
    <rPh sb="2" eb="4">
      <t>カイシュウ</t>
    </rPh>
    <rPh sb="4" eb="5">
      <t>リョウ</t>
    </rPh>
    <rPh sb="17" eb="19">
      <t>ジカ</t>
    </rPh>
    <rPh sb="19" eb="21">
      <t>ショリ</t>
    </rPh>
    <rPh sb="21" eb="22">
      <t>リョウ</t>
    </rPh>
    <rPh sb="25" eb="26">
      <t>ソウ</t>
    </rPh>
    <rPh sb="26" eb="28">
      <t>ハイシュツ</t>
    </rPh>
    <rPh sb="28" eb="29">
      <t>リョウ</t>
    </rPh>
    <rPh sb="35" eb="37">
      <t>タンイ</t>
    </rPh>
    <rPh sb="39" eb="40">
      <t>ニン</t>
    </rPh>
    <rPh sb="50" eb="53">
      <t>カンキョウショウ</t>
    </rPh>
    <rPh sb="54" eb="56">
      <t>モトネ</t>
    </rPh>
    <rPh sb="63" eb="64">
      <t>ラン</t>
    </rPh>
    <phoneticPr fontId="7"/>
  </si>
  <si>
    <t>直接搬入量</t>
  </si>
  <si>
    <t>平成29年度</t>
    <rPh sb="0" eb="2">
      <t>ヘイセイ</t>
    </rPh>
    <rPh sb="4" eb="6">
      <t>ネンド</t>
    </rPh>
    <phoneticPr fontId="38"/>
  </si>
  <si>
    <t>震災瓦礫焼却量(x0.1t/月)</t>
    <rPh sb="0" eb="2">
      <t>シンサイ</t>
    </rPh>
    <rPh sb="2" eb="4">
      <t>ガレキ</t>
    </rPh>
    <rPh sb="4" eb="6">
      <t>ショウキャク</t>
    </rPh>
    <rPh sb="6" eb="7">
      <t>リョウ</t>
    </rPh>
    <rPh sb="14" eb="15">
      <t>ツキ</t>
    </rPh>
    <phoneticPr fontId="2"/>
  </si>
  <si>
    <t>主灰と飛灰中のCs集積量(MBq)</t>
    <rPh sb="0" eb="1">
      <t>シュ</t>
    </rPh>
    <rPh sb="1" eb="2">
      <t>ハイ</t>
    </rPh>
    <rPh sb="3" eb="5">
      <t>ヒバイ</t>
    </rPh>
    <rPh sb="5" eb="6">
      <t>チュウ</t>
    </rPh>
    <rPh sb="9" eb="11">
      <t>シュウセキ</t>
    </rPh>
    <rPh sb="11" eb="12">
      <t>リョウ</t>
    </rPh>
    <phoneticPr fontId="2"/>
  </si>
  <si>
    <t>最終処分場での両Cs現存量(MBq)</t>
    <rPh sb="0" eb="2">
      <t>サイシュウ</t>
    </rPh>
    <rPh sb="2" eb="5">
      <t>ショブンジョウ</t>
    </rPh>
    <rPh sb="10" eb="12">
      <t>ゲンゾン</t>
    </rPh>
    <rPh sb="12" eb="13">
      <t>リョウ</t>
    </rPh>
    <phoneticPr fontId="2"/>
  </si>
  <si>
    <t>瓦礫分除くと</t>
    <rPh sb="0" eb="2">
      <t>ガレキ</t>
    </rPh>
    <rPh sb="2" eb="3">
      <t>ブン</t>
    </rPh>
    <rPh sb="3" eb="4">
      <t>ノゾ</t>
    </rPh>
    <phoneticPr fontId="2"/>
  </si>
  <si>
    <t>瓦礫分除く(MBq)</t>
    <rPh sb="0" eb="2">
      <t>ガレキ</t>
    </rPh>
    <rPh sb="2" eb="3">
      <t>ブン</t>
    </rPh>
    <rPh sb="3" eb="4">
      <t>ノゾ</t>
    </rPh>
    <phoneticPr fontId="2"/>
  </si>
  <si>
    <t>GBq</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</si>
</sst>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 "/>
    <numFmt numFmtId="177" formatCode="0.0_ "/>
    <numFmt numFmtId="178" formatCode="[$-411]ge"/>
    <numFmt numFmtId="179" formatCode="[$-411]ge\.m"/>
    <numFmt numFmtId="180" formatCode="0.000"/>
    <numFmt numFmtId="181" formatCode="0.0"/>
    <numFmt numFmtId="182" formatCode="0.E+00"/>
  </numFmts>
  <fonts count="39" x14ac:knownFonts="1">
    <font>
      <sz val="11"/>
      <name val="ＭＳ Ｐゴシック"/>
      <family val="3"/>
      <charset val="128"/>
    </font>
    <font>
      <sz val="9"/>
      <color theme="1"/>
      <name val="Meiryo UI"/>
      <family val="2"/>
      <charset val="128"/>
    </font>
    <font>
      <sz val="10"/>
      <color indexed="40"/>
      <name val="ＭＳ ゴシック"/>
      <family val="3"/>
      <charset val="128"/>
    </font>
    <font>
      <sz val="9"/>
      <name val="Meiryo UI"/>
      <family val="3"/>
      <charset val="128"/>
    </font>
    <font>
      <sz val="9"/>
      <color indexed="40"/>
      <name val="Meiryo UI"/>
      <family val="3"/>
      <charset val="128"/>
    </font>
    <font>
      <sz val="12"/>
      <color indexed="40"/>
      <name val="ＭＳ ゴシック"/>
      <family val="3"/>
      <charset val="128"/>
    </font>
    <font>
      <sz val="9"/>
      <color indexed="40"/>
      <name val="ＭＳ ゴシック"/>
      <family val="3"/>
      <charset val="128"/>
    </font>
    <font>
      <sz val="6"/>
      <name val="ＭＳ Ｐゴシック"/>
      <family val="3"/>
      <charset val="128"/>
    </font>
    <font>
      <sz val="8"/>
      <color indexed="40"/>
      <name val="Meiryo UI"/>
      <family val="3"/>
      <charset val="128"/>
    </font>
    <font>
      <sz val="8"/>
      <name val="Meiryo UI"/>
      <family val="3"/>
      <charset val="128"/>
    </font>
    <font>
      <sz val="11"/>
      <name val="ＭＳ Ｐゴシック"/>
      <family val="3"/>
      <charset val="128"/>
    </font>
    <font>
      <sz val="6"/>
      <name val="ＭＳ Ｐ明朝"/>
      <family val="1"/>
      <charset val="128"/>
    </font>
    <font>
      <sz val="7"/>
      <name val="Meiryo UI"/>
      <family val="3"/>
      <charset val="128"/>
    </font>
    <font>
      <sz val="10"/>
      <name val="ＭＳ ゴシック"/>
      <family val="3"/>
      <charset val="128"/>
    </font>
    <font>
      <sz val="11"/>
      <name val="ＭＳ ゴシック"/>
      <family val="3"/>
      <charset val="128"/>
    </font>
    <font>
      <sz val="9"/>
      <color theme="1"/>
      <name val="Meiryo UI"/>
      <family val="3"/>
      <charset val="128"/>
    </font>
    <font>
      <sz val="6"/>
      <name val="Meiryo UI"/>
      <family val="2"/>
      <charset val="128"/>
    </font>
    <font>
      <sz val="8"/>
      <color theme="1"/>
      <name val="Meiryo UI"/>
      <family val="3"/>
      <charset val="128"/>
    </font>
    <font>
      <sz val="9"/>
      <color rgb="FF333333"/>
      <name val="Meiryo UI"/>
      <family val="3"/>
      <charset val="128"/>
    </font>
    <font>
      <sz val="11"/>
      <color theme="1"/>
      <name val="Meiryo UI"/>
      <family val="3"/>
      <charset val="128"/>
    </font>
    <font>
      <sz val="11"/>
      <name val="Meiryo UI"/>
      <family val="3"/>
      <charset val="128"/>
    </font>
    <font>
      <sz val="7.5"/>
      <name val="Meiryo UI"/>
      <family val="3"/>
      <charset val="128"/>
    </font>
    <font>
      <sz val="8"/>
      <name val="ＭＳ Ｐゴシック"/>
      <family val="3"/>
      <charset val="128"/>
    </font>
    <font>
      <u/>
      <sz val="9"/>
      <color theme="10"/>
      <name val="Meiryo UI"/>
      <family val="2"/>
      <charset val="128"/>
    </font>
    <font>
      <sz val="7"/>
      <name val="ＭＳ Ｐゴシック"/>
      <family val="3"/>
      <charset val="128"/>
    </font>
    <font>
      <sz val="7.5"/>
      <name val="ＭＳ Ｐゴシック"/>
      <family val="3"/>
      <charset val="128"/>
    </font>
    <font>
      <sz val="6"/>
      <name val="Meiryo UI"/>
      <family val="3"/>
      <charset val="128"/>
    </font>
    <font>
      <sz val="8.5"/>
      <color theme="1"/>
      <name val="Meiryo UI"/>
      <family val="3"/>
      <charset val="128"/>
    </font>
    <font>
      <sz val="6.5"/>
      <color theme="1"/>
      <name val="Meiryo UI"/>
      <family val="3"/>
      <charset val="128"/>
    </font>
    <font>
      <sz val="7"/>
      <color theme="1"/>
      <name val="Meiryo UI"/>
      <family val="3"/>
      <charset val="128"/>
    </font>
    <font>
      <sz val="9"/>
      <color theme="9" tint="0.39997558519241921"/>
      <name val="Meiryo UI"/>
      <family val="3"/>
      <charset val="128"/>
    </font>
    <font>
      <sz val="9"/>
      <color rgb="FFFF3300"/>
      <name val="Meiryo UI"/>
      <family val="3"/>
      <charset val="128"/>
    </font>
    <font>
      <sz val="9"/>
      <color rgb="FFFF0000"/>
      <name val="Meiryo UI"/>
      <family val="3"/>
      <charset val="128"/>
    </font>
    <font>
      <sz val="10"/>
      <name val="Meiryo UI"/>
      <family val="3"/>
      <charset val="128"/>
    </font>
    <font>
      <sz val="6.5"/>
      <name val="Meiryo UI"/>
      <family val="3"/>
      <charset val="128"/>
    </font>
    <font>
      <sz val="6.5"/>
      <name val="ＭＳ Ｐゴシック"/>
      <family val="3"/>
      <charset val="128"/>
    </font>
    <font>
      <sz val="14"/>
      <color theme="1"/>
      <name val="Meiryo UI"/>
      <family val="3"/>
      <charset val="128"/>
    </font>
    <font>
      <u/>
      <sz val="10"/>
      <color theme="10"/>
      <name val="Meiryo UI"/>
      <family val="2"/>
      <charset val="128"/>
    </font>
    <font>
      <sz val="6"/>
      <name val="ＭＳ ゴシック"/>
      <family val="3"/>
      <charset val="128"/>
    </font>
  </fonts>
  <fills count="1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2"/>
        <bgColor indexed="64"/>
      </patternFill>
    </fill>
    <fill>
      <patternFill patternType="solid">
        <fgColor rgb="FFFFFFCC"/>
        <bgColor indexed="64"/>
      </patternFill>
    </fill>
    <fill>
      <patternFill patternType="solid">
        <fgColor theme="4" tint="0.79998168889431442"/>
        <bgColor indexed="64"/>
      </patternFill>
    </fill>
    <fill>
      <patternFill patternType="solid">
        <fgColor rgb="FFCCFFFF"/>
        <bgColor indexed="64"/>
      </patternFill>
    </fill>
    <fill>
      <patternFill patternType="solid">
        <fgColor theme="6" tint="0.59999389629810485"/>
        <bgColor indexed="64"/>
      </patternFill>
    </fill>
    <fill>
      <patternFill patternType="solid">
        <fgColor theme="6" tint="0.39994506668294322"/>
        <bgColor indexed="64"/>
      </patternFill>
    </fill>
    <fill>
      <patternFill patternType="solid">
        <fgColor theme="6" tint="0.39997558519241921"/>
        <bgColor indexed="64"/>
      </patternFill>
    </fill>
    <fill>
      <patternFill patternType="solid">
        <fgColor rgb="FFFFCCFF"/>
        <bgColor indexed="64"/>
      </patternFill>
    </fill>
  </fills>
  <borders count="79">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right style="thin">
        <color indexed="9"/>
      </right>
      <top/>
      <bottom/>
      <diagonal/>
    </border>
    <border>
      <left style="thin">
        <color indexed="9"/>
      </left>
      <right/>
      <top style="thin">
        <color indexed="9"/>
      </top>
      <bottom style="thin">
        <color indexed="8"/>
      </bottom>
      <diagonal/>
    </border>
    <border>
      <left/>
      <right/>
      <top style="thin">
        <color indexed="9"/>
      </top>
      <bottom style="thin">
        <color indexed="8"/>
      </bottom>
      <diagonal/>
    </border>
    <border>
      <left/>
      <right style="thin">
        <color indexed="9"/>
      </right>
      <top style="thin">
        <color indexed="9"/>
      </top>
      <bottom style="thin">
        <color indexed="8"/>
      </bottom>
      <diagonal/>
    </border>
    <border>
      <left style="thin">
        <color indexed="9"/>
      </left>
      <right/>
      <top/>
      <bottom/>
      <diagonal/>
    </border>
    <border>
      <left style="thin">
        <color indexed="9"/>
      </left>
      <right/>
      <top style="thin">
        <color indexed="8"/>
      </top>
      <bottom/>
      <diagonal/>
    </border>
    <border>
      <left/>
      <right/>
      <top style="thin">
        <color indexed="8"/>
      </top>
      <bottom style="thin">
        <color indexed="8"/>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auto="1"/>
      </right>
      <top/>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top/>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double">
        <color auto="1"/>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right style="hair">
        <color auto="1"/>
      </right>
      <top/>
      <bottom/>
      <diagonal/>
    </border>
    <border>
      <left style="hair">
        <color auto="1"/>
      </left>
      <right/>
      <top/>
      <bottom style="hair">
        <color auto="1"/>
      </bottom>
      <diagonal/>
    </border>
    <border>
      <left/>
      <right style="hair">
        <color auto="1"/>
      </right>
      <top style="hair">
        <color auto="1"/>
      </top>
      <bottom/>
      <diagonal/>
    </border>
    <border diagonalUp="1">
      <left style="hair">
        <color auto="1"/>
      </left>
      <right style="hair">
        <color auto="1"/>
      </right>
      <top style="hair">
        <color auto="1"/>
      </top>
      <bottom style="hair">
        <color auto="1"/>
      </bottom>
      <diagonal style="hair">
        <color auto="1"/>
      </diagonal>
    </border>
    <border>
      <left style="hair">
        <color auto="1"/>
      </left>
      <right/>
      <top style="hair">
        <color auto="1"/>
      </top>
      <bottom/>
      <diagonal/>
    </border>
    <border>
      <left/>
      <right style="double">
        <color auto="1"/>
      </right>
      <top/>
      <bottom/>
      <diagonal/>
    </border>
    <border>
      <left style="hair">
        <color auto="1"/>
      </left>
      <right style="double">
        <color auto="1"/>
      </right>
      <top style="hair">
        <color auto="1"/>
      </top>
      <bottom/>
      <diagonal/>
    </border>
    <border>
      <left style="hair">
        <color auto="1"/>
      </left>
      <right style="double">
        <color auto="1"/>
      </right>
      <top/>
      <bottom/>
      <diagonal/>
    </border>
    <border>
      <left style="hair">
        <color auto="1"/>
      </left>
      <right style="double">
        <color auto="1"/>
      </right>
      <top/>
      <bottom style="hair">
        <color auto="1"/>
      </bottom>
      <diagonal/>
    </border>
    <border>
      <left style="hair">
        <color auto="1"/>
      </left>
      <right style="double">
        <color auto="1"/>
      </right>
      <top style="hair">
        <color auto="1"/>
      </top>
      <bottom style="hair">
        <color auto="1"/>
      </bottom>
      <diagonal/>
    </border>
    <border>
      <left/>
      <right style="double">
        <color auto="1"/>
      </right>
      <top/>
      <bottom style="hair">
        <color auto="1"/>
      </bottom>
      <diagonal/>
    </border>
    <border>
      <left/>
      <right style="double">
        <color auto="1"/>
      </right>
      <top style="hair">
        <color auto="1"/>
      </top>
      <bottom style="hair">
        <color auto="1"/>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thin">
        <color auto="1"/>
      </right>
      <top/>
      <bottom style="hair">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right/>
      <top/>
      <bottom style="hair">
        <color auto="1"/>
      </bottom>
      <diagonal/>
    </border>
    <border>
      <left style="thin">
        <color auto="1"/>
      </left>
      <right/>
      <top style="thin">
        <color auto="1"/>
      </top>
      <bottom/>
      <diagonal/>
    </border>
    <border>
      <left style="thin">
        <color indexed="8"/>
      </left>
      <right/>
      <top style="thin">
        <color auto="1"/>
      </top>
      <bottom/>
      <diagonal/>
    </border>
    <border>
      <left/>
      <right/>
      <top style="thin">
        <color auto="1"/>
      </top>
      <bottom/>
      <diagonal/>
    </border>
    <border>
      <left/>
      <right style="thin">
        <color indexed="8"/>
      </right>
      <top style="thin">
        <color auto="1"/>
      </top>
      <bottom/>
      <diagonal/>
    </border>
    <border>
      <left style="thin">
        <color indexed="8"/>
      </left>
      <right/>
      <top style="thin">
        <color auto="1"/>
      </top>
      <bottom style="thin">
        <color indexed="8"/>
      </bottom>
      <diagonal/>
    </border>
    <border>
      <left/>
      <right style="thin">
        <color indexed="8"/>
      </right>
      <top style="thin">
        <color auto="1"/>
      </top>
      <bottom style="thin">
        <color indexed="8"/>
      </bottom>
      <diagonal/>
    </border>
    <border>
      <left/>
      <right style="thin">
        <color auto="1"/>
      </right>
      <top style="thin">
        <color auto="1"/>
      </top>
      <bottom style="thin">
        <color indexed="8"/>
      </bottom>
      <diagonal/>
    </border>
    <border>
      <left style="thin">
        <color auto="1"/>
      </left>
      <right/>
      <top/>
      <bottom style="thin">
        <color indexed="8"/>
      </bottom>
      <diagonal/>
    </border>
    <border>
      <left style="thin">
        <color indexed="8"/>
      </left>
      <right style="thin">
        <color auto="1"/>
      </right>
      <top style="thin">
        <color indexed="8"/>
      </top>
      <bottom style="thin">
        <color indexed="8"/>
      </bottom>
      <diagonal/>
    </border>
    <border>
      <left style="thin">
        <color auto="1"/>
      </left>
      <right/>
      <top style="thin">
        <color indexed="8"/>
      </top>
      <bottom/>
      <diagonal/>
    </border>
    <border>
      <left style="thin">
        <color indexed="8"/>
      </left>
      <right style="thin">
        <color auto="1"/>
      </right>
      <top style="thin">
        <color indexed="8"/>
      </top>
      <bottom/>
      <diagonal/>
    </border>
    <border>
      <left style="thin">
        <color auto="1"/>
      </left>
      <right/>
      <top/>
      <bottom/>
      <diagonal/>
    </border>
    <border>
      <left style="thin">
        <color indexed="8"/>
      </left>
      <right style="thin">
        <color auto="1"/>
      </right>
      <top/>
      <bottom/>
      <diagonal/>
    </border>
    <border>
      <left style="thin">
        <color indexed="8"/>
      </left>
      <right style="thin">
        <color auto="1"/>
      </right>
      <top/>
      <bottom style="thin">
        <color indexed="8"/>
      </bottom>
      <diagonal/>
    </border>
    <border>
      <left style="thin">
        <color auto="1"/>
      </left>
      <right/>
      <top/>
      <bottom style="thin">
        <color auto="1"/>
      </bottom>
      <diagonal/>
    </border>
    <border>
      <left style="thin">
        <color indexed="8"/>
      </left>
      <right/>
      <top/>
      <bottom style="thin">
        <color auto="1"/>
      </bottom>
      <diagonal/>
    </border>
    <border>
      <left/>
      <right style="thin">
        <color indexed="8"/>
      </right>
      <top/>
      <bottom style="thin">
        <color auto="1"/>
      </bottom>
      <diagonal/>
    </border>
    <border>
      <left style="thin">
        <color indexed="8"/>
      </left>
      <right style="thin">
        <color indexed="8"/>
      </right>
      <top style="thin">
        <color indexed="8"/>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right/>
      <top style="hair">
        <color auto="1"/>
      </top>
      <bottom/>
      <diagonal/>
    </border>
    <border>
      <left/>
      <right style="thin">
        <color auto="1"/>
      </right>
      <top style="hair">
        <color auto="1"/>
      </top>
      <bottom style="hair">
        <color auto="1"/>
      </bottom>
      <diagonal/>
    </border>
  </borders>
  <cellStyleXfs count="6">
    <xf numFmtId="0" fontId="0" fillId="0" borderId="0">
      <alignment vertical="center"/>
    </xf>
    <xf numFmtId="38" fontId="10" fillId="0" borderId="0" applyFont="0" applyFill="0" applyBorder="0" applyAlignment="0" applyProtection="0">
      <alignment vertical="center"/>
    </xf>
    <xf numFmtId="0" fontId="13" fillId="0" borderId="0"/>
    <xf numFmtId="0" fontId="14" fillId="0" borderId="0"/>
    <xf numFmtId="0" fontId="23" fillId="0" borderId="0" applyNumberFormat="0" applyFill="0" applyBorder="0" applyAlignment="0" applyProtection="0">
      <alignment vertical="center"/>
    </xf>
    <xf numFmtId="0" fontId="1" fillId="0" borderId="0">
      <alignment vertical="center"/>
    </xf>
  </cellStyleXfs>
  <cellXfs count="419">
    <xf numFmtId="0" fontId="0" fillId="0" borderId="0" xfId="0">
      <alignment vertical="center"/>
    </xf>
    <xf numFmtId="0" fontId="3" fillId="0" borderId="0" xfId="0" applyFont="1" applyAlignment="1">
      <alignment vertical="center"/>
    </xf>
    <xf numFmtId="0" fontId="4" fillId="0" borderId="3" xfId="0" applyNumberFormat="1" applyFont="1" applyFill="1" applyBorder="1" applyAlignment="1">
      <alignment vertical="center"/>
    </xf>
    <xf numFmtId="0" fontId="4" fillId="0" borderId="4" xfId="0" applyNumberFormat="1" applyFont="1" applyFill="1" applyBorder="1" applyAlignment="1">
      <alignment vertical="center"/>
    </xf>
    <xf numFmtId="0" fontId="3" fillId="0" borderId="3" xfId="0" applyFont="1" applyFill="1" applyBorder="1" applyAlignment="1">
      <alignment vertical="center"/>
    </xf>
    <xf numFmtId="2" fontId="4" fillId="0" borderId="3" xfId="0" applyNumberFormat="1" applyFont="1" applyFill="1" applyBorder="1" applyAlignment="1">
      <alignment vertical="center"/>
    </xf>
    <xf numFmtId="0" fontId="3" fillId="0" borderId="5" xfId="0" applyFont="1" applyFill="1" applyBorder="1" applyAlignment="1">
      <alignment vertical="center"/>
    </xf>
    <xf numFmtId="176" fontId="4" fillId="0" borderId="3" xfId="0" applyNumberFormat="1" applyFont="1" applyFill="1" applyBorder="1" applyAlignment="1">
      <alignment vertical="center"/>
    </xf>
    <xf numFmtId="0" fontId="3" fillId="0" borderId="6" xfId="0" applyFont="1" applyFill="1" applyBorder="1" applyAlignment="1">
      <alignment vertical="center"/>
    </xf>
    <xf numFmtId="0" fontId="3" fillId="0" borderId="0" xfId="0" applyFont="1" applyFill="1" applyBorder="1" applyAlignment="1">
      <alignment vertical="center"/>
    </xf>
    <xf numFmtId="0" fontId="3" fillId="0" borderId="7" xfId="0" applyFont="1" applyFill="1" applyBorder="1" applyAlignment="1">
      <alignment vertical="center"/>
    </xf>
    <xf numFmtId="0" fontId="4" fillId="0" borderId="8" xfId="0" applyNumberFormat="1"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0" xfId="0" applyFont="1" applyAlignment="1">
      <alignment horizontal="center" vertical="center"/>
    </xf>
    <xf numFmtId="0" fontId="3" fillId="0" borderId="0" xfId="0" applyFont="1" applyFill="1" applyAlignment="1">
      <alignment vertical="center"/>
    </xf>
    <xf numFmtId="0" fontId="3" fillId="0" borderId="4" xfId="0" applyFont="1" applyFill="1" applyBorder="1" applyAlignment="1">
      <alignment vertical="center"/>
    </xf>
    <xf numFmtId="0" fontId="3" fillId="2" borderId="13" xfId="0" applyFont="1" applyFill="1" applyBorder="1" applyAlignment="1">
      <alignment vertical="center"/>
    </xf>
    <xf numFmtId="0" fontId="3" fillId="0" borderId="7" xfId="0" applyNumberFormat="1" applyFont="1" applyFill="1" applyBorder="1" applyAlignment="1">
      <alignment vertical="center"/>
    </xf>
    <xf numFmtId="0" fontId="3" fillId="0" borderId="4" xfId="0" applyNumberFormat="1" applyFont="1" applyFill="1" applyBorder="1" applyAlignment="1">
      <alignment vertical="center"/>
    </xf>
    <xf numFmtId="0" fontId="3" fillId="0" borderId="8" xfId="0" applyNumberFormat="1" applyFont="1" applyFill="1" applyBorder="1" applyAlignment="1">
      <alignment vertical="center"/>
    </xf>
    <xf numFmtId="0" fontId="3" fillId="0" borderId="3" xfId="0" applyNumberFormat="1" applyFont="1" applyFill="1" applyBorder="1" applyAlignment="1">
      <alignment vertical="center"/>
    </xf>
    <xf numFmtId="176" fontId="3" fillId="0" borderId="3" xfId="0" applyNumberFormat="1" applyFont="1" applyFill="1" applyBorder="1" applyAlignment="1">
      <alignment vertical="center"/>
    </xf>
    <xf numFmtId="3" fontId="3" fillId="0" borderId="3" xfId="0" applyNumberFormat="1" applyFont="1" applyFill="1" applyBorder="1" applyAlignment="1">
      <alignment vertical="center"/>
    </xf>
    <xf numFmtId="0" fontId="3" fillId="3" borderId="3" xfId="0" applyNumberFormat="1" applyFont="1" applyFill="1" applyBorder="1" applyAlignment="1">
      <alignment vertical="center"/>
    </xf>
    <xf numFmtId="2" fontId="3" fillId="0" borderId="3" xfId="0" applyNumberFormat="1" applyFont="1" applyFill="1" applyBorder="1" applyAlignment="1">
      <alignment vertical="center"/>
    </xf>
    <xf numFmtId="0" fontId="3" fillId="0" borderId="20" xfId="0" applyNumberFormat="1" applyFont="1" applyFill="1" applyBorder="1" applyAlignment="1">
      <alignment vertical="center"/>
    </xf>
    <xf numFmtId="56" fontId="3" fillId="0" borderId="4" xfId="0" quotePrefix="1" applyNumberFormat="1" applyFont="1" applyFill="1" applyBorder="1" applyAlignment="1">
      <alignment vertical="center"/>
    </xf>
    <xf numFmtId="56" fontId="4" fillId="0" borderId="4" xfId="0" quotePrefix="1" applyNumberFormat="1" applyFont="1" applyFill="1" applyBorder="1" applyAlignment="1">
      <alignment vertical="center"/>
    </xf>
    <xf numFmtId="0" fontId="3" fillId="0" borderId="4" xfId="0" quotePrefix="1" applyNumberFormat="1" applyFont="1" applyFill="1" applyBorder="1" applyAlignment="1">
      <alignment vertical="center"/>
    </xf>
    <xf numFmtId="0" fontId="4" fillId="0" borderId="4" xfId="0" quotePrefix="1" applyNumberFormat="1" applyFont="1" applyFill="1" applyBorder="1" applyAlignment="1">
      <alignment vertical="center"/>
    </xf>
    <xf numFmtId="0" fontId="3" fillId="3" borderId="4" xfId="0" quotePrefix="1" applyNumberFormat="1" applyFont="1" applyFill="1" applyBorder="1" applyAlignment="1">
      <alignment vertical="center"/>
    </xf>
    <xf numFmtId="56" fontId="3" fillId="2" borderId="6" xfId="0" applyNumberFormat="1" applyFont="1" applyFill="1" applyBorder="1" applyAlignment="1">
      <alignment vertical="center"/>
    </xf>
    <xf numFmtId="56" fontId="3" fillId="2" borderId="3" xfId="0" applyNumberFormat="1" applyFont="1" applyFill="1" applyBorder="1" applyAlignment="1">
      <alignment vertical="center"/>
    </xf>
    <xf numFmtId="176" fontId="3" fillId="3" borderId="3" xfId="0" applyNumberFormat="1" applyFont="1" applyFill="1" applyBorder="1" applyAlignment="1">
      <alignment vertical="center"/>
    </xf>
    <xf numFmtId="176" fontId="3" fillId="0" borderId="3" xfId="0" applyNumberFormat="1" applyFont="1" applyFill="1" applyBorder="1" applyAlignment="1">
      <alignment vertical="center" shrinkToFit="1"/>
    </xf>
    <xf numFmtId="0" fontId="3" fillId="0" borderId="4" xfId="0" applyNumberFormat="1" applyFont="1" applyFill="1" applyBorder="1" applyAlignment="1">
      <alignment vertical="center" shrinkToFit="1"/>
    </xf>
    <xf numFmtId="2" fontId="3" fillId="0" borderId="3" xfId="0" applyNumberFormat="1" applyFont="1" applyFill="1" applyBorder="1" applyAlignment="1">
      <alignment vertical="center" shrinkToFit="1"/>
    </xf>
    <xf numFmtId="0" fontId="3" fillId="0" borderId="3" xfId="0" applyNumberFormat="1" applyFont="1" applyFill="1" applyBorder="1" applyAlignment="1">
      <alignment vertical="center" shrinkToFit="1"/>
    </xf>
    <xf numFmtId="0" fontId="3" fillId="0" borderId="3" xfId="0" applyFont="1" applyFill="1" applyBorder="1" applyAlignment="1">
      <alignment vertical="center" shrinkToFit="1"/>
    </xf>
    <xf numFmtId="56" fontId="3" fillId="2" borderId="6" xfId="0" applyNumberFormat="1" applyFont="1" applyFill="1" applyBorder="1" applyAlignment="1">
      <alignment vertical="center" shrinkToFit="1"/>
    </xf>
    <xf numFmtId="56" fontId="3" fillId="2" borderId="3" xfId="0" applyNumberFormat="1" applyFont="1" applyFill="1" applyBorder="1" applyAlignment="1">
      <alignment vertical="center" shrinkToFit="1"/>
    </xf>
    <xf numFmtId="0" fontId="3" fillId="3" borderId="3" xfId="0" applyNumberFormat="1" applyFont="1" applyFill="1" applyBorder="1" applyAlignment="1">
      <alignment vertical="center" shrinkToFit="1"/>
    </xf>
    <xf numFmtId="2" fontId="3" fillId="3" borderId="3" xfId="0" applyNumberFormat="1" applyFont="1" applyFill="1" applyBorder="1" applyAlignment="1">
      <alignment vertical="center" shrinkToFit="1"/>
    </xf>
    <xf numFmtId="0" fontId="4" fillId="3" borderId="3" xfId="0" applyNumberFormat="1" applyFont="1" applyFill="1" applyBorder="1" applyAlignment="1">
      <alignment vertical="center"/>
    </xf>
    <xf numFmtId="2" fontId="3" fillId="0" borderId="0" xfId="0" applyNumberFormat="1" applyFont="1" applyFill="1" applyBorder="1" applyAlignment="1">
      <alignment vertical="center"/>
    </xf>
    <xf numFmtId="0" fontId="3" fillId="0" borderId="0" xfId="0" applyNumberFormat="1" applyFont="1" applyFill="1" applyBorder="1" applyAlignment="1">
      <alignment vertical="center"/>
    </xf>
    <xf numFmtId="0" fontId="3" fillId="4" borderId="0" xfId="0" applyFont="1" applyFill="1" applyAlignment="1">
      <alignment horizontal="center" vertical="center"/>
    </xf>
    <xf numFmtId="0" fontId="3" fillId="0" borderId="0" xfId="0" applyNumberFormat="1" applyFont="1" applyFill="1" applyBorder="1" applyAlignment="1">
      <alignment vertical="center" shrinkToFit="1"/>
    </xf>
    <xf numFmtId="176" fontId="3" fillId="0" borderId="0" xfId="0" applyNumberFormat="1" applyFont="1" applyFill="1" applyBorder="1" applyAlignment="1">
      <alignment vertical="center"/>
    </xf>
    <xf numFmtId="2" fontId="3" fillId="0" borderId="0" xfId="0" applyNumberFormat="1" applyFont="1" applyFill="1" applyBorder="1" applyAlignment="1">
      <alignment vertical="center" shrinkToFit="1"/>
    </xf>
    <xf numFmtId="176" fontId="3" fillId="0" borderId="0" xfId="0" applyNumberFormat="1" applyFont="1" applyFill="1" applyBorder="1" applyAlignment="1">
      <alignment vertical="center" shrinkToFit="1"/>
    </xf>
    <xf numFmtId="0" fontId="3" fillId="0" borderId="22" xfId="0" applyNumberFormat="1" applyFont="1" applyFill="1" applyBorder="1" applyAlignment="1">
      <alignment vertical="center"/>
    </xf>
    <xf numFmtId="0" fontId="3" fillId="0" borderId="22" xfId="0" applyFont="1" applyFill="1" applyBorder="1" applyAlignment="1">
      <alignment vertical="center"/>
    </xf>
    <xf numFmtId="0" fontId="3" fillId="0" borderId="22" xfId="0" applyNumberFormat="1" applyFont="1" applyFill="1" applyBorder="1" applyAlignment="1">
      <alignment vertical="center" shrinkToFit="1"/>
    </xf>
    <xf numFmtId="0" fontId="4" fillId="0" borderId="22" xfId="0" applyNumberFormat="1" applyFont="1" applyFill="1" applyBorder="1" applyAlignment="1">
      <alignment vertical="center"/>
    </xf>
    <xf numFmtId="0" fontId="3" fillId="0" borderId="0" xfId="0" applyFont="1" applyFill="1" applyBorder="1" applyAlignment="1">
      <alignment horizontal="center" vertical="center"/>
    </xf>
    <xf numFmtId="57" fontId="3" fillId="0" borderId="0" xfId="0" applyNumberFormat="1" applyFont="1" applyFill="1" applyBorder="1" applyAlignment="1">
      <alignment vertical="center" shrinkToFit="1"/>
    </xf>
    <xf numFmtId="177" fontId="3" fillId="0" borderId="0" xfId="0" applyNumberFormat="1" applyFont="1" applyFill="1" applyBorder="1" applyAlignment="1">
      <alignment vertical="center"/>
    </xf>
    <xf numFmtId="0" fontId="4" fillId="0" borderId="22" xfId="0" applyNumberFormat="1" applyFont="1" applyFill="1" applyBorder="1" applyAlignment="1">
      <alignment vertical="center" shrinkToFit="1"/>
    </xf>
    <xf numFmtId="0" fontId="3" fillId="2" borderId="22" xfId="0" applyNumberFormat="1" applyFont="1" applyFill="1" applyBorder="1" applyAlignment="1">
      <alignment vertical="center" shrinkToFit="1"/>
    </xf>
    <xf numFmtId="0" fontId="3" fillId="2" borderId="22" xfId="0" applyFont="1" applyFill="1" applyBorder="1" applyAlignment="1">
      <alignment vertical="center"/>
    </xf>
    <xf numFmtId="0" fontId="3" fillId="2" borderId="22" xfId="0" applyNumberFormat="1" applyFont="1" applyFill="1" applyBorder="1" applyAlignment="1">
      <alignment vertical="center"/>
    </xf>
    <xf numFmtId="57" fontId="3" fillId="5" borderId="22" xfId="0" applyNumberFormat="1" applyFont="1" applyFill="1" applyBorder="1" applyAlignment="1">
      <alignment vertical="center" shrinkToFit="1"/>
    </xf>
    <xf numFmtId="0" fontId="8" fillId="0" borderId="22" xfId="0" applyNumberFormat="1" applyFont="1" applyFill="1" applyBorder="1" applyAlignment="1">
      <alignment vertical="center"/>
    </xf>
    <xf numFmtId="57" fontId="3" fillId="5" borderId="23" xfId="0" applyNumberFormat="1" applyFont="1" applyFill="1" applyBorder="1" applyAlignment="1">
      <alignment horizontal="left" vertical="center" indent="1"/>
    </xf>
    <xf numFmtId="0" fontId="4" fillId="5" borderId="24" xfId="0" applyNumberFormat="1" applyFont="1" applyFill="1" applyBorder="1" applyAlignment="1">
      <alignment horizontal="left" vertical="center" indent="1"/>
    </xf>
    <xf numFmtId="0" fontId="3" fillId="5" borderId="24" xfId="0" applyFont="1" applyFill="1" applyBorder="1" applyAlignment="1">
      <alignment horizontal="left" vertical="center" indent="1"/>
    </xf>
    <xf numFmtId="0" fontId="3" fillId="5" borderId="24" xfId="0" applyNumberFormat="1" applyFont="1" applyFill="1" applyBorder="1" applyAlignment="1">
      <alignment horizontal="left" vertical="center" indent="1"/>
    </xf>
    <xf numFmtId="57" fontId="9" fillId="5" borderId="22" xfId="0" applyNumberFormat="1" applyFont="1" applyFill="1" applyBorder="1" applyAlignment="1">
      <alignment vertical="center"/>
    </xf>
    <xf numFmtId="0" fontId="3" fillId="0" borderId="22" xfId="0" applyFont="1" applyFill="1" applyBorder="1" applyAlignment="1">
      <alignment horizontal="center" vertical="center"/>
    </xf>
    <xf numFmtId="0" fontId="3" fillId="0" borderId="22" xfId="0" quotePrefix="1" applyFont="1" applyBorder="1" applyAlignment="1">
      <alignment horizontal="center" vertical="top" wrapText="1"/>
    </xf>
    <xf numFmtId="0" fontId="3" fillId="0" borderId="22" xfId="0" quotePrefix="1" applyFont="1" applyBorder="1" applyAlignment="1">
      <alignment horizontal="left" vertical="top" wrapText="1"/>
    </xf>
    <xf numFmtId="0" fontId="3" fillId="6" borderId="22" xfId="0" quotePrefix="1" applyFont="1" applyFill="1" applyBorder="1" applyAlignment="1">
      <alignment horizontal="left" vertical="top" wrapText="1"/>
    </xf>
    <xf numFmtId="0" fontId="3" fillId="0" borderId="0" xfId="0" applyFont="1" applyAlignment="1">
      <alignment vertical="top"/>
    </xf>
    <xf numFmtId="178" fontId="3" fillId="0" borderId="22" xfId="0" applyNumberFormat="1" applyFont="1" applyFill="1" applyBorder="1" applyAlignment="1">
      <alignment horizontal="center" vertical="center" shrinkToFit="1"/>
    </xf>
    <xf numFmtId="0" fontId="3" fillId="0" borderId="22" xfId="0" applyFont="1" applyBorder="1" applyAlignment="1">
      <alignment horizontal="center"/>
    </xf>
    <xf numFmtId="0" fontId="3" fillId="0" borderId="22" xfId="0" applyFont="1" applyBorder="1" applyAlignment="1"/>
    <xf numFmtId="1" fontId="3" fillId="0" borderId="22" xfId="0" applyNumberFormat="1" applyFont="1" applyBorder="1" applyAlignment="1">
      <alignment shrinkToFit="1"/>
    </xf>
    <xf numFmtId="0" fontId="3" fillId="7" borderId="22" xfId="0" applyNumberFormat="1" applyFont="1" applyFill="1" applyBorder="1" applyAlignment="1">
      <alignment shrinkToFit="1"/>
    </xf>
    <xf numFmtId="177" fontId="3" fillId="7" borderId="22" xfId="0" applyNumberFormat="1" applyFont="1" applyFill="1" applyBorder="1" applyAlignment="1">
      <alignment horizontal="center" shrinkToFit="1"/>
    </xf>
    <xf numFmtId="0" fontId="3" fillId="0" borderId="22" xfId="0" applyNumberFormat="1" applyFont="1" applyBorder="1" applyAlignment="1">
      <alignment shrinkToFit="1"/>
    </xf>
    <xf numFmtId="0" fontId="3" fillId="0" borderId="0" xfId="0" applyFont="1" applyAlignment="1"/>
    <xf numFmtId="0" fontId="3" fillId="0" borderId="22" xfId="0" applyFont="1" applyBorder="1" applyAlignment="1">
      <alignment vertical="center"/>
    </xf>
    <xf numFmtId="49" fontId="3" fillId="0" borderId="22" xfId="2" applyNumberFormat="1" applyFont="1" applyBorder="1" applyAlignment="1">
      <alignment horizontal="left" vertical="center"/>
    </xf>
    <xf numFmtId="1" fontId="3" fillId="0" borderId="22" xfId="2" applyNumberFormat="1" applyFont="1" applyBorder="1" applyAlignment="1">
      <alignment horizontal="right" vertical="center" shrinkToFit="1"/>
    </xf>
    <xf numFmtId="0" fontId="3" fillId="0" borderId="22" xfId="2" applyNumberFormat="1" applyFont="1" applyBorder="1" applyAlignment="1">
      <alignment horizontal="right" vertical="center" shrinkToFit="1"/>
    </xf>
    <xf numFmtId="0" fontId="3" fillId="0" borderId="22" xfId="3" applyFont="1" applyBorder="1" applyAlignment="1">
      <alignment vertical="center"/>
    </xf>
    <xf numFmtId="1" fontId="3" fillId="0" borderId="22" xfId="1" applyNumberFormat="1" applyFont="1" applyBorder="1" applyAlignment="1">
      <alignment horizontal="right" vertical="center" shrinkToFit="1"/>
    </xf>
    <xf numFmtId="0" fontId="3" fillId="0" borderId="22" xfId="1" applyNumberFormat="1" applyFont="1" applyBorder="1" applyAlignment="1">
      <alignment horizontal="right" vertical="center" shrinkToFit="1"/>
    </xf>
    <xf numFmtId="0" fontId="3" fillId="0" borderId="22" xfId="0" applyFont="1" applyBorder="1" applyAlignment="1">
      <alignment horizontal="center" vertical="center"/>
    </xf>
    <xf numFmtId="1" fontId="3" fillId="0" borderId="22" xfId="0" applyNumberFormat="1" applyFont="1" applyBorder="1" applyAlignment="1">
      <alignment vertical="center" shrinkToFit="1"/>
    </xf>
    <xf numFmtId="1" fontId="3" fillId="0" borderId="22" xfId="0" applyNumberFormat="1" applyFont="1" applyBorder="1" applyAlignment="1">
      <alignment horizontal="center" vertical="center" shrinkToFit="1"/>
    </xf>
    <xf numFmtId="0" fontId="3" fillId="5" borderId="22" xfId="0" applyFont="1" applyFill="1" applyBorder="1" applyAlignment="1">
      <alignment shrinkToFit="1"/>
    </xf>
    <xf numFmtId="0" fontId="3" fillId="5" borderId="22" xfId="0" applyFont="1" applyFill="1" applyBorder="1" applyAlignment="1"/>
    <xf numFmtId="0" fontId="3" fillId="8" borderId="22" xfId="0" applyFont="1" applyFill="1" applyBorder="1" applyAlignment="1">
      <alignment shrinkToFit="1"/>
    </xf>
    <xf numFmtId="0" fontId="3" fillId="8" borderId="22" xfId="0" applyFont="1" applyFill="1" applyBorder="1" applyAlignment="1"/>
    <xf numFmtId="0" fontId="3" fillId="0" borderId="0" xfId="0" applyFont="1" applyBorder="1" applyAlignment="1"/>
    <xf numFmtId="0" fontId="3" fillId="0" borderId="0" xfId="0" applyFont="1" applyBorder="1" applyAlignment="1">
      <alignment vertical="center"/>
    </xf>
    <xf numFmtId="0" fontId="9" fillId="0" borderId="0" xfId="0" quotePrefix="1" applyFont="1" applyAlignment="1">
      <alignment vertical="top"/>
    </xf>
    <xf numFmtId="178" fontId="3" fillId="9" borderId="22" xfId="0" applyNumberFormat="1" applyFont="1" applyFill="1" applyBorder="1" applyAlignment="1">
      <alignment horizontal="center" vertical="center" shrinkToFit="1"/>
    </xf>
    <xf numFmtId="0" fontId="3" fillId="9" borderId="22" xfId="0" applyFont="1" applyFill="1" applyBorder="1" applyAlignment="1">
      <alignment vertical="center"/>
    </xf>
    <xf numFmtId="0" fontId="3" fillId="9" borderId="22" xfId="0" applyFont="1" applyFill="1" applyBorder="1" applyAlignment="1">
      <alignment shrinkToFit="1"/>
    </xf>
    <xf numFmtId="0" fontId="3" fillId="9" borderId="22" xfId="0" applyFont="1" applyFill="1" applyBorder="1" applyAlignment="1"/>
    <xf numFmtId="0" fontId="3" fillId="9" borderId="22" xfId="0" applyFont="1" applyFill="1" applyBorder="1" applyAlignment="1">
      <alignment horizontal="center" vertical="center"/>
    </xf>
    <xf numFmtId="1" fontId="3" fillId="9" borderId="22" xfId="0" applyNumberFormat="1" applyFont="1" applyFill="1" applyBorder="1" applyAlignment="1">
      <alignment shrinkToFit="1"/>
    </xf>
    <xf numFmtId="1" fontId="3" fillId="9" borderId="22" xfId="0" applyNumberFormat="1" applyFont="1" applyFill="1" applyBorder="1" applyAlignment="1">
      <alignment vertical="center" shrinkToFit="1"/>
    </xf>
    <xf numFmtId="0" fontId="3" fillId="9" borderId="22" xfId="0" applyNumberFormat="1" applyFont="1" applyFill="1" applyBorder="1" applyAlignment="1">
      <alignment shrinkToFit="1"/>
    </xf>
    <xf numFmtId="0" fontId="3" fillId="2" borderId="22" xfId="0" applyFont="1" applyFill="1" applyBorder="1" applyAlignment="1"/>
    <xf numFmtId="0" fontId="3" fillId="0" borderId="22" xfId="0" applyNumberFormat="1" applyFont="1" applyBorder="1" applyAlignment="1">
      <alignment vertical="center" shrinkToFit="1"/>
    </xf>
    <xf numFmtId="0" fontId="3" fillId="0" borderId="22" xfId="0" applyFont="1" applyBorder="1" applyAlignment="1">
      <alignment vertical="center" shrinkToFit="1"/>
    </xf>
    <xf numFmtId="0" fontId="3" fillId="5" borderId="22" xfId="0" applyFont="1" applyFill="1" applyBorder="1" applyAlignment="1">
      <alignment vertical="center" shrinkToFit="1"/>
    </xf>
    <xf numFmtId="0" fontId="3" fillId="8" borderId="22" xfId="0" applyFont="1" applyFill="1" applyBorder="1" applyAlignment="1">
      <alignment vertical="center" shrinkToFit="1"/>
    </xf>
    <xf numFmtId="0" fontId="3" fillId="0" borderId="22" xfId="0" applyFont="1" applyBorder="1" applyAlignment="1">
      <alignment horizontal="center" vertical="center" shrinkToFit="1"/>
    </xf>
    <xf numFmtId="0" fontId="3" fillId="5" borderId="22" xfId="0" applyFont="1" applyFill="1" applyBorder="1" applyAlignment="1">
      <alignment horizontal="center" vertical="center" shrinkToFit="1"/>
    </xf>
    <xf numFmtId="0" fontId="3" fillId="8" borderId="22" xfId="0" applyFont="1" applyFill="1" applyBorder="1" applyAlignment="1">
      <alignment horizontal="center" vertical="center" shrinkToFit="1"/>
    </xf>
    <xf numFmtId="0" fontId="3" fillId="9" borderId="22" xfId="0" applyFont="1" applyFill="1" applyBorder="1" applyAlignment="1">
      <alignment horizontal="center" vertical="center" shrinkToFit="1"/>
    </xf>
    <xf numFmtId="0" fontId="12" fillId="6" borderId="22" xfId="0" quotePrefix="1" applyFont="1" applyFill="1" applyBorder="1" applyAlignment="1">
      <alignment horizontal="left" vertical="top" wrapText="1"/>
    </xf>
    <xf numFmtId="0" fontId="12" fillId="0" borderId="22" xfId="0" quotePrefix="1" applyFont="1" applyBorder="1" applyAlignment="1">
      <alignment horizontal="left" vertical="top" wrapText="1"/>
    </xf>
    <xf numFmtId="0" fontId="12" fillId="7" borderId="22" xfId="0" quotePrefix="1" applyFont="1" applyFill="1" applyBorder="1" applyAlignment="1">
      <alignment horizontal="left" vertical="top" wrapText="1"/>
    </xf>
    <xf numFmtId="0" fontId="12" fillId="0" borderId="22" xfId="0" quotePrefix="1" applyFont="1" applyBorder="1" applyAlignment="1">
      <alignment horizontal="center" vertical="top" wrapText="1"/>
    </xf>
    <xf numFmtId="0" fontId="3" fillId="6" borderId="22" xfId="0" quotePrefix="1" applyFont="1" applyFill="1" applyBorder="1" applyAlignment="1">
      <alignment horizontal="center" vertical="top" wrapText="1"/>
    </xf>
    <xf numFmtId="0" fontId="3" fillId="2" borderId="25" xfId="0" applyFont="1" applyFill="1" applyBorder="1" applyAlignment="1"/>
    <xf numFmtId="0" fontId="3" fillId="0" borderId="25" xfId="0" quotePrefix="1" applyFont="1" applyBorder="1" applyAlignment="1">
      <alignment horizontal="center" vertical="top" wrapText="1"/>
    </xf>
    <xf numFmtId="1" fontId="3" fillId="0" borderId="25" xfId="0" applyNumberFormat="1" applyFont="1" applyBorder="1" applyAlignment="1">
      <alignment vertical="center" shrinkToFit="1"/>
    </xf>
    <xf numFmtId="0" fontId="3" fillId="5" borderId="25" xfId="0" applyFont="1" applyFill="1" applyBorder="1" applyAlignment="1">
      <alignment vertical="center" shrinkToFit="1"/>
    </xf>
    <xf numFmtId="0" fontId="3" fillId="8" borderId="25" xfId="0" applyFont="1" applyFill="1" applyBorder="1" applyAlignment="1">
      <alignment vertical="center" shrinkToFit="1"/>
    </xf>
    <xf numFmtId="0" fontId="3" fillId="0" borderId="25" xfId="0" applyFont="1" applyBorder="1" applyAlignment="1">
      <alignment vertical="center" shrinkToFit="1"/>
    </xf>
    <xf numFmtId="0" fontId="0" fillId="0" borderId="26" xfId="0" applyBorder="1">
      <alignment vertical="center"/>
    </xf>
    <xf numFmtId="0" fontId="3" fillId="6" borderId="27" xfId="0" quotePrefix="1" applyFont="1" applyFill="1" applyBorder="1" applyAlignment="1">
      <alignment horizontal="center" vertical="top" wrapText="1"/>
    </xf>
    <xf numFmtId="0" fontId="3" fillId="0" borderId="27" xfId="0" applyNumberFormat="1" applyFont="1" applyBorder="1" applyAlignment="1">
      <alignment vertical="center" shrinkToFit="1"/>
    </xf>
    <xf numFmtId="0" fontId="3" fillId="0" borderId="27" xfId="0" applyFont="1" applyBorder="1" applyAlignment="1">
      <alignment vertical="center" shrinkToFit="1"/>
    </xf>
    <xf numFmtId="0" fontId="3" fillId="5" borderId="27" xfId="0" applyFont="1" applyFill="1" applyBorder="1" applyAlignment="1">
      <alignment vertical="center" shrinkToFit="1"/>
    </xf>
    <xf numFmtId="0" fontId="3" fillId="8" borderId="27" xfId="0" applyFont="1" applyFill="1" applyBorder="1" applyAlignment="1">
      <alignment vertical="center" shrinkToFit="1"/>
    </xf>
    <xf numFmtId="0" fontId="15" fillId="0" borderId="22" xfId="0" applyFont="1" applyFill="1" applyBorder="1" applyAlignment="1">
      <alignment vertical="center"/>
    </xf>
    <xf numFmtId="0" fontId="15" fillId="0" borderId="0" xfId="0" applyFont="1" applyFill="1" applyBorder="1" applyAlignment="1">
      <alignment vertical="center"/>
    </xf>
    <xf numFmtId="1" fontId="4" fillId="0" borderId="22" xfId="0" applyNumberFormat="1" applyFont="1" applyFill="1" applyBorder="1" applyAlignment="1">
      <alignment vertical="center" shrinkToFit="1"/>
    </xf>
    <xf numFmtId="1" fontId="3" fillId="0" borderId="22" xfId="0" applyNumberFormat="1" applyFont="1" applyFill="1" applyBorder="1" applyAlignment="1">
      <alignment vertical="center" shrinkToFit="1"/>
    </xf>
    <xf numFmtId="0" fontId="18" fillId="0" borderId="23" xfId="0" applyFont="1" applyFill="1" applyBorder="1" applyAlignment="1">
      <alignment vertical="center"/>
    </xf>
    <xf numFmtId="0" fontId="15" fillId="0" borderId="31" xfId="0" applyFont="1" applyFill="1" applyBorder="1" applyAlignment="1">
      <alignment vertical="center"/>
    </xf>
    <xf numFmtId="179" fontId="3" fillId="0" borderId="22" xfId="0" applyNumberFormat="1" applyFont="1" applyFill="1" applyBorder="1" applyAlignment="1">
      <alignment vertical="center" shrinkToFit="1"/>
    </xf>
    <xf numFmtId="0" fontId="3" fillId="0" borderId="22" xfId="0" applyFont="1" applyFill="1" applyBorder="1" applyAlignment="1">
      <alignment vertical="center" shrinkToFit="1"/>
    </xf>
    <xf numFmtId="1" fontId="15" fillId="0" borderId="22" xfId="0" applyNumberFormat="1" applyFont="1" applyFill="1" applyBorder="1" applyAlignment="1">
      <alignment vertical="center" shrinkToFit="1"/>
    </xf>
    <xf numFmtId="57" fontId="18" fillId="0" borderId="0" xfId="0" applyNumberFormat="1" applyFont="1" applyFill="1" applyBorder="1" applyAlignment="1">
      <alignment vertical="center"/>
    </xf>
    <xf numFmtId="0" fontId="18" fillId="0" borderId="0" xfId="0" applyFont="1" applyFill="1" applyBorder="1" applyAlignment="1">
      <alignment vertical="center"/>
    </xf>
    <xf numFmtId="1" fontId="15" fillId="2" borderId="22" xfId="0" applyNumberFormat="1" applyFont="1" applyFill="1" applyBorder="1" applyAlignment="1">
      <alignment vertical="center" shrinkToFit="1"/>
    </xf>
    <xf numFmtId="180" fontId="15" fillId="2" borderId="22" xfId="0" applyNumberFormat="1" applyFont="1" applyFill="1" applyBorder="1" applyAlignment="1">
      <alignment vertical="center" shrinkToFit="1"/>
    </xf>
    <xf numFmtId="0" fontId="15" fillId="0" borderId="0" xfId="0" applyFont="1" applyFill="1" applyBorder="1" applyAlignment="1">
      <alignment horizontal="center" vertical="center"/>
    </xf>
    <xf numFmtId="0" fontId="15" fillId="0" borderId="22" xfId="0" applyFont="1" applyFill="1" applyBorder="1" applyAlignment="1">
      <alignment horizontal="center" vertical="center"/>
    </xf>
    <xf numFmtId="0" fontId="18" fillId="0" borderId="22" xfId="0" applyFont="1" applyFill="1" applyBorder="1" applyAlignment="1">
      <alignment vertical="center"/>
    </xf>
    <xf numFmtId="0" fontId="19" fillId="0" borderId="0" xfId="0" applyFont="1" applyFill="1" applyBorder="1" applyAlignment="1">
      <alignment vertical="center"/>
    </xf>
    <xf numFmtId="0" fontId="15" fillId="0" borderId="31" xfId="0" applyFont="1" applyFill="1" applyBorder="1" applyAlignment="1">
      <alignment horizontal="center" vertical="center"/>
    </xf>
    <xf numFmtId="0" fontId="15" fillId="0" borderId="33" xfId="0" applyFont="1" applyFill="1" applyBorder="1" applyAlignment="1">
      <alignment horizontal="center" vertical="center"/>
    </xf>
    <xf numFmtId="0" fontId="15" fillId="0" borderId="33" xfId="0" applyFont="1" applyFill="1" applyBorder="1" applyAlignment="1">
      <alignment vertical="center"/>
    </xf>
    <xf numFmtId="180" fontId="15" fillId="2" borderId="33" xfId="0" applyNumberFormat="1" applyFont="1" applyFill="1" applyBorder="1" applyAlignment="1">
      <alignment vertical="center" shrinkToFit="1"/>
    </xf>
    <xf numFmtId="0" fontId="3" fillId="0" borderId="33" xfId="0" applyFont="1" applyFill="1" applyBorder="1" applyAlignment="1">
      <alignment vertical="center"/>
    </xf>
    <xf numFmtId="0" fontId="17" fillId="0" borderId="0" xfId="0" applyFont="1" applyFill="1" applyBorder="1" applyAlignment="1">
      <alignment vertical="center"/>
    </xf>
    <xf numFmtId="0" fontId="12" fillId="2" borderId="22" xfId="0" quotePrefix="1" applyFont="1" applyFill="1" applyBorder="1" applyAlignment="1">
      <alignment horizontal="center" vertical="top" wrapText="1"/>
    </xf>
    <xf numFmtId="0" fontId="3" fillId="2" borderId="22" xfId="0" quotePrefix="1" applyFont="1" applyFill="1" applyBorder="1" applyAlignment="1">
      <alignment horizontal="center" vertical="top" wrapText="1"/>
    </xf>
    <xf numFmtId="1" fontId="3" fillId="2" borderId="22" xfId="0" applyNumberFormat="1" applyFont="1" applyFill="1" applyBorder="1" applyAlignment="1">
      <alignment vertical="center" shrinkToFit="1"/>
    </xf>
    <xf numFmtId="0" fontId="20" fillId="0" borderId="0" xfId="0" applyFont="1">
      <alignment vertical="center"/>
    </xf>
    <xf numFmtId="0" fontId="15" fillId="0" borderId="28" xfId="0" applyFont="1" applyFill="1" applyBorder="1" applyAlignment="1">
      <alignment horizontal="center" vertical="center"/>
    </xf>
    <xf numFmtId="180" fontId="15" fillId="2" borderId="28" xfId="0" applyNumberFormat="1" applyFont="1" applyFill="1" applyBorder="1" applyAlignment="1">
      <alignment vertical="center" shrinkToFit="1"/>
    </xf>
    <xf numFmtId="178" fontId="3" fillId="0" borderId="31" xfId="0" applyNumberFormat="1" applyFont="1" applyFill="1" applyBorder="1" applyAlignment="1">
      <alignment horizontal="center" vertical="center" shrinkToFit="1"/>
    </xf>
    <xf numFmtId="1" fontId="3" fillId="2" borderId="31" xfId="0" applyNumberFormat="1" applyFont="1" applyFill="1" applyBorder="1" applyAlignment="1">
      <alignment vertical="center" shrinkToFit="1"/>
    </xf>
    <xf numFmtId="0" fontId="23" fillId="0" borderId="0" xfId="4" applyAlignment="1">
      <alignment vertical="center"/>
    </xf>
    <xf numFmtId="0" fontId="3" fillId="8" borderId="22" xfId="0" applyFont="1" applyFill="1" applyBorder="1" applyAlignment="1">
      <alignment vertical="center"/>
    </xf>
    <xf numFmtId="180" fontId="17" fillId="10" borderId="22" xfId="0" applyNumberFormat="1" applyFont="1" applyFill="1" applyBorder="1" applyAlignment="1">
      <alignment vertical="center" shrinkToFit="1"/>
    </xf>
    <xf numFmtId="0" fontId="17" fillId="0" borderId="0" xfId="0" applyFont="1" applyBorder="1" applyAlignment="1">
      <alignment horizontal="left" vertical="center" indent="1"/>
    </xf>
    <xf numFmtId="57" fontId="3" fillId="0" borderId="0" xfId="0" applyNumberFormat="1" applyFont="1" applyFill="1" applyBorder="1" applyAlignment="1">
      <alignment horizontal="left" vertical="center" indent="1" shrinkToFit="1"/>
    </xf>
    <xf numFmtId="0" fontId="3" fillId="0" borderId="39" xfId="0" applyFont="1" applyFill="1" applyBorder="1" applyAlignment="1"/>
    <xf numFmtId="180" fontId="3" fillId="2" borderId="31" xfId="0" applyNumberFormat="1" applyFont="1" applyFill="1" applyBorder="1" applyAlignment="1">
      <alignment vertical="center" shrinkToFit="1"/>
    </xf>
    <xf numFmtId="0" fontId="3" fillId="0" borderId="23" xfId="0" applyFont="1" applyFill="1" applyBorder="1" applyAlignment="1">
      <alignment vertical="center"/>
    </xf>
    <xf numFmtId="180" fontId="3" fillId="2" borderId="22" xfId="0" applyNumberFormat="1" applyFont="1" applyFill="1" applyBorder="1" applyAlignment="1"/>
    <xf numFmtId="180" fontId="3" fillId="2" borderId="40" xfId="0" applyNumberFormat="1" applyFont="1" applyFill="1" applyBorder="1" applyAlignment="1"/>
    <xf numFmtId="180" fontId="3" fillId="2" borderId="40" xfId="0" applyNumberFormat="1" applyFont="1" applyFill="1" applyBorder="1" applyAlignment="1">
      <alignment vertical="center" shrinkToFit="1"/>
    </xf>
    <xf numFmtId="181" fontId="15" fillId="2" borderId="22" xfId="0" applyNumberFormat="1" applyFont="1" applyFill="1" applyBorder="1" applyAlignment="1">
      <alignment horizontal="center" shrinkToFit="1"/>
    </xf>
    <xf numFmtId="0" fontId="17" fillId="0" borderId="0" xfId="0" applyFont="1" applyBorder="1" applyAlignment="1"/>
    <xf numFmtId="0" fontId="15" fillId="11" borderId="22" xfId="0" applyFont="1" applyFill="1" applyBorder="1" applyAlignment="1">
      <alignment shrinkToFit="1"/>
    </xf>
    <xf numFmtId="0" fontId="4" fillId="12" borderId="22" xfId="0" applyNumberFormat="1" applyFont="1" applyFill="1" applyBorder="1" applyAlignment="1">
      <alignment vertical="center" shrinkToFit="1"/>
    </xf>
    <xf numFmtId="0" fontId="3" fillId="12" borderId="22" xfId="0" applyNumberFormat="1" applyFont="1" applyFill="1" applyBorder="1" applyAlignment="1">
      <alignment vertical="center" shrinkToFit="1"/>
    </xf>
    <xf numFmtId="0" fontId="3" fillId="13" borderId="22" xfId="0" applyNumberFormat="1" applyFont="1" applyFill="1" applyBorder="1" applyAlignment="1">
      <alignment vertical="center" shrinkToFit="1"/>
    </xf>
    <xf numFmtId="0" fontId="4" fillId="13" borderId="22" xfId="0" applyNumberFormat="1" applyFont="1" applyFill="1" applyBorder="1" applyAlignment="1">
      <alignment vertical="center" shrinkToFit="1"/>
    </xf>
    <xf numFmtId="0" fontId="3" fillId="0" borderId="28" xfId="0" applyFont="1" applyFill="1" applyBorder="1" applyAlignment="1">
      <alignment vertical="center"/>
    </xf>
    <xf numFmtId="0" fontId="18" fillId="0" borderId="28" xfId="0" applyFont="1" applyFill="1" applyBorder="1" applyAlignment="1">
      <alignment vertical="center"/>
    </xf>
    <xf numFmtId="0" fontId="3" fillId="0" borderId="41" xfId="0" applyFont="1" applyFill="1" applyBorder="1" applyAlignment="1">
      <alignment vertical="center"/>
    </xf>
    <xf numFmtId="0" fontId="3" fillId="0" borderId="39" xfId="0" applyFont="1" applyFill="1" applyBorder="1" applyAlignment="1">
      <alignment vertical="center"/>
    </xf>
    <xf numFmtId="0" fontId="15" fillId="0" borderId="38" xfId="0" applyFont="1" applyFill="1" applyBorder="1" applyAlignment="1">
      <alignment vertical="center"/>
    </xf>
    <xf numFmtId="0" fontId="15" fillId="0" borderId="32" xfId="0" applyFont="1" applyFill="1" applyBorder="1" applyAlignment="1">
      <alignment vertical="center"/>
    </xf>
    <xf numFmtId="179" fontId="3" fillId="5" borderId="22" xfId="0" applyNumberFormat="1" applyFont="1" applyFill="1" applyBorder="1" applyAlignment="1">
      <alignment vertical="center" shrinkToFit="1"/>
    </xf>
    <xf numFmtId="0" fontId="15" fillId="0" borderId="0" xfId="0" applyFont="1" applyBorder="1" applyAlignment="1">
      <alignment vertical="center"/>
    </xf>
    <xf numFmtId="0" fontId="15" fillId="0" borderId="0" xfId="0" applyFont="1" applyBorder="1" applyAlignment="1"/>
    <xf numFmtId="180" fontId="15" fillId="0" borderId="0" xfId="0" applyNumberFormat="1" applyFont="1" applyBorder="1" applyAlignment="1">
      <alignment vertical="center" shrinkToFit="1"/>
    </xf>
    <xf numFmtId="2" fontId="15" fillId="0" borderId="0" xfId="0" applyNumberFormat="1" applyFont="1" applyBorder="1" applyAlignment="1">
      <alignment vertical="center" shrinkToFit="1"/>
    </xf>
    <xf numFmtId="180" fontId="15" fillId="8" borderId="25" xfId="0" applyNumberFormat="1" applyFont="1" applyFill="1" applyBorder="1" applyAlignment="1">
      <alignment vertical="center" shrinkToFit="1"/>
    </xf>
    <xf numFmtId="180" fontId="15" fillId="8" borderId="22" xfId="0" applyNumberFormat="1" applyFont="1" applyFill="1" applyBorder="1" applyAlignment="1">
      <alignment vertical="center" shrinkToFit="1"/>
    </xf>
    <xf numFmtId="182" fontId="15" fillId="2" borderId="25" xfId="0" applyNumberFormat="1" applyFont="1" applyFill="1" applyBorder="1" applyAlignment="1">
      <alignment horizontal="center" vertical="center" shrinkToFit="1"/>
    </xf>
    <xf numFmtId="0" fontId="0" fillId="2" borderId="31" xfId="0" applyFill="1" applyBorder="1" applyAlignment="1">
      <alignment horizontal="center" vertical="center" wrapText="1"/>
    </xf>
    <xf numFmtId="0" fontId="7" fillId="2" borderId="31" xfId="0" applyFont="1" applyFill="1" applyBorder="1" applyAlignment="1">
      <alignment horizontal="center" vertical="center" wrapText="1"/>
    </xf>
    <xf numFmtId="57" fontId="27" fillId="0" borderId="0" xfId="0" applyNumberFormat="1" applyFont="1" applyBorder="1" applyAlignment="1">
      <alignment horizontal="left" vertical="center" indent="1"/>
    </xf>
    <xf numFmtId="0" fontId="27" fillId="0" borderId="0" xfId="0" applyFont="1" applyBorder="1" applyAlignment="1">
      <alignment vertical="center"/>
    </xf>
    <xf numFmtId="0" fontId="27" fillId="0" borderId="0" xfId="0" applyFont="1" applyFill="1" applyBorder="1" applyAlignment="1">
      <alignment vertical="center"/>
    </xf>
    <xf numFmtId="0" fontId="17" fillId="0" borderId="0" xfId="0" applyFont="1" applyBorder="1" applyAlignment="1">
      <alignment horizontal="center" vertical="top"/>
    </xf>
    <xf numFmtId="1" fontId="15" fillId="8" borderId="22" xfId="0" applyNumberFormat="1" applyFont="1" applyFill="1" applyBorder="1" applyAlignment="1">
      <alignment vertical="center" shrinkToFit="1"/>
    </xf>
    <xf numFmtId="0" fontId="15" fillId="0" borderId="22" xfId="0" applyFont="1" applyBorder="1" applyAlignment="1">
      <alignment vertical="center"/>
    </xf>
    <xf numFmtId="0" fontId="3" fillId="0" borderId="25" xfId="0" applyFont="1" applyFill="1" applyBorder="1" applyAlignment="1">
      <alignment vertical="center"/>
    </xf>
    <xf numFmtId="0" fontId="15" fillId="0" borderId="25" xfId="0" applyFont="1" applyBorder="1" applyAlignment="1">
      <alignment vertical="center"/>
    </xf>
    <xf numFmtId="0" fontId="3" fillId="0" borderId="42" xfId="0" applyFont="1" applyFill="1" applyBorder="1" applyAlignment="1">
      <alignment vertical="center"/>
    </xf>
    <xf numFmtId="0" fontId="7" fillId="2" borderId="45" xfId="0" applyFont="1" applyFill="1" applyBorder="1" applyAlignment="1">
      <alignment horizontal="center" vertical="center" wrapText="1"/>
    </xf>
    <xf numFmtId="1" fontId="3" fillId="2" borderId="46" xfId="0" applyNumberFormat="1" applyFont="1" applyFill="1" applyBorder="1" applyAlignment="1">
      <alignment vertical="center" shrinkToFit="1"/>
    </xf>
    <xf numFmtId="0" fontId="3" fillId="0" borderId="46" xfId="0" applyFont="1" applyFill="1" applyBorder="1" applyAlignment="1">
      <alignment horizontal="center" vertical="center"/>
    </xf>
    <xf numFmtId="0" fontId="3" fillId="0" borderId="4" xfId="0" quotePrefix="1" applyFont="1" applyFill="1" applyBorder="1" applyAlignment="1">
      <alignment vertical="center" shrinkToFit="1"/>
    </xf>
    <xf numFmtId="56" fontId="3" fillId="0" borderId="4" xfId="0" quotePrefix="1" applyNumberFormat="1" applyFont="1" applyFill="1" applyBorder="1" applyAlignment="1">
      <alignment vertical="center" shrinkToFit="1"/>
    </xf>
    <xf numFmtId="0" fontId="21" fillId="0" borderId="0" xfId="0" applyFont="1" applyFill="1" applyBorder="1" applyAlignment="1">
      <alignment horizontal="left" vertical="center" indent="1"/>
    </xf>
    <xf numFmtId="57" fontId="3" fillId="5" borderId="24" xfId="0" applyNumberFormat="1" applyFont="1" applyFill="1" applyBorder="1" applyAlignment="1">
      <alignment horizontal="left" vertical="center" indent="1"/>
    </xf>
    <xf numFmtId="57" fontId="3" fillId="5" borderId="25" xfId="0" applyNumberFormat="1" applyFont="1" applyFill="1" applyBorder="1" applyAlignment="1">
      <alignment vertical="center" shrinkToFit="1"/>
    </xf>
    <xf numFmtId="57" fontId="9" fillId="5" borderId="25" xfId="0" applyNumberFormat="1" applyFont="1" applyFill="1" applyBorder="1" applyAlignment="1">
      <alignment vertical="center"/>
    </xf>
    <xf numFmtId="0" fontId="3" fillId="5" borderId="48" xfId="0" applyFont="1" applyFill="1" applyBorder="1" applyAlignment="1">
      <alignment horizontal="left" vertical="center" indent="1"/>
    </xf>
    <xf numFmtId="0" fontId="3" fillId="0" borderId="46" xfId="0" applyFont="1" applyFill="1" applyBorder="1" applyAlignment="1">
      <alignment vertical="center"/>
    </xf>
    <xf numFmtId="0" fontId="4" fillId="2" borderId="46" xfId="0" applyNumberFormat="1" applyFont="1" applyFill="1" applyBorder="1" applyAlignment="1">
      <alignment vertical="center"/>
    </xf>
    <xf numFmtId="0" fontId="30" fillId="2" borderId="22" xfId="0" applyNumberFormat="1" applyFont="1" applyFill="1" applyBorder="1" applyAlignment="1">
      <alignment vertical="center" shrinkToFit="1"/>
    </xf>
    <xf numFmtId="0" fontId="3" fillId="0" borderId="47" xfId="0" applyFont="1" applyFill="1" applyBorder="1" applyAlignment="1">
      <alignment vertical="center"/>
    </xf>
    <xf numFmtId="181" fontId="4" fillId="2" borderId="46" xfId="0" applyNumberFormat="1" applyFont="1" applyFill="1" applyBorder="1" applyAlignment="1">
      <alignment vertical="center" shrinkToFit="1"/>
    </xf>
    <xf numFmtId="181" fontId="3" fillId="2" borderId="46" xfId="0" applyNumberFormat="1" applyFont="1" applyFill="1" applyBorder="1" applyAlignment="1">
      <alignment vertical="center" shrinkToFit="1"/>
    </xf>
    <xf numFmtId="0" fontId="31" fillId="0" borderId="0" xfId="0" applyFont="1" applyFill="1" applyBorder="1" applyAlignment="1">
      <alignment vertical="center"/>
    </xf>
    <xf numFmtId="0" fontId="3" fillId="0" borderId="0" xfId="0" applyFont="1">
      <alignment vertical="center"/>
    </xf>
    <xf numFmtId="0" fontId="32" fillId="0" borderId="0" xfId="0" applyFont="1">
      <alignment vertical="center"/>
    </xf>
    <xf numFmtId="0" fontId="33" fillId="0" borderId="0" xfId="0" applyFont="1" applyFill="1" applyBorder="1" applyAlignment="1">
      <alignment vertical="center"/>
    </xf>
    <xf numFmtId="0" fontId="3" fillId="0" borderId="29" xfId="0" applyFont="1" applyFill="1" applyBorder="1" applyAlignment="1">
      <alignment vertical="center"/>
    </xf>
    <xf numFmtId="0" fontId="3" fillId="0" borderId="31" xfId="0" applyFont="1" applyFill="1" applyBorder="1" applyAlignment="1">
      <alignment vertical="center"/>
    </xf>
    <xf numFmtId="0" fontId="3" fillId="0" borderId="24" xfId="0" applyFont="1" applyFill="1" applyBorder="1" applyAlignment="1">
      <alignment vertical="center"/>
    </xf>
    <xf numFmtId="1" fontId="3" fillId="0" borderId="25" xfId="0" applyNumberFormat="1" applyFont="1" applyFill="1" applyBorder="1" applyAlignment="1">
      <alignment vertical="center" shrinkToFit="1"/>
    </xf>
    <xf numFmtId="0" fontId="3" fillId="0" borderId="27" xfId="0" applyFont="1" applyFill="1" applyBorder="1" applyAlignment="1">
      <alignment vertical="center"/>
    </xf>
    <xf numFmtId="1" fontId="3" fillId="0" borderId="27" xfId="0" applyNumberFormat="1" applyFont="1" applyFill="1" applyBorder="1" applyAlignment="1">
      <alignment vertical="center" shrinkToFit="1"/>
    </xf>
    <xf numFmtId="0" fontId="9" fillId="0" borderId="0" xfId="0" applyFont="1" applyFill="1" applyBorder="1" applyAlignment="1">
      <alignment vertical="center"/>
    </xf>
    <xf numFmtId="0" fontId="3" fillId="0" borderId="0" xfId="0" applyFont="1" applyFill="1" applyBorder="1" applyAlignment="1">
      <alignment horizontal="left" vertical="center" indent="1"/>
    </xf>
    <xf numFmtId="0" fontId="9" fillId="0" borderId="0" xfId="0" applyFont="1" applyAlignment="1">
      <alignment horizontal="center" vertical="center"/>
    </xf>
    <xf numFmtId="0" fontId="9" fillId="0" borderId="0" xfId="0" applyFont="1" applyAlignment="1">
      <alignment vertical="center"/>
    </xf>
    <xf numFmtId="0" fontId="9" fillId="0" borderId="7" xfId="0" applyFont="1" applyFill="1" applyBorder="1" applyAlignment="1">
      <alignment vertical="center"/>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2" xfId="0" applyFont="1" applyFill="1" applyBorder="1" applyAlignment="1">
      <alignment vertical="center"/>
    </xf>
    <xf numFmtId="0" fontId="9" fillId="0" borderId="6"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vertical="center"/>
    </xf>
    <xf numFmtId="0" fontId="9" fillId="0" borderId="5"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5"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19" xfId="0" applyFont="1" applyFill="1" applyBorder="1" applyAlignment="1">
      <alignment vertical="center"/>
    </xf>
    <xf numFmtId="0" fontId="9" fillId="0" borderId="21" xfId="0" applyFont="1" applyFill="1" applyBorder="1" applyAlignment="1">
      <alignment vertical="center"/>
    </xf>
    <xf numFmtId="4" fontId="9" fillId="0" borderId="21" xfId="0" applyNumberFormat="1" applyFont="1" applyFill="1" applyBorder="1" applyAlignment="1">
      <alignment vertical="center"/>
    </xf>
    <xf numFmtId="2" fontId="9" fillId="0" borderId="21" xfId="0" applyNumberFormat="1" applyFont="1" applyFill="1" applyBorder="1" applyAlignment="1">
      <alignment vertical="center"/>
    </xf>
    <xf numFmtId="0" fontId="9" fillId="0" borderId="7" xfId="0" applyNumberFormat="1" applyFont="1" applyFill="1" applyBorder="1" applyAlignment="1">
      <alignment vertical="center"/>
    </xf>
    <xf numFmtId="0" fontId="9" fillId="0" borderId="4" xfId="0" applyNumberFormat="1" applyFont="1" applyFill="1" applyBorder="1" applyAlignment="1">
      <alignment vertical="center"/>
    </xf>
    <xf numFmtId="0" fontId="9" fillId="0" borderId="8" xfId="0" applyNumberFormat="1" applyFont="1" applyFill="1" applyBorder="1" applyAlignment="1">
      <alignment vertical="center"/>
    </xf>
    <xf numFmtId="0" fontId="9" fillId="0" borderId="1" xfId="0" applyNumberFormat="1" applyFont="1" applyFill="1" applyBorder="1" applyAlignment="1">
      <alignment vertical="center"/>
    </xf>
    <xf numFmtId="0" fontId="9" fillId="0" borderId="3" xfId="0" applyNumberFormat="1" applyFont="1" applyFill="1" applyBorder="1" applyAlignment="1">
      <alignment vertical="center"/>
    </xf>
    <xf numFmtId="56" fontId="9" fillId="0" borderId="4" xfId="0" applyNumberFormat="1" applyFont="1" applyFill="1" applyBorder="1" applyAlignment="1">
      <alignment vertical="center" shrinkToFit="1"/>
    </xf>
    <xf numFmtId="176" fontId="9" fillId="0" borderId="3" xfId="0" applyNumberFormat="1" applyFont="1" applyFill="1" applyBorder="1" applyAlignment="1">
      <alignment vertical="center"/>
    </xf>
    <xf numFmtId="3" fontId="9" fillId="0" borderId="3" xfId="0" applyNumberFormat="1" applyFont="1" applyFill="1" applyBorder="1" applyAlignment="1">
      <alignment vertical="center"/>
    </xf>
    <xf numFmtId="0" fontId="9" fillId="0" borderId="4" xfId="0" applyNumberFormat="1" applyFont="1" applyFill="1" applyBorder="1" applyAlignment="1">
      <alignment vertical="center" shrinkToFit="1"/>
    </xf>
    <xf numFmtId="2" fontId="9" fillId="0" borderId="3" xfId="0" applyNumberFormat="1" applyFont="1" applyFill="1" applyBorder="1" applyAlignment="1">
      <alignment vertical="center"/>
    </xf>
    <xf numFmtId="0" fontId="9" fillId="0" borderId="16" xfId="0" applyNumberFormat="1" applyFont="1" applyFill="1" applyBorder="1" applyAlignment="1">
      <alignment vertical="center"/>
    </xf>
    <xf numFmtId="0" fontId="9" fillId="0" borderId="4" xfId="0" applyNumberFormat="1" applyFont="1" applyFill="1" applyBorder="1" applyAlignment="1">
      <alignment vertical="center" wrapText="1"/>
    </xf>
    <xf numFmtId="4" fontId="9" fillId="0" borderId="1" xfId="0" applyNumberFormat="1" applyFont="1" applyFill="1" applyBorder="1" applyAlignment="1">
      <alignment vertical="center" shrinkToFit="1"/>
    </xf>
    <xf numFmtId="2" fontId="9" fillId="0" borderId="1" xfId="0" applyNumberFormat="1" applyFont="1" applyFill="1" applyBorder="1" applyAlignment="1">
      <alignment vertical="center" shrinkToFit="1"/>
    </xf>
    <xf numFmtId="2" fontId="9" fillId="0" borderId="3" xfId="0" applyNumberFormat="1" applyFont="1" applyFill="1" applyBorder="1" applyAlignment="1">
      <alignment vertical="center" shrinkToFit="1"/>
    </xf>
    <xf numFmtId="0" fontId="9" fillId="3" borderId="3" xfId="0" applyNumberFormat="1" applyFont="1" applyFill="1" applyBorder="1" applyAlignment="1">
      <alignment vertical="center"/>
    </xf>
    <xf numFmtId="176" fontId="9" fillId="3" borderId="3" xfId="0" applyNumberFormat="1" applyFont="1" applyFill="1" applyBorder="1" applyAlignment="1">
      <alignment vertical="center"/>
    </xf>
    <xf numFmtId="0" fontId="9" fillId="3" borderId="4" xfId="0" applyNumberFormat="1" applyFont="1" applyFill="1" applyBorder="1" applyAlignment="1">
      <alignment vertical="center" shrinkToFit="1"/>
    </xf>
    <xf numFmtId="3" fontId="9" fillId="0" borderId="3" xfId="0" applyNumberFormat="1" applyFont="1" applyFill="1" applyBorder="1" applyAlignment="1">
      <alignment vertical="center" shrinkToFit="1"/>
    </xf>
    <xf numFmtId="0" fontId="9" fillId="0" borderId="5" xfId="0" applyFont="1" applyFill="1" applyBorder="1" applyAlignment="1">
      <alignment vertical="center" shrinkToFit="1"/>
    </xf>
    <xf numFmtId="0" fontId="9" fillId="0" borderId="3" xfId="0" applyNumberFormat="1" applyFont="1" applyFill="1" applyBorder="1" applyAlignment="1">
      <alignment vertical="center" shrinkToFit="1"/>
    </xf>
    <xf numFmtId="0" fontId="9" fillId="0" borderId="6" xfId="0" applyFont="1" applyFill="1" applyBorder="1" applyAlignment="1">
      <alignment vertical="center" shrinkToFit="1"/>
    </xf>
    <xf numFmtId="176" fontId="9" fillId="0" borderId="3" xfId="0" applyNumberFormat="1" applyFont="1" applyFill="1" applyBorder="1" applyAlignment="1">
      <alignment vertical="center" shrinkToFit="1"/>
    </xf>
    <xf numFmtId="0" fontId="9" fillId="3" borderId="3" xfId="0" applyNumberFormat="1" applyFont="1" applyFill="1" applyBorder="1" applyAlignment="1">
      <alignment vertical="center" shrinkToFit="1"/>
    </xf>
    <xf numFmtId="176" fontId="9" fillId="3" borderId="3" xfId="0" applyNumberFormat="1" applyFont="1" applyFill="1" applyBorder="1" applyAlignment="1">
      <alignment vertical="center" shrinkToFit="1"/>
    </xf>
    <xf numFmtId="0" fontId="9" fillId="0" borderId="3" xfId="0" applyFont="1" applyFill="1" applyBorder="1" applyAlignment="1">
      <alignment vertical="center" shrinkToFit="1"/>
    </xf>
    <xf numFmtId="0" fontId="9" fillId="0" borderId="8" xfId="0" applyNumberFormat="1" applyFont="1" applyFill="1" applyBorder="1" applyAlignment="1">
      <alignment vertical="center" shrinkToFit="1"/>
    </xf>
    <xf numFmtId="0" fontId="9" fillId="0" borderId="9" xfId="0" applyFont="1" applyFill="1" applyBorder="1" applyAlignment="1">
      <alignment vertical="center" shrinkToFit="1"/>
    </xf>
    <xf numFmtId="0" fontId="9" fillId="0" borderId="10" xfId="0" applyFont="1" applyFill="1" applyBorder="1" applyAlignment="1">
      <alignment vertical="center" shrinkToFit="1"/>
    </xf>
    <xf numFmtId="0" fontId="9" fillId="0" borderId="13" xfId="0" applyFont="1" applyFill="1" applyBorder="1" applyAlignment="1">
      <alignment vertical="center" shrinkToFit="1"/>
    </xf>
    <xf numFmtId="0" fontId="9" fillId="0" borderId="0" xfId="0" applyFont="1" applyFill="1" applyAlignment="1">
      <alignment vertical="center" shrinkToFit="1"/>
    </xf>
    <xf numFmtId="0" fontId="9" fillId="0" borderId="14" xfId="0" applyFont="1" applyFill="1" applyBorder="1" applyAlignment="1">
      <alignment vertical="center" shrinkToFit="1"/>
    </xf>
    <xf numFmtId="0" fontId="9" fillId="0" borderId="11" xfId="0" applyFont="1" applyFill="1" applyBorder="1" applyAlignment="1">
      <alignment vertical="center" shrinkToFit="1"/>
    </xf>
    <xf numFmtId="0" fontId="9" fillId="0" borderId="7" xfId="0" applyFont="1" applyFill="1" applyBorder="1" applyAlignment="1">
      <alignment vertical="center" shrinkToFit="1"/>
    </xf>
    <xf numFmtId="0" fontId="9" fillId="0" borderId="12" xfId="0" applyFont="1" applyFill="1" applyBorder="1" applyAlignment="1">
      <alignment vertical="center" shrinkToFit="1"/>
    </xf>
    <xf numFmtId="3" fontId="9" fillId="3" borderId="3" xfId="0" applyNumberFormat="1" applyFont="1" applyFill="1" applyBorder="1" applyAlignment="1">
      <alignment vertical="center"/>
    </xf>
    <xf numFmtId="176" fontId="9" fillId="0" borderId="4" xfId="0" applyNumberFormat="1" applyFont="1" applyFill="1" applyBorder="1" applyAlignment="1">
      <alignment vertical="center"/>
    </xf>
    <xf numFmtId="0" fontId="9" fillId="0" borderId="0" xfId="0" applyNumberFormat="1" applyFont="1" applyFill="1" applyBorder="1" applyAlignment="1">
      <alignment vertical="center"/>
    </xf>
    <xf numFmtId="0" fontId="9" fillId="0" borderId="57" xfId="0" applyNumberFormat="1" applyFont="1" applyFill="1" applyBorder="1" applyAlignment="1">
      <alignment vertical="center"/>
    </xf>
    <xf numFmtId="0" fontId="9" fillId="0" borderId="58" xfId="0" applyNumberFormat="1" applyFont="1" applyFill="1" applyBorder="1" applyAlignment="1">
      <alignment vertical="center"/>
    </xf>
    <xf numFmtId="0" fontId="9" fillId="0" borderId="59" xfId="0" applyFont="1" applyFill="1" applyBorder="1" applyAlignment="1">
      <alignment vertical="center"/>
    </xf>
    <xf numFmtId="0" fontId="9" fillId="0" borderId="60" xfId="0" applyFont="1" applyFill="1" applyBorder="1" applyAlignment="1">
      <alignment vertical="center"/>
    </xf>
    <xf numFmtId="0" fontId="9" fillId="0" borderId="61" xfId="0" applyNumberFormat="1" applyFont="1" applyFill="1" applyBorder="1" applyAlignment="1">
      <alignment vertical="center"/>
    </xf>
    <xf numFmtId="0" fontId="9" fillId="0" borderId="62" xfId="0" applyFont="1" applyFill="1" applyBorder="1" applyAlignment="1">
      <alignment vertical="center"/>
    </xf>
    <xf numFmtId="0" fontId="9" fillId="0" borderId="63" xfId="0" applyFont="1" applyFill="1" applyBorder="1" applyAlignment="1">
      <alignment vertical="center"/>
    </xf>
    <xf numFmtId="0" fontId="9" fillId="0" borderId="64" xfId="0" applyFont="1" applyFill="1" applyBorder="1" applyAlignment="1">
      <alignment vertical="center"/>
    </xf>
    <xf numFmtId="0" fontId="9" fillId="0" borderId="65" xfId="0" applyNumberFormat="1" applyFont="1" applyFill="1" applyBorder="1" applyAlignment="1">
      <alignment vertical="center"/>
    </xf>
    <xf numFmtId="0" fontId="9" fillId="0" borderId="66" xfId="0" applyNumberFormat="1" applyFont="1" applyFill="1" applyBorder="1" applyAlignment="1">
      <alignment vertical="center"/>
    </xf>
    <xf numFmtId="56" fontId="9" fillId="0" borderId="67" xfId="0" applyNumberFormat="1" applyFont="1" applyFill="1" applyBorder="1" applyAlignment="1">
      <alignment vertical="center" shrinkToFit="1"/>
    </xf>
    <xf numFmtId="0" fontId="9" fillId="0" borderId="68" xfId="0" applyFont="1" applyFill="1" applyBorder="1" applyAlignment="1">
      <alignment vertical="center"/>
    </xf>
    <xf numFmtId="0" fontId="9" fillId="0" borderId="69" xfId="0" applyFont="1" applyFill="1" applyBorder="1" applyAlignment="1">
      <alignment vertical="center" shrinkToFit="1"/>
    </xf>
    <xf numFmtId="0" fontId="9" fillId="0" borderId="70" xfId="0" applyFont="1" applyFill="1" applyBorder="1" applyAlignment="1">
      <alignment vertical="center" shrinkToFit="1"/>
    </xf>
    <xf numFmtId="0" fontId="9" fillId="0" borderId="71" xfId="0" applyFont="1" applyFill="1" applyBorder="1" applyAlignment="1">
      <alignment vertical="center"/>
    </xf>
    <xf numFmtId="0" fontId="9" fillId="0" borderId="72" xfId="0" applyFont="1" applyFill="1" applyBorder="1" applyAlignment="1">
      <alignment vertical="center"/>
    </xf>
    <xf numFmtId="0" fontId="9" fillId="0" borderId="73" xfId="0" applyFont="1" applyFill="1" applyBorder="1" applyAlignment="1">
      <alignment vertical="center"/>
    </xf>
    <xf numFmtId="0" fontId="9" fillId="0" borderId="74" xfId="0" applyNumberFormat="1" applyFont="1" applyFill="1" applyBorder="1" applyAlignment="1">
      <alignment vertical="center"/>
    </xf>
    <xf numFmtId="0" fontId="9" fillId="0" borderId="74" xfId="0" applyNumberFormat="1" applyFont="1" applyFill="1" applyBorder="1" applyAlignment="1">
      <alignment vertical="center" shrinkToFit="1"/>
    </xf>
    <xf numFmtId="0" fontId="9" fillId="0" borderId="75" xfId="0" applyFont="1" applyFill="1" applyBorder="1" applyAlignment="1">
      <alignment vertical="center" shrinkToFit="1"/>
    </xf>
    <xf numFmtId="176" fontId="9" fillId="0" borderId="74" xfId="0" applyNumberFormat="1" applyFont="1" applyFill="1" applyBorder="1" applyAlignment="1">
      <alignment vertical="center" shrinkToFit="1"/>
    </xf>
    <xf numFmtId="0" fontId="9" fillId="0" borderId="76" xfId="0" applyFont="1" applyFill="1" applyBorder="1" applyAlignment="1">
      <alignment vertical="center" shrinkToFit="1"/>
    </xf>
    <xf numFmtId="180" fontId="15" fillId="0" borderId="22" xfId="0" applyNumberFormat="1" applyFont="1" applyFill="1" applyBorder="1" applyAlignment="1">
      <alignment vertical="center" shrinkToFit="1"/>
    </xf>
    <xf numFmtId="180" fontId="15" fillId="0" borderId="28" xfId="0" applyNumberFormat="1" applyFont="1" applyFill="1" applyBorder="1" applyAlignment="1">
      <alignment vertical="center" shrinkToFit="1"/>
    </xf>
    <xf numFmtId="0" fontId="12" fillId="0" borderId="0" xfId="0" applyFont="1" applyFill="1" applyBorder="1" applyAlignment="1">
      <alignment horizontal="right" vertical="center"/>
    </xf>
    <xf numFmtId="0" fontId="12" fillId="0" borderId="0" xfId="0" applyFont="1" applyFill="1" applyBorder="1" applyAlignment="1">
      <alignment vertical="center"/>
    </xf>
    <xf numFmtId="0" fontId="36" fillId="0" borderId="0" xfId="0" applyFont="1" applyFill="1" applyBorder="1" applyAlignment="1">
      <alignment vertical="center"/>
    </xf>
    <xf numFmtId="0" fontId="37" fillId="0" borderId="0" xfId="4" applyFont="1" applyFill="1" applyBorder="1" applyAlignment="1">
      <alignment vertical="center"/>
    </xf>
    <xf numFmtId="0" fontId="3" fillId="0" borderId="77" xfId="0" applyFont="1" applyFill="1" applyBorder="1" applyAlignment="1">
      <alignment vertical="center"/>
    </xf>
    <xf numFmtId="0" fontId="15" fillId="0" borderId="56" xfId="0" applyFont="1" applyFill="1" applyBorder="1" applyAlignment="1">
      <alignment vertical="center"/>
    </xf>
    <xf numFmtId="0" fontId="15" fillId="0" borderId="31" xfId="0" applyFont="1" applyFill="1" applyBorder="1" applyAlignment="1">
      <alignment horizontal="right" vertical="center"/>
    </xf>
    <xf numFmtId="0" fontId="15" fillId="0" borderId="29" xfId="0" applyFont="1" applyFill="1" applyBorder="1" applyAlignment="1">
      <alignment horizontal="center" vertical="center"/>
    </xf>
    <xf numFmtId="0" fontId="15" fillId="0" borderId="29" xfId="0" applyFont="1" applyFill="1" applyBorder="1" applyAlignment="1">
      <alignment vertical="center"/>
    </xf>
    <xf numFmtId="180" fontId="15" fillId="2" borderId="29" xfId="0" applyNumberFormat="1" applyFont="1" applyFill="1" applyBorder="1" applyAlignment="1">
      <alignment vertical="center" shrinkToFit="1"/>
    </xf>
    <xf numFmtId="57" fontId="3" fillId="0" borderId="22" xfId="0" applyNumberFormat="1" applyFont="1" applyFill="1" applyBorder="1" applyAlignment="1">
      <alignment horizontal="center" vertical="center" shrinkToFit="1"/>
    </xf>
    <xf numFmtId="0" fontId="3" fillId="7" borderId="22" xfId="0" quotePrefix="1" applyFont="1" applyFill="1" applyBorder="1" applyAlignment="1">
      <alignment horizontal="left" vertical="top" wrapText="1"/>
    </xf>
    <xf numFmtId="0" fontId="9" fillId="7" borderId="22" xfId="0" quotePrefix="1" applyFont="1" applyFill="1" applyBorder="1" applyAlignment="1">
      <alignment horizontal="left" vertical="top" wrapText="1"/>
    </xf>
    <xf numFmtId="0" fontId="3" fillId="0" borderId="22" xfId="0" quotePrefix="1" applyFont="1" applyBorder="1" applyAlignment="1">
      <alignment horizontal="left" vertical="top"/>
    </xf>
    <xf numFmtId="0" fontId="3" fillId="0" borderId="22" xfId="0" applyFont="1" applyBorder="1" applyAlignment="1">
      <alignment vertical="top"/>
    </xf>
    <xf numFmtId="0" fontId="9" fillId="0" borderId="22" xfId="0" quotePrefix="1" applyFont="1" applyBorder="1" applyAlignment="1">
      <alignment horizontal="left" vertical="top" wrapText="1"/>
    </xf>
    <xf numFmtId="0" fontId="34" fillId="0" borderId="22" xfId="0" quotePrefix="1" applyFont="1" applyBorder="1" applyAlignment="1">
      <alignment horizontal="left" vertical="top" wrapText="1"/>
    </xf>
    <xf numFmtId="0" fontId="34" fillId="7" borderId="22" xfId="0" quotePrefix="1" applyFont="1" applyFill="1" applyBorder="1" applyAlignment="1">
      <alignment horizontal="left" vertical="top" wrapText="1"/>
    </xf>
    <xf numFmtId="0" fontId="3" fillId="14" borderId="22" xfId="0" applyFont="1" applyFill="1" applyBorder="1" applyAlignment="1">
      <alignment vertical="top" wrapText="1"/>
    </xf>
    <xf numFmtId="0" fontId="3" fillId="0" borderId="0" xfId="0" applyFont="1" applyBorder="1" applyAlignment="1">
      <alignment horizontal="center" vertical="center" shrinkToFit="1"/>
    </xf>
    <xf numFmtId="0" fontId="3" fillId="11" borderId="22" xfId="0" applyFont="1" applyFill="1" applyBorder="1" applyAlignment="1"/>
    <xf numFmtId="0" fontId="3" fillId="2" borderId="22" xfId="0" applyFont="1" applyFill="1" applyBorder="1" applyAlignment="1">
      <alignment vertical="center" shrinkToFit="1"/>
    </xf>
    <xf numFmtId="181" fontId="3" fillId="7" borderId="22" xfId="0" applyNumberFormat="1" applyFont="1" applyFill="1" applyBorder="1" applyAlignment="1">
      <alignment horizontal="center" shrinkToFit="1"/>
    </xf>
    <xf numFmtId="178" fontId="3" fillId="0" borderId="22" xfId="0" applyNumberFormat="1" applyFont="1" applyBorder="1" applyAlignment="1">
      <alignment horizontal="center" vertical="center" shrinkToFit="1"/>
    </xf>
    <xf numFmtId="0" fontId="0" fillId="2" borderId="32" xfId="0" applyFill="1" applyBorder="1" applyAlignment="1">
      <alignment horizontal="center" vertical="center" wrapText="1"/>
    </xf>
    <xf numFmtId="1" fontId="3" fillId="2" borderId="25" xfId="0" applyNumberFormat="1" applyFont="1" applyFill="1" applyBorder="1" applyAlignment="1">
      <alignment vertical="center" shrinkToFit="1"/>
    </xf>
    <xf numFmtId="0" fontId="3" fillId="0" borderId="26" xfId="0" applyFont="1" applyFill="1" applyBorder="1" applyAlignment="1">
      <alignment vertical="center"/>
    </xf>
    <xf numFmtId="0" fontId="3" fillId="5" borderId="78" xfId="0" applyFont="1" applyFill="1" applyBorder="1" applyAlignment="1">
      <alignment horizontal="left" vertical="center" indent="1"/>
    </xf>
    <xf numFmtId="0" fontId="3" fillId="2" borderId="27" xfId="0" applyFont="1" applyFill="1" applyBorder="1" applyAlignment="1">
      <alignment vertical="center"/>
    </xf>
    <xf numFmtId="0" fontId="30" fillId="2" borderId="27" xfId="0" applyNumberFormat="1" applyFont="1" applyFill="1" applyBorder="1" applyAlignment="1">
      <alignment vertical="center" shrinkToFit="1"/>
    </xf>
    <xf numFmtId="0" fontId="3" fillId="2" borderId="27" xfId="0" applyNumberFormat="1" applyFont="1" applyFill="1" applyBorder="1" applyAlignment="1">
      <alignment vertical="center" shrinkToFit="1"/>
    </xf>
    <xf numFmtId="0" fontId="4" fillId="2" borderId="27" xfId="0" applyNumberFormat="1" applyFont="1" applyFill="1" applyBorder="1" applyAlignment="1">
      <alignment vertical="center" shrinkToFit="1"/>
    </xf>
    <xf numFmtId="2" fontId="12" fillId="5" borderId="78" xfId="0" applyNumberFormat="1" applyFont="1" applyFill="1" applyBorder="1" applyAlignment="1">
      <alignment horizontal="center" vertical="center" shrinkToFit="1"/>
    </xf>
    <xf numFmtId="0" fontId="3" fillId="2" borderId="27" xfId="0" applyNumberFormat="1" applyFont="1" applyFill="1" applyBorder="1" applyAlignment="1">
      <alignment vertical="center"/>
    </xf>
    <xf numFmtId="2" fontId="3" fillId="2" borderId="27" xfId="0" applyNumberFormat="1" applyFont="1" applyFill="1" applyBorder="1" applyAlignment="1">
      <alignment vertical="center" shrinkToFit="1"/>
    </xf>
    <xf numFmtId="0" fontId="3" fillId="0" borderId="27" xfId="0" applyNumberFormat="1" applyFont="1" applyFill="1" applyBorder="1" applyAlignment="1">
      <alignment vertical="center"/>
    </xf>
    <xf numFmtId="0" fontId="3" fillId="2" borderId="51" xfId="0" applyFont="1" applyFill="1" applyBorder="1" applyAlignment="1">
      <alignment vertical="center"/>
    </xf>
    <xf numFmtId="0" fontId="12" fillId="2" borderId="25" xfId="0" applyFont="1" applyFill="1" applyBorder="1" applyAlignment="1">
      <alignment horizontal="center" vertical="center" wrapText="1"/>
    </xf>
    <xf numFmtId="0" fontId="24" fillId="2" borderId="25" xfId="0" applyFont="1" applyFill="1" applyBorder="1" applyAlignment="1">
      <alignment horizontal="center" vertical="center" wrapText="1"/>
    </xf>
    <xf numFmtId="0" fontId="26" fillId="2" borderId="22"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26" fillId="2" borderId="28"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26" fillId="2" borderId="43" xfId="0" applyFont="1" applyFill="1" applyBorder="1" applyAlignment="1">
      <alignment horizontal="center" vertical="top" wrapText="1"/>
    </xf>
    <xf numFmtId="0" fontId="7" fillId="2" borderId="44" xfId="0" applyFont="1" applyFill="1" applyBorder="1" applyAlignment="1">
      <alignment horizontal="center" vertical="top" wrapText="1"/>
    </xf>
    <xf numFmtId="0" fontId="7" fillId="2" borderId="45" xfId="0" applyFont="1" applyFill="1" applyBorder="1" applyAlignment="1">
      <alignment horizontal="center" vertical="top" wrapText="1"/>
    </xf>
    <xf numFmtId="0" fontId="3" fillId="0" borderId="28" xfId="0" applyFont="1" applyFill="1" applyBorder="1" applyAlignment="1">
      <alignment vertical="top" wrapText="1"/>
    </xf>
    <xf numFmtId="0" fontId="3" fillId="0" borderId="31" xfId="0" applyFont="1" applyFill="1" applyBorder="1" applyAlignment="1">
      <alignment vertical="top" wrapText="1"/>
    </xf>
    <xf numFmtId="0" fontId="0" fillId="0" borderId="31" xfId="0" applyBorder="1" applyAlignment="1">
      <alignment vertical="top" wrapText="1"/>
    </xf>
    <xf numFmtId="0" fontId="3" fillId="2" borderId="28" xfId="0" quotePrefix="1" applyFont="1" applyFill="1" applyBorder="1" applyAlignment="1">
      <alignment horizontal="center" vertical="top" wrapText="1"/>
    </xf>
    <xf numFmtId="0" fontId="0" fillId="0" borderId="29" xfId="0" applyBorder="1" applyAlignment="1">
      <alignment horizontal="center" vertical="top" wrapText="1"/>
    </xf>
    <xf numFmtId="0" fontId="0" fillId="0" borderId="31" xfId="0" applyBorder="1" applyAlignment="1">
      <alignment horizontal="center" vertical="top" wrapText="1"/>
    </xf>
    <xf numFmtId="0" fontId="3" fillId="2" borderId="39" xfId="0" applyFont="1" applyFill="1" applyBorder="1" applyAlignment="1">
      <alignment horizontal="center" vertical="center" wrapText="1"/>
    </xf>
    <xf numFmtId="0" fontId="0" fillId="2" borderId="37" xfId="0" applyFill="1" applyBorder="1" applyAlignment="1">
      <alignment horizontal="center" vertical="center" wrapText="1"/>
    </xf>
    <xf numFmtId="0" fontId="0" fillId="2" borderId="32" xfId="0" applyFill="1" applyBorder="1" applyAlignment="1">
      <alignment horizontal="center" vertical="center" wrapText="1"/>
    </xf>
    <xf numFmtId="0" fontId="3" fillId="2" borderId="28" xfId="0" applyFont="1" applyFill="1" applyBorder="1" applyAlignment="1">
      <alignment horizontal="center" vertical="center" wrapText="1"/>
    </xf>
    <xf numFmtId="0" fontId="0" fillId="2" borderId="29" xfId="0" applyFill="1" applyBorder="1" applyAlignment="1">
      <alignment horizontal="center" vertical="center" wrapText="1"/>
    </xf>
    <xf numFmtId="0" fontId="0" fillId="2" borderId="31" xfId="0" applyFill="1" applyBorder="1" applyAlignment="1">
      <alignment horizontal="center" vertical="center" wrapText="1"/>
    </xf>
    <xf numFmtId="0" fontId="21" fillId="2" borderId="28" xfId="0" quotePrefix="1" applyFont="1" applyFill="1" applyBorder="1" applyAlignment="1">
      <alignment horizontal="center" vertical="top" wrapText="1"/>
    </xf>
    <xf numFmtId="0" fontId="25" fillId="0" borderId="29" xfId="0" applyFont="1" applyBorder="1" applyAlignment="1">
      <alignment horizontal="center" vertical="top" wrapText="1"/>
    </xf>
    <xf numFmtId="0" fontId="25" fillId="0" borderId="31" xfId="0" applyFont="1" applyBorder="1" applyAlignment="1">
      <alignment horizontal="center" vertical="top" wrapText="1"/>
    </xf>
    <xf numFmtId="0" fontId="17" fillId="0" borderId="34" xfId="0" applyFont="1" applyFill="1" applyBorder="1" applyAlignment="1">
      <alignment horizontal="center" vertical="top" wrapText="1"/>
    </xf>
    <xf numFmtId="0" fontId="22" fillId="0" borderId="29" xfId="0" applyFont="1" applyBorder="1" applyAlignment="1">
      <alignment horizontal="center" vertical="top" wrapText="1"/>
    </xf>
    <xf numFmtId="0" fontId="22" fillId="0" borderId="31" xfId="0" applyFont="1" applyBorder="1" applyAlignment="1">
      <alignment horizontal="center" vertical="top" wrapText="1"/>
    </xf>
    <xf numFmtId="0" fontId="29" fillId="0" borderId="34" xfId="0" applyFont="1" applyFill="1" applyBorder="1" applyAlignment="1">
      <alignment horizontal="center" vertical="top" wrapText="1"/>
    </xf>
    <xf numFmtId="0" fontId="24" fillId="0" borderId="29" xfId="0" applyFont="1" applyBorder="1" applyAlignment="1">
      <alignment horizontal="center" vertical="top" wrapText="1"/>
    </xf>
    <xf numFmtId="0" fontId="24" fillId="0" borderId="31" xfId="0" applyFont="1" applyBorder="1" applyAlignment="1">
      <alignment horizontal="center" vertical="top" wrapText="1"/>
    </xf>
    <xf numFmtId="0" fontId="17" fillId="0" borderId="35" xfId="0" applyFont="1" applyFill="1" applyBorder="1" applyAlignment="1">
      <alignment horizontal="center" vertical="top" wrapText="1"/>
    </xf>
    <xf numFmtId="0" fontId="0" fillId="0" borderId="36" xfId="0" applyBorder="1" applyAlignment="1">
      <alignment horizontal="center" vertical="top" wrapText="1"/>
    </xf>
    <xf numFmtId="0" fontId="0" fillId="0" borderId="30" xfId="0" applyBorder="1" applyAlignment="1">
      <alignment horizontal="center" vertical="top" wrapText="1"/>
    </xf>
    <xf numFmtId="0" fontId="0" fillId="0" borderId="37" xfId="0" applyBorder="1" applyAlignment="1">
      <alignment horizontal="center" vertical="top" wrapText="1"/>
    </xf>
    <xf numFmtId="0" fontId="0" fillId="0" borderId="38" xfId="0" applyBorder="1" applyAlignment="1">
      <alignment horizontal="center" vertical="top" wrapText="1"/>
    </xf>
    <xf numFmtId="0" fontId="0" fillId="0" borderId="32" xfId="0" applyBorder="1" applyAlignment="1">
      <alignment horizontal="center" vertical="top" wrapText="1"/>
    </xf>
    <xf numFmtId="0" fontId="17" fillId="0" borderId="59" xfId="0" applyFont="1" applyFill="1" applyBorder="1" applyAlignment="1">
      <alignment horizontal="center" vertical="top" wrapText="1"/>
    </xf>
    <xf numFmtId="0" fontId="0" fillId="0" borderId="0" xfId="0" applyBorder="1" applyAlignment="1">
      <alignment horizontal="center" vertical="top" wrapText="1"/>
    </xf>
    <xf numFmtId="0" fontId="0" fillId="0" borderId="56" xfId="0" applyBorder="1" applyAlignment="1">
      <alignment horizontal="center" vertical="top" wrapText="1"/>
    </xf>
    <xf numFmtId="0" fontId="9" fillId="2" borderId="49" xfId="0" applyFont="1" applyFill="1" applyBorder="1" applyAlignment="1">
      <alignment horizontal="center" vertical="center" wrapText="1"/>
    </xf>
    <xf numFmtId="0" fontId="9" fillId="0" borderId="51" xfId="0" applyFont="1" applyBorder="1" applyAlignment="1">
      <alignment horizontal="center" vertical="center" wrapText="1"/>
    </xf>
    <xf numFmtId="0" fontId="3" fillId="0" borderId="28" xfId="0" applyFont="1" applyFill="1" applyBorder="1" applyAlignment="1">
      <alignment horizontal="center" vertical="top" wrapText="1"/>
    </xf>
    <xf numFmtId="0" fontId="12" fillId="2" borderId="28" xfId="0" quotePrefix="1" applyFont="1" applyFill="1" applyBorder="1" applyAlignment="1">
      <alignment horizontal="center" vertical="top" wrapText="1"/>
    </xf>
    <xf numFmtId="0" fontId="34" fillId="0" borderId="28" xfId="0" applyFont="1" applyFill="1" applyBorder="1" applyAlignment="1">
      <alignment vertical="top" wrapText="1"/>
    </xf>
    <xf numFmtId="0" fontId="35" fillId="0" borderId="29" xfId="0" applyFont="1" applyBorder="1" applyAlignment="1">
      <alignment vertical="top" wrapText="1"/>
    </xf>
    <xf numFmtId="0" fontId="35" fillId="0" borderId="31" xfId="0" applyFont="1" applyBorder="1" applyAlignment="1">
      <alignment vertical="top" wrapText="1"/>
    </xf>
    <xf numFmtId="0" fontId="3" fillId="0" borderId="0" xfId="0" applyFont="1" applyFill="1" applyBorder="1" applyAlignment="1">
      <alignment vertical="center" wrapText="1"/>
    </xf>
    <xf numFmtId="0" fontId="0" fillId="0" borderId="0" xfId="0" applyAlignment="1">
      <alignment vertical="center" wrapText="1"/>
    </xf>
    <xf numFmtId="2" fontId="20" fillId="0" borderId="52" xfId="0" applyNumberFormat="1" applyFont="1" applyFill="1" applyBorder="1" applyAlignment="1">
      <alignment horizontal="center" vertical="center" shrinkToFit="1"/>
    </xf>
    <xf numFmtId="2" fontId="0" fillId="0" borderId="53" xfId="0" applyNumberFormat="1" applyBorder="1" applyAlignment="1">
      <alignment horizontal="center" vertical="center" shrinkToFit="1"/>
    </xf>
    <xf numFmtId="2" fontId="0" fillId="0" borderId="54" xfId="0" applyNumberFormat="1" applyBorder="1" applyAlignment="1">
      <alignment horizontal="center" vertical="center" shrinkToFit="1"/>
    </xf>
    <xf numFmtId="2" fontId="0" fillId="0" borderId="55" xfId="0" applyNumberFormat="1" applyBorder="1" applyAlignment="1">
      <alignment horizontal="center" vertical="center" shrinkToFit="1"/>
    </xf>
    <xf numFmtId="0" fontId="3" fillId="0" borderId="0" xfId="0" applyFont="1" applyFill="1" applyBorder="1" applyAlignment="1">
      <alignment horizontal="center" vertical="center" textRotation="90" wrapText="1"/>
    </xf>
    <xf numFmtId="0" fontId="0" fillId="0" borderId="0" xfId="0" applyAlignment="1">
      <alignment horizontal="center" vertical="center" textRotation="90" wrapText="1"/>
    </xf>
    <xf numFmtId="0" fontId="0" fillId="0" borderId="56" xfId="0" applyBorder="1" applyAlignment="1">
      <alignment horizontal="center" vertical="center" textRotation="90" wrapText="1"/>
    </xf>
    <xf numFmtId="0" fontId="3" fillId="0" borderId="49" xfId="0" applyFont="1" applyFill="1"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12" fillId="2" borderId="22"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3" fillId="0" borderId="39" xfId="0" applyFont="1" applyFill="1" applyBorder="1" applyAlignment="1">
      <alignment vertical="top" wrapText="1"/>
    </xf>
    <xf numFmtId="0" fontId="0" fillId="0" borderId="32" xfId="0" applyBorder="1" applyAlignment="1">
      <alignment vertical="top" wrapText="1"/>
    </xf>
  </cellXfs>
  <cellStyles count="6">
    <cellStyle name="ハイパーリンク" xfId="4" builtinId="8"/>
    <cellStyle name="桁区切り" xfId="1" builtinId="6"/>
    <cellStyle name="標準" xfId="0" builtinId="0"/>
    <cellStyle name="標準 2" xfId="5"/>
    <cellStyle name="標準_0601県ごみ" xfId="2"/>
    <cellStyle name="標準_全項目データ"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FF66"/>
      <color rgb="FFCCFFCC"/>
      <color rgb="FFFFFF99"/>
      <color rgb="FF3333FF"/>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5211479829806541E-2"/>
          <c:y val="0.18117760617760617"/>
          <c:w val="0.83162485244990214"/>
          <c:h val="0.7505590855197154"/>
        </c:manualLayout>
      </c:layout>
      <c:barChart>
        <c:barDir val="col"/>
        <c:grouping val="stacked"/>
        <c:varyColors val="0"/>
        <c:ser>
          <c:idx val="0"/>
          <c:order val="1"/>
          <c:tx>
            <c:strRef>
              <c:f>まとめ!$AT$29</c:f>
              <c:strCache>
                <c:ptCount val="1"/>
                <c:pt idx="0">
                  <c:v>主灰と飛灰中のCs集積量(MBq)</c:v>
                </c:pt>
              </c:strCache>
            </c:strRef>
          </c:tx>
          <c:spPr>
            <a:pattFill prst="dkDnDiag">
              <a:fgClr>
                <a:srgbClr val="FFFFFF"/>
              </a:fgClr>
              <a:bgClr>
                <a:srgbClr val="FFFF99"/>
              </a:bgClr>
            </a:pattFill>
            <a:ln w="0">
              <a:solidFill>
                <a:sysClr val="window" lastClr="FFFFFF">
                  <a:lumMod val="75000"/>
                </a:sysClr>
              </a:solidFill>
              <a:prstDash val="solid"/>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まとめ!$AT$32:$AT$119</c:f>
              <c:numCache>
                <c:formatCode>0</c:formatCode>
                <c:ptCount val="88"/>
                <c:pt idx="1">
                  <c:v>258.20236079999995</c:v>
                </c:pt>
                <c:pt idx="2">
                  <c:v>751.37510669999983</c:v>
                </c:pt>
                <c:pt idx="3">
                  <c:v>819.20000219999997</c:v>
                </c:pt>
                <c:pt idx="4">
                  <c:v>659.24894407679994</c:v>
                </c:pt>
                <c:pt idx="5">
                  <c:v>917.98942187519981</c:v>
                </c:pt>
                <c:pt idx="6">
                  <c:v>738.89846231039985</c:v>
                </c:pt>
                <c:pt idx="7">
                  <c:v>1235.3726845440001</c:v>
                </c:pt>
                <c:pt idx="8">
                  <c:v>1091.7087455232002</c:v>
                </c:pt>
                <c:pt idx="9">
                  <c:v>741.18643522560001</c:v>
                </c:pt>
                <c:pt idx="10">
                  <c:v>739.74924380160007</c:v>
                </c:pt>
                <c:pt idx="11">
                  <c:v>525.68016906239995</c:v>
                </c:pt>
                <c:pt idx="12">
                  <c:v>501.7868476416001</c:v>
                </c:pt>
                <c:pt idx="13">
                  <c:v>151.80315660287999</c:v>
                </c:pt>
                <c:pt idx="14">
                  <c:v>162.37318164479998</c:v>
                </c:pt>
                <c:pt idx="15">
                  <c:v>330.93297128448</c:v>
                </c:pt>
                <c:pt idx="16">
                  <c:v>620.57943455507996</c:v>
                </c:pt>
                <c:pt idx="17">
                  <c:v>828.36157398508794</c:v>
                </c:pt>
                <c:pt idx="18">
                  <c:v>806.183257568832</c:v>
                </c:pt>
                <c:pt idx="19">
                  <c:v>746.71308000431986</c:v>
                </c:pt>
                <c:pt idx="20">
                  <c:v>789.37339440959988</c:v>
                </c:pt>
                <c:pt idx="21">
                  <c:v>469.5696043758719</c:v>
                </c:pt>
                <c:pt idx="22">
                  <c:v>516.9019495685759</c:v>
                </c:pt>
                <c:pt idx="23">
                  <c:v>488.24234196566402</c:v>
                </c:pt>
                <c:pt idx="24">
                  <c:v>285.97136375807997</c:v>
                </c:pt>
                <c:pt idx="25">
                  <c:v>174.44338706995197</c:v>
                </c:pt>
                <c:pt idx="26">
                  <c:v>110.05514974396797</c:v>
                </c:pt>
                <c:pt idx="27">
                  <c:v>173.09538804729598</c:v>
                </c:pt>
                <c:pt idx="28">
                  <c:v>335.84279300880002</c:v>
                </c:pt>
                <c:pt idx="29">
                  <c:v>554.90290757439993</c:v>
                </c:pt>
                <c:pt idx="30">
                  <c:v>465.43907157439997</c:v>
                </c:pt>
                <c:pt idx="31">
                  <c:v>336.77911220799996</c:v>
                </c:pt>
                <c:pt idx="32">
                  <c:v>414.45233860799988</c:v>
                </c:pt>
                <c:pt idx="33">
                  <c:v>343.84137707920002</c:v>
                </c:pt>
                <c:pt idx="34">
                  <c:v>340.30202224480001</c:v>
                </c:pt>
                <c:pt idx="35">
                  <c:v>296.25592470319998</c:v>
                </c:pt>
                <c:pt idx="36">
                  <c:v>151.052188672</c:v>
                </c:pt>
                <c:pt idx="37">
                  <c:v>176.21128103039996</c:v>
                </c:pt>
                <c:pt idx="38">
                  <c:v>111.45718588004</c:v>
                </c:pt>
                <c:pt idx="39">
                  <c:v>113.76088999967997</c:v>
                </c:pt>
                <c:pt idx="40">
                  <c:v>234.13825468756801</c:v>
                </c:pt>
                <c:pt idx="41">
                  <c:v>388.80957031235999</c:v>
                </c:pt>
                <c:pt idx="42">
                  <c:v>302.72306068198799</c:v>
                </c:pt>
                <c:pt idx="43">
                  <c:v>265.32724707431998</c:v>
                </c:pt>
                <c:pt idx="44">
                  <c:v>191.70519576011998</c:v>
                </c:pt>
                <c:pt idx="45">
                  <c:v>194.76448738109994</c:v>
                </c:pt>
                <c:pt idx="46">
                  <c:v>201.74538175624795</c:v>
                </c:pt>
                <c:pt idx="47">
                  <c:v>134.41398999911999</c:v>
                </c:pt>
                <c:pt idx="48">
                  <c:v>139.35956561856</c:v>
                </c:pt>
                <c:pt idx="49">
                  <c:v>71.65909411214399</c:v>
                </c:pt>
                <c:pt idx="50">
                  <c:v>110.63976087667679</c:v>
                </c:pt>
                <c:pt idx="51">
                  <c:v>182.78360511844318</c:v>
                </c:pt>
                <c:pt idx="52">
                  <c:v>253.498463372</c:v>
                </c:pt>
                <c:pt idx="53">
                  <c:v>352.32720748399993</c:v>
                </c:pt>
                <c:pt idx="54">
                  <c:v>353.38428377000002</c:v>
                </c:pt>
                <c:pt idx="55">
                  <c:v>275.28685667000002</c:v>
                </c:pt>
                <c:pt idx="56">
                  <c:v>317.78973790479995</c:v>
                </c:pt>
                <c:pt idx="57">
                  <c:v>480.96971012999995</c:v>
                </c:pt>
                <c:pt idx="58">
                  <c:v>308.97130249999998</c:v>
                </c:pt>
                <c:pt idx="59">
                  <c:v>215.54574334439999</c:v>
                </c:pt>
                <c:pt idx="60">
                  <c:v>251.59467424000002</c:v>
                </c:pt>
                <c:pt idx="61">
                  <c:v>127.87152063839999</c:v>
                </c:pt>
                <c:pt idx="62">
                  <c:v>76.35141054799999</c:v>
                </c:pt>
                <c:pt idx="63">
                  <c:v>126.48101829999997</c:v>
                </c:pt>
                <c:pt idx="64">
                  <c:v>164.08187398679999</c:v>
                </c:pt>
                <c:pt idx="65">
                  <c:v>208.18041586859999</c:v>
                </c:pt>
                <c:pt idx="66">
                  <c:v>262.80898737449996</c:v>
                </c:pt>
                <c:pt idx="67">
                  <c:v>271.63353400049999</c:v>
                </c:pt>
                <c:pt idx="68">
                  <c:v>220.16980883519997</c:v>
                </c:pt>
                <c:pt idx="69">
                  <c:v>184.63076164259999</c:v>
                </c:pt>
                <c:pt idx="70">
                  <c:v>231.25360768439998</c:v>
                </c:pt>
                <c:pt idx="71">
                  <c:v>178.96264700999998</c:v>
                </c:pt>
                <c:pt idx="72">
                  <c:v>123.14397127199999</c:v>
                </c:pt>
                <c:pt idx="73">
                  <c:v>80.556856505999988</c:v>
                </c:pt>
                <c:pt idx="74">
                  <c:v>29.24064536505</c:v>
                </c:pt>
                <c:pt idx="75">
                  <c:v>59.191777171799998</c:v>
                </c:pt>
                <c:pt idx="76">
                  <c:v>161.903942508</c:v>
                </c:pt>
                <c:pt idx="77">
                  <c:v>242.46331395999997</c:v>
                </c:pt>
                <c:pt idx="78">
                  <c:v>163.35682526519997</c:v>
                </c:pt>
                <c:pt idx="79">
                  <c:v>218.77558094000003</c:v>
                </c:pt>
                <c:pt idx="80">
                  <c:v>222.58564344800004</c:v>
                </c:pt>
                <c:pt idx="81">
                  <c:v>176.95447988399997</c:v>
                </c:pt>
                <c:pt idx="82">
                  <c:v>169.01711314880001</c:v>
                </c:pt>
                <c:pt idx="83">
                  <c:v>128.98721575319999</c:v>
                </c:pt>
                <c:pt idx="84">
                  <c:v>67.347992880000007</c:v>
                </c:pt>
                <c:pt idx="85">
                  <c:v>45.929434017599995</c:v>
                </c:pt>
                <c:pt idx="86">
                  <c:v>38.333813552999999</c:v>
                </c:pt>
                <c:pt idx="87">
                  <c:v>62.589367091999989</c:v>
                </c:pt>
              </c:numCache>
            </c:numRef>
          </c:val>
        </c:ser>
        <c:ser>
          <c:idx val="6"/>
          <c:order val="5"/>
          <c:tx>
            <c:strRef>
              <c:f>まとめ!$BK$29</c:f>
              <c:strCache>
                <c:ptCount val="1"/>
                <c:pt idx="0">
                  <c:v>震災瓦礫灰中の両Cs集積量(MBq)</c:v>
                </c:pt>
              </c:strCache>
            </c:strRef>
          </c:tx>
          <c:spPr>
            <a:pattFill prst="ltUpDiag">
              <a:fgClr>
                <a:sysClr val="window" lastClr="FFFFFF">
                  <a:lumMod val="75000"/>
                </a:sysClr>
              </a:fgClr>
              <a:bgClr>
                <a:sysClr val="window" lastClr="FFFFFF"/>
              </a:bgClr>
            </a:pattFill>
            <a:ln>
              <a:solidFill>
                <a:sysClr val="window" lastClr="FFFFFF">
                  <a:lumMod val="50000"/>
                </a:sysClr>
              </a:solidFill>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まとめ!$BK$32:$BK$119</c:f>
              <c:numCache>
                <c:formatCode>General</c:formatCode>
                <c:ptCount val="88"/>
                <c:pt idx="4" formatCode="0">
                  <c:v>1686.5003672790976</c:v>
                </c:pt>
                <c:pt idx="5" formatCode="0">
                  <c:v>2815.8960239352155</c:v>
                </c:pt>
                <c:pt idx="6" formatCode="0">
                  <c:v>4380.1894331009207</c:v>
                </c:pt>
                <c:pt idx="7" formatCode="0">
                  <c:v>4993.000174628065</c:v>
                </c:pt>
                <c:pt idx="8" formatCode="0">
                  <c:v>3700.8697947783498</c:v>
                </c:pt>
                <c:pt idx="9" formatCode="0">
                  <c:v>4093.225830023167</c:v>
                </c:pt>
                <c:pt idx="10" formatCode="0">
                  <c:v>4311.6195454661693</c:v>
                </c:pt>
                <c:pt idx="11" formatCode="0">
                  <c:v>3063.760694089895</c:v>
                </c:pt>
                <c:pt idx="12" formatCode="0">
                  <c:v>3351.3726708430213</c:v>
                </c:pt>
                <c:pt idx="13" formatCode="0">
                  <c:v>2751.2865992286652</c:v>
                </c:pt>
                <c:pt idx="14" formatCode="0">
                  <c:v>3610.3408128693718</c:v>
                </c:pt>
                <c:pt idx="15" formatCode="0">
                  <c:v>4135.3491010064481</c:v>
                </c:pt>
                <c:pt idx="16" formatCode="0">
                  <c:v>4145.0955830350085</c:v>
                </c:pt>
                <c:pt idx="17" formatCode="0">
                  <c:v>4407.3915313710868</c:v>
                </c:pt>
                <c:pt idx="18" formatCode="0">
                  <c:v>3169.5802940981898</c:v>
                </c:pt>
                <c:pt idx="19" formatCode="0">
                  <c:v>2818.816769232466</c:v>
                </c:pt>
                <c:pt idx="20" formatCode="0">
                  <c:v>2369.9085309622333</c:v>
                </c:pt>
                <c:pt idx="21" formatCode="0">
                  <c:v>2148.0443814059886</c:v>
                </c:pt>
                <c:pt idx="22" formatCode="0">
                  <c:v>1518.6652618459859</c:v>
                </c:pt>
                <c:pt idx="23" formatCode="0">
                  <c:v>888.01865351989841</c:v>
                </c:pt>
                <c:pt idx="24" formatCode="0">
                  <c:v>367.54813467177286</c:v>
                </c:pt>
              </c:numCache>
            </c:numRef>
          </c:val>
        </c:ser>
        <c:dLbls>
          <c:showLegendKey val="0"/>
          <c:showVal val="0"/>
          <c:showCatName val="0"/>
          <c:showSerName val="0"/>
          <c:showPercent val="0"/>
          <c:showBubbleSize val="0"/>
        </c:dLbls>
        <c:gapWidth val="0"/>
        <c:overlap val="100"/>
        <c:axId val="264913280"/>
        <c:axId val="264915968"/>
      </c:barChart>
      <c:barChart>
        <c:barDir val="col"/>
        <c:grouping val="clustered"/>
        <c:varyColors val="0"/>
        <c:ser>
          <c:idx val="1"/>
          <c:order val="6"/>
          <c:tx>
            <c:strRef>
              <c:f>まとめ!$BW$29</c:f>
              <c:strCache>
                <c:ptCount val="1"/>
                <c:pt idx="0">
                  <c:v>最終処分場での両Cs現存量(MBq)</c:v>
                </c:pt>
              </c:strCache>
            </c:strRef>
          </c:tx>
          <c:spPr>
            <a:pattFill prst="pct25">
              <a:fgClr>
                <a:srgbClr val="F79646">
                  <a:lumMod val="60000"/>
                  <a:lumOff val="40000"/>
                </a:srgbClr>
              </a:fgClr>
              <a:bgClr>
                <a:sysClr val="window" lastClr="FFFFFF"/>
              </a:bgClr>
            </a:pattFill>
            <a:ln w="0">
              <a:solidFill>
                <a:srgbClr val="F79646">
                  <a:lumMod val="75000"/>
                </a:srgbClr>
              </a:solidFill>
              <a:prstDash val="solid"/>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まとめ!$BW$32:$BW$119</c:f>
              <c:numCache>
                <c:formatCode>0</c:formatCode>
                <c:ptCount val="88"/>
                <c:pt idx="1">
                  <c:v>130.18351744396227</c:v>
                </c:pt>
                <c:pt idx="2">
                  <c:v>382.23418584908302</c:v>
                </c:pt>
                <c:pt idx="3">
                  <c:v>420.88198106068552</c:v>
                </c:pt>
                <c:pt idx="4">
                  <c:v>1226.6596998495299</c:v>
                </c:pt>
                <c:pt idx="5">
                  <c:v>1971.1104810325501</c:v>
                </c:pt>
                <c:pt idx="6">
                  <c:v>2740.2220336328724</c:v>
                </c:pt>
                <c:pt idx="7">
                  <c:v>3379.6175474152155</c:v>
                </c:pt>
                <c:pt idx="8">
                  <c:v>2630.649775587874</c:v>
                </c:pt>
                <c:pt idx="9">
                  <c:v>2678.7720861826715</c:v>
                </c:pt>
                <c:pt idx="10">
                  <c:v>2833.4952063997093</c:v>
                </c:pt>
                <c:pt idx="11">
                  <c:v>2035.9660210753095</c:v>
                </c:pt>
                <c:pt idx="12">
                  <c:v>2207.1210148676437</c:v>
                </c:pt>
                <c:pt idx="13">
                  <c:v>1691.4807855107692</c:v>
                </c:pt>
                <c:pt idx="14">
                  <c:v>2219.9769555620719</c:v>
                </c:pt>
                <c:pt idx="15">
                  <c:v>2645.7816897834055</c:v>
                </c:pt>
                <c:pt idx="16">
                  <c:v>2863.154858118447</c:v>
                </c:pt>
                <c:pt idx="17">
                  <c:v>3182.8472597245263</c:v>
                </c:pt>
                <c:pt idx="18">
                  <c:v>2441.3833527826396</c:v>
                </c:pt>
                <c:pt idx="19">
                  <c:v>2216.1199577844768</c:v>
                </c:pt>
                <c:pt idx="20">
                  <c:v>1976.3539901491931</c:v>
                </c:pt>
                <c:pt idx="21">
                  <c:v>1658.5361126185664</c:v>
                </c:pt>
                <c:pt idx="22">
                  <c:v>1303.887517931737</c:v>
                </c:pt>
                <c:pt idx="23">
                  <c:v>888.41114987705851</c:v>
                </c:pt>
                <c:pt idx="24">
                  <c:v>426.44624967450181</c:v>
                </c:pt>
                <c:pt idx="25">
                  <c:v>115.03543312272892</c:v>
                </c:pt>
                <c:pt idx="26">
                  <c:v>73.231023442691068</c:v>
                </c:pt>
                <c:pt idx="27">
                  <c:v>116.01239977544773</c:v>
                </c:pt>
                <c:pt idx="28">
                  <c:v>227.66316954954772</c:v>
                </c:pt>
                <c:pt idx="29">
                  <c:v>378.76187672904297</c:v>
                </c:pt>
                <c:pt idx="30">
                  <c:v>320.4226803225967</c:v>
                </c:pt>
                <c:pt idx="31">
                  <c:v>233.50427684832593</c:v>
                </c:pt>
                <c:pt idx="32">
                  <c:v>290.10944069582911</c:v>
                </c:pt>
                <c:pt idx="33">
                  <c:v>242.66783445643784</c:v>
                </c:pt>
                <c:pt idx="34">
                  <c:v>242.36664755832302</c:v>
                </c:pt>
                <c:pt idx="35">
                  <c:v>212.78388506012254</c:v>
                </c:pt>
                <c:pt idx="36">
                  <c:v>109.28545417802857</c:v>
                </c:pt>
                <c:pt idx="37">
                  <c:v>128.91470722587283</c:v>
                </c:pt>
                <c:pt idx="38">
                  <c:v>82.242261004906453</c:v>
                </c:pt>
                <c:pt idx="39">
                  <c:v>84.458918329987924</c:v>
                </c:pt>
                <c:pt idx="40">
                  <c:v>175.13987624873869</c:v>
                </c:pt>
                <c:pt idx="41">
                  <c:v>292.81068374289043</c:v>
                </c:pt>
                <c:pt idx="42">
                  <c:v>229.82800168395818</c:v>
                </c:pt>
                <c:pt idx="43">
                  <c:v>202.69154975724231</c:v>
                </c:pt>
                <c:pt idx="44">
                  <c:v>147.74277290637184</c:v>
                </c:pt>
                <c:pt idx="45">
                  <c:v>151.11467772253468</c:v>
                </c:pt>
                <c:pt idx="46">
                  <c:v>157.55738349062392</c:v>
                </c:pt>
                <c:pt idx="47">
                  <c:v>105.63041070772084</c:v>
                </c:pt>
                <c:pt idx="48">
                  <c:v>110.28839809338167</c:v>
                </c:pt>
                <c:pt idx="49">
                  <c:v>57.156646453781413</c:v>
                </c:pt>
                <c:pt idx="50">
                  <c:v>88.821450694692516</c:v>
                </c:pt>
                <c:pt idx="51">
                  <c:v>147.43085841704396</c:v>
                </c:pt>
                <c:pt idx="52">
                  <c:v>206.24849742066175</c:v>
                </c:pt>
                <c:pt idx="53">
                  <c:v>288.09007101744959</c:v>
                </c:pt>
                <c:pt idx="54">
                  <c:v>290.70585659524158</c:v>
                </c:pt>
                <c:pt idx="55">
                  <c:v>228.17018568710554</c:v>
                </c:pt>
                <c:pt idx="56">
                  <c:v>264.98151658074624</c:v>
                </c:pt>
                <c:pt idx="57">
                  <c:v>402.88847189329078</c:v>
                </c:pt>
                <c:pt idx="58">
                  <c:v>260.52128568563364</c:v>
                </c:pt>
                <c:pt idx="59">
                  <c:v>182.7026717070967</c:v>
                </c:pt>
                <c:pt idx="60">
                  <c:v>214.51140578422076</c:v>
                </c:pt>
                <c:pt idx="61">
                  <c:v>109.61469262389406</c:v>
                </c:pt>
                <c:pt idx="62">
                  <c:v>65.804935832420995</c:v>
                </c:pt>
                <c:pt idx="63">
                  <c:v>109.56223420548861</c:v>
                </c:pt>
                <c:pt idx="64">
                  <c:v>143.06942176917522</c:v>
                </c:pt>
                <c:pt idx="65">
                  <c:v>182.41634805530231</c:v>
                </c:pt>
                <c:pt idx="66">
                  <c:v>231.54656528673678</c:v>
                </c:pt>
                <c:pt idx="67">
                  <c:v>240.52124371461747</c:v>
                </c:pt>
                <c:pt idx="68">
                  <c:v>195.89983018509022</c:v>
                </c:pt>
                <c:pt idx="69">
                  <c:v>165.02993058863177</c:v>
                </c:pt>
                <c:pt idx="70">
                  <c:v>207.68433849646459</c:v>
                </c:pt>
                <c:pt idx="71">
                  <c:v>161.49504340177796</c:v>
                </c:pt>
                <c:pt idx="72">
                  <c:v>111.72495214274224</c:v>
                </c:pt>
                <c:pt idx="73">
                  <c:v>73.393304645616823</c:v>
                </c:pt>
                <c:pt idx="74">
                  <c:v>26.762610291516296</c:v>
                </c:pt>
                <c:pt idx="75">
                  <c:v>54.406271320872847</c:v>
                </c:pt>
                <c:pt idx="76">
                  <c:v>149.58790411573133</c:v>
                </c:pt>
                <c:pt idx="77">
                  <c:v>224.93740623922946</c:v>
                </c:pt>
                <c:pt idx="78">
                  <c:v>152.21424224234863</c:v>
                </c:pt>
                <c:pt idx="79">
                  <c:v>204.7197539689069</c:v>
                </c:pt>
                <c:pt idx="80">
                  <c:v>209.24581576493142</c:v>
                </c:pt>
                <c:pt idx="81">
                  <c:v>167.07815438164994</c:v>
                </c:pt>
                <c:pt idx="82">
                  <c:v>160.2299783722172</c:v>
                </c:pt>
                <c:pt idx="83">
                  <c:v>122.74940088268816</c:v>
                </c:pt>
                <c:pt idx="84">
                  <c:v>64.363578013846819</c:v>
                </c:pt>
                <c:pt idx="85">
                  <c:v>44.070499329050577</c:v>
                </c:pt>
                <c:pt idx="86">
                  <c:v>36.933956107205617</c:v>
                </c:pt>
                <c:pt idx="87">
                  <c:v>60.508746852265965</c:v>
                </c:pt>
              </c:numCache>
            </c:numRef>
          </c:val>
        </c:ser>
        <c:dLbls>
          <c:showLegendKey val="0"/>
          <c:showVal val="0"/>
          <c:showCatName val="0"/>
          <c:showSerName val="0"/>
          <c:showPercent val="0"/>
          <c:showBubbleSize val="0"/>
        </c:dLbls>
        <c:gapWidth val="0"/>
        <c:axId val="264923392"/>
        <c:axId val="264921856"/>
      </c:barChart>
      <c:lineChart>
        <c:grouping val="standard"/>
        <c:varyColors val="0"/>
        <c:ser>
          <c:idx val="2"/>
          <c:order val="0"/>
          <c:tx>
            <c:strRef>
              <c:f>まとめ!$AP$29</c:f>
              <c:strCache>
                <c:ptCount val="1"/>
                <c:pt idx="0">
                  <c:v>ごみ焼却量 (t/月)</c:v>
                </c:pt>
              </c:strCache>
            </c:strRef>
          </c:tx>
          <c:spPr>
            <a:ln w="0">
              <a:solidFill>
                <a:srgbClr val="00B050"/>
              </a:solidFill>
            </a:ln>
          </c:spPr>
          <c:marker>
            <c:symbol val="circle"/>
            <c:size val="4"/>
            <c:spPr>
              <a:solidFill>
                <a:srgbClr val="33CC33"/>
              </a:solidFill>
              <a:ln w="0">
                <a:solidFill>
                  <a:srgbClr val="00B050"/>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まとめ!$AP$32:$AP$119</c:f>
              <c:numCache>
                <c:formatCode>0</c:formatCode>
                <c:ptCount val="88"/>
                <c:pt idx="1">
                  <c:v>3171.24</c:v>
                </c:pt>
                <c:pt idx="2">
                  <c:v>2686.7449999999999</c:v>
                </c:pt>
                <c:pt idx="3">
                  <c:v>3259.33</c:v>
                </c:pt>
                <c:pt idx="4">
                  <c:v>3367.98</c:v>
                </c:pt>
                <c:pt idx="5">
                  <c:v>3761.64</c:v>
                </c:pt>
                <c:pt idx="6">
                  <c:v>3892.8599999999997</c:v>
                </c:pt>
                <c:pt idx="7">
                  <c:v>4155.3</c:v>
                </c:pt>
                <c:pt idx="8">
                  <c:v>4286.5200000000004</c:v>
                </c:pt>
                <c:pt idx="9">
                  <c:v>3980.3399999999997</c:v>
                </c:pt>
                <c:pt idx="10">
                  <c:v>4111.5600000000004</c:v>
                </c:pt>
                <c:pt idx="11">
                  <c:v>3630.42</c:v>
                </c:pt>
                <c:pt idx="12">
                  <c:v>3499.2000000000003</c:v>
                </c:pt>
                <c:pt idx="13">
                  <c:v>3149.2799999999997</c:v>
                </c:pt>
                <c:pt idx="14">
                  <c:v>2668.14</c:v>
                </c:pt>
                <c:pt idx="15">
                  <c:v>3236.7599999999998</c:v>
                </c:pt>
                <c:pt idx="16">
                  <c:v>3367.98</c:v>
                </c:pt>
                <c:pt idx="17">
                  <c:v>3826.6559999999995</c:v>
                </c:pt>
                <c:pt idx="18">
                  <c:v>3960.1439999999998</c:v>
                </c:pt>
                <c:pt idx="19">
                  <c:v>4227.12</c:v>
                </c:pt>
                <c:pt idx="20">
                  <c:v>4360.6080000000002</c:v>
                </c:pt>
                <c:pt idx="21">
                  <c:v>4049.136</c:v>
                </c:pt>
                <c:pt idx="22">
                  <c:v>4182.6239999999998</c:v>
                </c:pt>
                <c:pt idx="23">
                  <c:v>3693.1680000000001</c:v>
                </c:pt>
                <c:pt idx="24">
                  <c:v>3559.6800000000003</c:v>
                </c:pt>
                <c:pt idx="25">
                  <c:v>3203.7119999999995</c:v>
                </c:pt>
                <c:pt idx="26">
                  <c:v>2714.2559999999999</c:v>
                </c:pt>
                <c:pt idx="27">
                  <c:v>3292.7039999999997</c:v>
                </c:pt>
                <c:pt idx="28">
                  <c:v>3409.1750000000002</c:v>
                </c:pt>
                <c:pt idx="29">
                  <c:v>3807.6499999999996</c:v>
                </c:pt>
                <c:pt idx="30">
                  <c:v>3940.4749999999999</c:v>
                </c:pt>
                <c:pt idx="31">
                  <c:v>4206.125</c:v>
                </c:pt>
                <c:pt idx="32">
                  <c:v>4338.95</c:v>
                </c:pt>
                <c:pt idx="33">
                  <c:v>4029.0250000000001</c:v>
                </c:pt>
                <c:pt idx="34">
                  <c:v>4161.8500000000004</c:v>
                </c:pt>
                <c:pt idx="35">
                  <c:v>3674.8250000000003</c:v>
                </c:pt>
                <c:pt idx="36">
                  <c:v>3542</c:v>
                </c:pt>
                <c:pt idx="37">
                  <c:v>3187.7999999999997</c:v>
                </c:pt>
                <c:pt idx="38">
                  <c:v>2700.7750000000001</c:v>
                </c:pt>
                <c:pt idx="39">
                  <c:v>3276.35</c:v>
                </c:pt>
                <c:pt idx="40">
                  <c:v>3408.174</c:v>
                </c:pt>
                <c:pt idx="41">
                  <c:v>3806.5319999999997</c:v>
                </c:pt>
                <c:pt idx="42">
                  <c:v>3939.3179999999998</c:v>
                </c:pt>
                <c:pt idx="43">
                  <c:v>4204.8900000000003</c:v>
                </c:pt>
                <c:pt idx="44">
                  <c:v>4337.6760000000004</c:v>
                </c:pt>
                <c:pt idx="45">
                  <c:v>4027.8420000000001</c:v>
                </c:pt>
                <c:pt idx="46">
                  <c:v>4160.6279999999997</c:v>
                </c:pt>
                <c:pt idx="47">
                  <c:v>3673.7460000000001</c:v>
                </c:pt>
                <c:pt idx="48">
                  <c:v>3540.96</c:v>
                </c:pt>
                <c:pt idx="49">
                  <c:v>3186.8639999999996</c:v>
                </c:pt>
                <c:pt idx="50">
                  <c:v>2699.982</c:v>
                </c:pt>
                <c:pt idx="51">
                  <c:v>3275.3879999999999</c:v>
                </c:pt>
                <c:pt idx="52">
                  <c:v>3402.9380000000001</c:v>
                </c:pt>
                <c:pt idx="53">
                  <c:v>3800.6839999999997</c:v>
                </c:pt>
                <c:pt idx="54">
                  <c:v>3933.2659999999996</c:v>
                </c:pt>
                <c:pt idx="55">
                  <c:v>4198.43</c:v>
                </c:pt>
                <c:pt idx="56">
                  <c:v>4331.0119999999997</c:v>
                </c:pt>
                <c:pt idx="57">
                  <c:v>4021.654</c:v>
                </c:pt>
                <c:pt idx="58">
                  <c:v>4154.2359999999999</c:v>
                </c:pt>
                <c:pt idx="59">
                  <c:v>3668.1020000000003</c:v>
                </c:pt>
                <c:pt idx="60">
                  <c:v>3535.52</c:v>
                </c:pt>
                <c:pt idx="61">
                  <c:v>3181.9679999999998</c:v>
                </c:pt>
                <c:pt idx="62">
                  <c:v>2695.8339999999998</c:v>
                </c:pt>
                <c:pt idx="63">
                  <c:v>3270.3559999999998</c:v>
                </c:pt>
                <c:pt idx="64">
                  <c:v>3402.8609999999999</c:v>
                </c:pt>
                <c:pt idx="65">
                  <c:v>3800.5979999999995</c:v>
                </c:pt>
                <c:pt idx="66">
                  <c:v>3933.1769999999997</c:v>
                </c:pt>
                <c:pt idx="67">
                  <c:v>4198.335</c:v>
                </c:pt>
                <c:pt idx="68">
                  <c:v>4330.9139999999998</c:v>
                </c:pt>
                <c:pt idx="69">
                  <c:v>4021.5630000000001</c:v>
                </c:pt>
                <c:pt idx="70">
                  <c:v>4154.1419999999998</c:v>
                </c:pt>
                <c:pt idx="71">
                  <c:v>3668.0190000000002</c:v>
                </c:pt>
                <c:pt idx="72">
                  <c:v>3535.44</c:v>
                </c:pt>
                <c:pt idx="73">
                  <c:v>3181.8959999999997</c:v>
                </c:pt>
                <c:pt idx="74">
                  <c:v>2695.7730000000001</c:v>
                </c:pt>
                <c:pt idx="75">
                  <c:v>3270.2819999999997</c:v>
                </c:pt>
                <c:pt idx="76">
                  <c:v>3409.8679999999999</c:v>
                </c:pt>
                <c:pt idx="77">
                  <c:v>3808.4239999999995</c:v>
                </c:pt>
                <c:pt idx="78">
                  <c:v>3941.2759999999998</c:v>
                </c:pt>
                <c:pt idx="79">
                  <c:v>4206.9800000000005</c:v>
                </c:pt>
                <c:pt idx="80">
                  <c:v>4339.8320000000003</c:v>
                </c:pt>
                <c:pt idx="81">
                  <c:v>4029.8440000000001</c:v>
                </c:pt>
                <c:pt idx="82">
                  <c:v>4162.6959999999999</c:v>
                </c:pt>
                <c:pt idx="83">
                  <c:v>3675.5720000000001</c:v>
                </c:pt>
                <c:pt idx="84">
                  <c:v>3542.7200000000003</c:v>
                </c:pt>
                <c:pt idx="85">
                  <c:v>3188.4479999999999</c:v>
                </c:pt>
                <c:pt idx="86">
                  <c:v>2701.3240000000001</c:v>
                </c:pt>
                <c:pt idx="87">
                  <c:v>3277.0159999999996</c:v>
                </c:pt>
              </c:numCache>
            </c:numRef>
          </c:val>
          <c:smooth val="0"/>
        </c:ser>
        <c:ser>
          <c:idx val="3"/>
          <c:order val="2"/>
          <c:tx>
            <c:strRef>
              <c:f>まとめ!$BG$29</c:f>
              <c:strCache>
                <c:ptCount val="1"/>
                <c:pt idx="0">
                  <c:v>両Cs 1万から理論減衰</c:v>
                </c:pt>
              </c:strCache>
            </c:strRef>
          </c:tx>
          <c:spPr>
            <a:ln w="31750" cmpd="sng">
              <a:solidFill>
                <a:srgbClr val="FF0000"/>
              </a:solidFill>
              <a:prstDash val="sysDash"/>
            </a:ln>
          </c:spPr>
          <c:marker>
            <c:symbol val="none"/>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まとめ!$BG$32:$BG$119</c:f>
              <c:numCache>
                <c:formatCode>0</c:formatCode>
                <c:ptCount val="88"/>
                <c:pt idx="0">
                  <c:v>5000</c:v>
                </c:pt>
                <c:pt idx="1">
                  <c:v>4302.9388170870425</c:v>
                </c:pt>
                <c:pt idx="2">
                  <c:v>4271.5357065451844</c:v>
                </c:pt>
                <c:pt idx="3">
                  <c:v>4233.3635303207284</c:v>
                </c:pt>
                <c:pt idx="4">
                  <c:v>4152.0820231605976</c:v>
                </c:pt>
                <c:pt idx="5">
                  <c:v>4117.7155922863622</c:v>
                </c:pt>
                <c:pt idx="6">
                  <c:v>4058.9507356669392</c:v>
                </c:pt>
                <c:pt idx="7">
                  <c:v>4001.8903068474633</c:v>
                </c:pt>
                <c:pt idx="8">
                  <c:v>3957.4330221865862</c:v>
                </c:pt>
                <c:pt idx="9">
                  <c:v>3924.7672661713823</c:v>
                </c:pt>
                <c:pt idx="10">
                  <c:v>3876.0798513931022</c:v>
                </c:pt>
                <c:pt idx="11">
                  <c:v>3834.53078939233</c:v>
                </c:pt>
                <c:pt idx="12">
                  <c:v>3799.6793503809436</c:v>
                </c:pt>
                <c:pt idx="13">
                  <c:v>3726.5059473685337</c:v>
                </c:pt>
                <c:pt idx="14">
                  <c:v>3692.4307968705471</c:v>
                </c:pt>
                <c:pt idx="15">
                  <c:v>3673.6533704838221</c:v>
                </c:pt>
                <c:pt idx="16">
                  <c:v>3617.3138003368076</c:v>
                </c:pt>
                <c:pt idx="17">
                  <c:v>3572.9008626551358</c:v>
                </c:pt>
                <c:pt idx="18">
                  <c:v>3538.2744537855501</c:v>
                </c:pt>
                <c:pt idx="19">
                  <c:v>3492.527800612831</c:v>
                </c:pt>
                <c:pt idx="20">
                  <c:v>3477.1992742380189</c:v>
                </c:pt>
                <c:pt idx="21">
                  <c:v>3428.7657776547449</c:v>
                </c:pt>
                <c:pt idx="22">
                  <c:v>3389.6413036790736</c:v>
                </c:pt>
                <c:pt idx="23">
                  <c:v>3367.7745829046721</c:v>
                </c:pt>
                <c:pt idx="24">
                  <c:v>3329.2882585797829</c:v>
                </c:pt>
                <c:pt idx="25">
                  <c:v>3292.9187246729402</c:v>
                </c:pt>
                <c:pt idx="26">
                  <c:v>3264.544802733536</c:v>
                </c:pt>
                <c:pt idx="27">
                  <c:v>3243.674748051365</c:v>
                </c:pt>
                <c:pt idx="28">
                  <c:v>3202.9612118299369</c:v>
                </c:pt>
                <c:pt idx="29">
                  <c:v>3184.9817950692313</c:v>
                </c:pt>
                <c:pt idx="30">
                  <c:v>3158.9705639732265</c:v>
                </c:pt>
                <c:pt idx="31">
                  <c:v>3139.8334425990843</c:v>
                </c:pt>
                <c:pt idx="32">
                  <c:v>3108.6277134318539</c:v>
                </c:pt>
                <c:pt idx="33">
                  <c:v>3084.2680704612412</c:v>
                </c:pt>
                <c:pt idx="34">
                  <c:v>3054.5525762837951</c:v>
                </c:pt>
                <c:pt idx="35">
                  <c:v>3028.8951575701103</c:v>
                </c:pt>
                <c:pt idx="36">
                  <c:v>3008.6443691097538</c:v>
                </c:pt>
                <c:pt idx="37">
                  <c:v>2968.5140027068555</c:v>
                </c:pt>
                <c:pt idx="38">
                  <c:v>2941.8606166831978</c:v>
                </c:pt>
                <c:pt idx="39">
                  <c:v>2926.2041022196508</c:v>
                </c:pt>
                <c:pt idx="40">
                  <c:v>2904.9863966704193</c:v>
                </c:pt>
                <c:pt idx="41">
                  <c:v>2887.0622537056743</c:v>
                </c:pt>
                <c:pt idx="42">
                  <c:v>2862.5241849041226</c:v>
                </c:pt>
                <c:pt idx="43">
                  <c:v>2847.4239923246769</c:v>
                </c:pt>
                <c:pt idx="44">
                  <c:v>2818.6101125280657</c:v>
                </c:pt>
                <c:pt idx="45">
                  <c:v>2800.9781616787432</c:v>
                </c:pt>
                <c:pt idx="46">
                  <c:v>2783.6911936618935</c:v>
                </c:pt>
                <c:pt idx="47">
                  <c:v>2768.6078865117706</c:v>
                </c:pt>
                <c:pt idx="48">
                  <c:v>2748.2922141015993</c:v>
                </c:pt>
                <c:pt idx="49">
                  <c:v>2723.7153787518605</c:v>
                </c:pt>
                <c:pt idx="50">
                  <c:v>2706.7623762545982</c:v>
                </c:pt>
                <c:pt idx="51">
                  <c:v>2698.7026753573341</c:v>
                </c:pt>
                <c:pt idx="52">
                  <c:v>2668.352929863217</c:v>
                </c:pt>
                <c:pt idx="53">
                  <c:v>2659.0347445332245</c:v>
                </c:pt>
                <c:pt idx="54">
                  <c:v>2643.9266480517813</c:v>
                </c:pt>
                <c:pt idx="55">
                  <c:v>2618.7014343964242</c:v>
                </c:pt>
                <c:pt idx="56">
                  <c:v>2603.3547240065436</c:v>
                </c:pt>
                <c:pt idx="57">
                  <c:v>2596.801888663962</c:v>
                </c:pt>
                <c:pt idx="58">
                  <c:v>2576.5114674270221</c:v>
                </c:pt>
                <c:pt idx="59">
                  <c:v>2565.3734704026815</c:v>
                </c:pt>
                <c:pt idx="60">
                  <c:v>2549.2211192910086</c:v>
                </c:pt>
                <c:pt idx="61">
                  <c:v>2536.6532564618565</c:v>
                </c:pt>
                <c:pt idx="62">
                  <c:v>2523.8557374154361</c:v>
                </c:pt>
                <c:pt idx="63">
                  <c:v>2510.8480196951496</c:v>
                </c:pt>
                <c:pt idx="64">
                  <c:v>2488.9923022423463</c:v>
                </c:pt>
                <c:pt idx="65">
                  <c:v>2477.904354940953</c:v>
                </c:pt>
                <c:pt idx="66">
                  <c:v>2463.2678444924049</c:v>
                </c:pt>
                <c:pt idx="67">
                  <c:v>2450.9796811120009</c:v>
                </c:pt>
                <c:pt idx="68">
                  <c:v>2440.5170097930186</c:v>
                </c:pt>
                <c:pt idx="69">
                  <c:v>2432.1903324772952</c:v>
                </c:pt>
                <c:pt idx="70">
                  <c:v>2421.2565903632649</c:v>
                </c:pt>
                <c:pt idx="71">
                  <c:v>2410.5110659673983</c:v>
                </c:pt>
                <c:pt idx="72">
                  <c:v>2392.8843588588579</c:v>
                </c:pt>
                <c:pt idx="73">
                  <c:v>2386.9980175664787</c:v>
                </c:pt>
                <c:pt idx="74">
                  <c:v>2377.1929333165999</c:v>
                </c:pt>
                <c:pt idx="75">
                  <c:v>2366.8369845168772</c:v>
                </c:pt>
                <c:pt idx="76">
                  <c:v>2349.7392978367029</c:v>
                </c:pt>
                <c:pt idx="77">
                  <c:v>2342.5612427921888</c:v>
                </c:pt>
                <c:pt idx="78">
                  <c:v>2333.1260796463871</c:v>
                </c:pt>
                <c:pt idx="79">
                  <c:v>2323.5135843298158</c:v>
                </c:pt>
                <c:pt idx="80">
                  <c:v>2310.1928059623096</c:v>
                </c:pt>
                <c:pt idx="81">
                  <c:v>2299.0634273758405</c:v>
                </c:pt>
                <c:pt idx="82">
                  <c:v>2290.3155919877308</c:v>
                </c:pt>
                <c:pt idx="83">
                  <c:v>2286.3000947237083</c:v>
                </c:pt>
                <c:pt idx="84">
                  <c:v>2273.2208321141466</c:v>
                </c:pt>
                <c:pt idx="85">
                  <c:v>2265.1636075258684</c:v>
                </c:pt>
                <c:pt idx="86">
                  <c:v>2254.3108559412813</c:v>
                </c:pt>
                <c:pt idx="87">
                  <c:v>2250.5483534287323</c:v>
                </c:pt>
              </c:numCache>
            </c:numRef>
          </c:val>
          <c:smooth val="0"/>
        </c:ser>
        <c:ser>
          <c:idx val="4"/>
          <c:order val="3"/>
          <c:tx>
            <c:strRef>
              <c:f>まとめ!$V$30:$V$31</c:f>
              <c:strCache>
                <c:ptCount val="1"/>
                <c:pt idx="0">
                  <c:v>ぱいじん(飛灰) 両Cs濃度 (Bq/kg)</c:v>
                </c:pt>
              </c:strCache>
            </c:strRef>
          </c:tx>
          <c:spPr>
            <a:ln w="0" cmpd="sng">
              <a:solidFill>
                <a:srgbClr val="3333FF"/>
              </a:solidFill>
              <a:prstDash val="solid"/>
            </a:ln>
          </c:spPr>
          <c:marker>
            <c:symbol val="plus"/>
            <c:size val="6"/>
            <c:spPr>
              <a:noFill/>
              <a:ln w="0">
                <a:solidFill>
                  <a:srgbClr val="3333FF"/>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まとめ!$V$32:$V$119</c:f>
              <c:numCache>
                <c:formatCode>General</c:formatCode>
                <c:ptCount val="88"/>
                <c:pt idx="1">
                  <c:v>250</c:v>
                </c:pt>
                <c:pt idx="2">
                  <c:v>1870</c:v>
                </c:pt>
                <c:pt idx="3">
                  <c:v>1470</c:v>
                </c:pt>
                <c:pt idx="4">
                  <c:v>1880</c:v>
                </c:pt>
                <c:pt idx="5">
                  <c:v>2000</c:v>
                </c:pt>
                <c:pt idx="6">
                  <c:v>1680</c:v>
                </c:pt>
                <c:pt idx="7">
                  <c:v>1470</c:v>
                </c:pt>
                <c:pt idx="8">
                  <c:v>1590</c:v>
                </c:pt>
                <c:pt idx="9">
                  <c:v>1030</c:v>
                </c:pt>
                <c:pt idx="10">
                  <c:v>950</c:v>
                </c:pt>
                <c:pt idx="11">
                  <c:v>440</c:v>
                </c:pt>
                <c:pt idx="12">
                  <c:v>680</c:v>
                </c:pt>
                <c:pt idx="13">
                  <c:v>198</c:v>
                </c:pt>
                <c:pt idx="14">
                  <c:v>280</c:v>
                </c:pt>
                <c:pt idx="15">
                  <c:v>550</c:v>
                </c:pt>
                <c:pt idx="16">
                  <c:v>760</c:v>
                </c:pt>
                <c:pt idx="17">
                  <c:v>930</c:v>
                </c:pt>
                <c:pt idx="18">
                  <c:v>1100</c:v>
                </c:pt>
                <c:pt idx="19">
                  <c:v>860</c:v>
                </c:pt>
                <c:pt idx="20">
                  <c:v>720</c:v>
                </c:pt>
                <c:pt idx="21">
                  <c:v>500</c:v>
                </c:pt>
                <c:pt idx="22">
                  <c:v>670</c:v>
                </c:pt>
                <c:pt idx="23">
                  <c:v>380</c:v>
                </c:pt>
                <c:pt idx="24">
                  <c:v>326</c:v>
                </c:pt>
                <c:pt idx="25">
                  <c:v>264</c:v>
                </c:pt>
                <c:pt idx="26">
                  <c:v>203</c:v>
                </c:pt>
                <c:pt idx="27">
                  <c:v>290</c:v>
                </c:pt>
                <c:pt idx="28">
                  <c:v>410</c:v>
                </c:pt>
                <c:pt idx="29">
                  <c:v>710</c:v>
                </c:pt>
                <c:pt idx="30">
                  <c:v>540</c:v>
                </c:pt>
                <c:pt idx="31">
                  <c:v>216</c:v>
                </c:pt>
                <c:pt idx="32">
                  <c:v>400</c:v>
                </c:pt>
                <c:pt idx="33">
                  <c:v>420</c:v>
                </c:pt>
                <c:pt idx="34">
                  <c:v>321</c:v>
                </c:pt>
                <c:pt idx="35">
                  <c:v>348</c:v>
                </c:pt>
                <c:pt idx="36">
                  <c:v>184</c:v>
                </c:pt>
                <c:pt idx="37">
                  <c:v>183</c:v>
                </c:pt>
                <c:pt idx="38">
                  <c:v>250</c:v>
                </c:pt>
                <c:pt idx="39">
                  <c:v>151</c:v>
                </c:pt>
                <c:pt idx="40">
                  <c:v>276</c:v>
                </c:pt>
                <c:pt idx="41">
                  <c:v>570</c:v>
                </c:pt>
                <c:pt idx="42">
                  <c:v>304</c:v>
                </c:pt>
                <c:pt idx="43">
                  <c:v>224</c:v>
                </c:pt>
                <c:pt idx="44">
                  <c:v>175</c:v>
                </c:pt>
                <c:pt idx="45">
                  <c:v>149</c:v>
                </c:pt>
                <c:pt idx="46">
                  <c:v>220</c:v>
                </c:pt>
                <c:pt idx="47">
                  <c:v>135</c:v>
                </c:pt>
                <c:pt idx="48">
                  <c:v>162</c:v>
                </c:pt>
                <c:pt idx="49">
                  <c:v>63</c:v>
                </c:pt>
                <c:pt idx="50">
                  <c:v>205</c:v>
                </c:pt>
                <c:pt idx="51">
                  <c:v>362</c:v>
                </c:pt>
                <c:pt idx="52">
                  <c:v>540</c:v>
                </c:pt>
                <c:pt idx="53">
                  <c:v>680</c:v>
                </c:pt>
                <c:pt idx="54">
                  <c:v>670</c:v>
                </c:pt>
                <c:pt idx="55">
                  <c:v>463</c:v>
                </c:pt>
                <c:pt idx="56">
                  <c:v>554</c:v>
                </c:pt>
                <c:pt idx="57">
                  <c:v>920</c:v>
                </c:pt>
                <c:pt idx="58">
                  <c:v>553</c:v>
                </c:pt>
                <c:pt idx="59">
                  <c:v>428</c:v>
                </c:pt>
                <c:pt idx="60">
                  <c:v>451</c:v>
                </c:pt>
                <c:pt idx="61">
                  <c:v>301</c:v>
                </c:pt>
                <c:pt idx="62">
                  <c:v>184</c:v>
                </c:pt>
                <c:pt idx="63">
                  <c:v>266</c:v>
                </c:pt>
                <c:pt idx="64">
                  <c:v>333</c:v>
                </c:pt>
                <c:pt idx="65">
                  <c:v>388</c:v>
                </c:pt>
                <c:pt idx="66">
                  <c:v>478</c:v>
                </c:pt>
                <c:pt idx="67">
                  <c:v>496</c:v>
                </c:pt>
                <c:pt idx="68">
                  <c:v>353</c:v>
                </c:pt>
                <c:pt idx="69">
                  <c:v>281</c:v>
                </c:pt>
                <c:pt idx="70">
                  <c:v>412</c:v>
                </c:pt>
                <c:pt idx="71">
                  <c:v>350</c:v>
                </c:pt>
                <c:pt idx="72">
                  <c:v>271</c:v>
                </c:pt>
                <c:pt idx="73">
                  <c:v>187</c:v>
                </c:pt>
                <c:pt idx="74">
                  <c:v>80.400000000000006</c:v>
                </c:pt>
                <c:pt idx="75">
                  <c:v>132</c:v>
                </c:pt>
                <c:pt idx="76">
                  <c:v>319</c:v>
                </c:pt>
                <c:pt idx="77">
                  <c:v>407</c:v>
                </c:pt>
                <c:pt idx="78">
                  <c:v>299</c:v>
                </c:pt>
                <c:pt idx="79">
                  <c:v>340</c:v>
                </c:pt>
                <c:pt idx="80">
                  <c:v>339</c:v>
                </c:pt>
                <c:pt idx="81">
                  <c:v>286</c:v>
                </c:pt>
                <c:pt idx="82">
                  <c:v>295</c:v>
                </c:pt>
                <c:pt idx="83">
                  <c:v>252</c:v>
                </c:pt>
                <c:pt idx="84">
                  <c:v>141</c:v>
                </c:pt>
                <c:pt idx="85">
                  <c:v>106.3</c:v>
                </c:pt>
                <c:pt idx="86">
                  <c:v>104.5</c:v>
                </c:pt>
                <c:pt idx="87">
                  <c:v>143</c:v>
                </c:pt>
              </c:numCache>
            </c:numRef>
          </c:val>
          <c:smooth val="0"/>
        </c:ser>
        <c:ser>
          <c:idx val="5"/>
          <c:order val="4"/>
          <c:tx>
            <c:strRef>
              <c:f>まとめ!$Y$30:$Y$31</c:f>
              <c:strCache>
                <c:ptCount val="1"/>
                <c:pt idx="0">
                  <c:v>焼却灰(主灰)※ 両Cs濃度 (Bq/kg)</c:v>
                </c:pt>
              </c:strCache>
            </c:strRef>
          </c:tx>
          <c:spPr>
            <a:ln w="0" cmpd="sng">
              <a:solidFill>
                <a:srgbClr val="3333FF"/>
              </a:solidFill>
              <a:prstDash val="sysDot"/>
            </a:ln>
          </c:spPr>
          <c:marker>
            <c:symbol val="circle"/>
            <c:size val="6"/>
            <c:spPr>
              <a:noFill/>
              <a:ln w="0">
                <a:solidFill>
                  <a:srgbClr val="3333FF"/>
                </a:solidFill>
                <a:prstDash val="sysDash"/>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まとめ!$Y$32:$Y$119</c:f>
              <c:numCache>
                <c:formatCode>General</c:formatCode>
                <c:ptCount val="88"/>
                <c:pt idx="1">
                  <c:v>440</c:v>
                </c:pt>
                <c:pt idx="2">
                  <c:v>500</c:v>
                </c:pt>
                <c:pt idx="3">
                  <c:v>660</c:v>
                </c:pt>
                <c:pt idx="4">
                  <c:v>430</c:v>
                </c:pt>
                <c:pt idx="5">
                  <c:v>880</c:v>
                </c:pt>
                <c:pt idx="6">
                  <c:v>560</c:v>
                </c:pt>
                <c:pt idx="7">
                  <c:v>660</c:v>
                </c:pt>
                <c:pt idx="8">
                  <c:v>420</c:v>
                </c:pt>
                <c:pt idx="9">
                  <c:v>320</c:v>
                </c:pt>
                <c:pt idx="10">
                  <c:v>290</c:v>
                </c:pt>
                <c:pt idx="11">
                  <c:v>360</c:v>
                </c:pt>
                <c:pt idx="12">
                  <c:v>176</c:v>
                </c:pt>
                <c:pt idx="13">
                  <c:v>64</c:v>
                </c:pt>
                <c:pt idx="14">
                  <c:v>67</c:v>
                </c:pt>
                <c:pt idx="15">
                  <c:v>145</c:v>
                </c:pt>
                <c:pt idx="16">
                  <c:v>201</c:v>
                </c:pt>
                <c:pt idx="17">
                  <c:v>213</c:v>
                </c:pt>
                <c:pt idx="18">
                  <c:v>208</c:v>
                </c:pt>
                <c:pt idx="19">
                  <c:v>281</c:v>
                </c:pt>
                <c:pt idx="20">
                  <c:v>360</c:v>
                </c:pt>
                <c:pt idx="21">
                  <c:v>217</c:v>
                </c:pt>
                <c:pt idx="22">
                  <c:v>275</c:v>
                </c:pt>
                <c:pt idx="23">
                  <c:v>123</c:v>
                </c:pt>
                <c:pt idx="24">
                  <c:v>106</c:v>
                </c:pt>
                <c:pt idx="25">
                  <c:v>85</c:v>
                </c:pt>
                <c:pt idx="26">
                  <c:v>41</c:v>
                </c:pt>
                <c:pt idx="27">
                  <c:v>57</c:v>
                </c:pt>
                <c:pt idx="28">
                  <c:v>155</c:v>
                </c:pt>
                <c:pt idx="29">
                  <c:v>175</c:v>
                </c:pt>
                <c:pt idx="30">
                  <c:v>150</c:v>
                </c:pt>
                <c:pt idx="31">
                  <c:v>190</c:v>
                </c:pt>
                <c:pt idx="32">
                  <c:v>182</c:v>
                </c:pt>
                <c:pt idx="33">
                  <c:v>126</c:v>
                </c:pt>
                <c:pt idx="34">
                  <c:v>130</c:v>
                </c:pt>
                <c:pt idx="35">
                  <c:v>91</c:v>
                </c:pt>
                <c:pt idx="36">
                  <c:v>62</c:v>
                </c:pt>
                <c:pt idx="37">
                  <c:v>47</c:v>
                </c:pt>
                <c:pt idx="38">
                  <c:v>64</c:v>
                </c:pt>
                <c:pt idx="39">
                  <c:v>28.1</c:v>
                </c:pt>
                <c:pt idx="40">
                  <c:v>104</c:v>
                </c:pt>
                <c:pt idx="41">
                  <c:v>151</c:v>
                </c:pt>
                <c:pt idx="42">
                  <c:v>160</c:v>
                </c:pt>
                <c:pt idx="43">
                  <c:v>95</c:v>
                </c:pt>
                <c:pt idx="44">
                  <c:v>84</c:v>
                </c:pt>
                <c:pt idx="45">
                  <c:v>82</c:v>
                </c:pt>
                <c:pt idx="46">
                  <c:v>78</c:v>
                </c:pt>
                <c:pt idx="47">
                  <c:v>62</c:v>
                </c:pt>
                <c:pt idx="48">
                  <c:v>70</c:v>
                </c:pt>
                <c:pt idx="49">
                  <c:v>7.8</c:v>
                </c:pt>
                <c:pt idx="50">
                  <c:v>24.4</c:v>
                </c:pt>
                <c:pt idx="51">
                  <c:v>25.4</c:v>
                </c:pt>
                <c:pt idx="52">
                  <c:v>86</c:v>
                </c:pt>
                <c:pt idx="53">
                  <c:v>99</c:v>
                </c:pt>
                <c:pt idx="54">
                  <c:v>85</c:v>
                </c:pt>
                <c:pt idx="55">
                  <c:v>88</c:v>
                </c:pt>
                <c:pt idx="56">
                  <c:v>62.6</c:v>
                </c:pt>
                <c:pt idx="57">
                  <c:v>85</c:v>
                </c:pt>
                <c:pt idx="58">
                  <c:v>72</c:v>
                </c:pt>
                <c:pt idx="59">
                  <c:v>65.8</c:v>
                </c:pt>
                <c:pt idx="60">
                  <c:v>147</c:v>
                </c:pt>
                <c:pt idx="61">
                  <c:v>36.700000000000003</c:v>
                </c:pt>
                <c:pt idx="62">
                  <c:v>54</c:v>
                </c:pt>
                <c:pt idx="63">
                  <c:v>59</c:v>
                </c:pt>
                <c:pt idx="64">
                  <c:v>72.2</c:v>
                </c:pt>
                <c:pt idx="65">
                  <c:v>72.3</c:v>
                </c:pt>
                <c:pt idx="66">
                  <c:v>83.5</c:v>
                </c:pt>
                <c:pt idx="67">
                  <c:v>47.7</c:v>
                </c:pt>
                <c:pt idx="68">
                  <c:v>74.2</c:v>
                </c:pt>
                <c:pt idx="69">
                  <c:v>104.8</c:v>
                </c:pt>
                <c:pt idx="70">
                  <c:v>55.8</c:v>
                </c:pt>
                <c:pt idx="71">
                  <c:v>60</c:v>
                </c:pt>
                <c:pt idx="72">
                  <c:v>21.7</c:v>
                </c:pt>
                <c:pt idx="73">
                  <c:v>25.75</c:v>
                </c:pt>
                <c:pt idx="74">
                  <c:v>10.75</c:v>
                </c:pt>
                <c:pt idx="75">
                  <c:v>20.100000000000001</c:v>
                </c:pt>
                <c:pt idx="76">
                  <c:v>80</c:v>
                </c:pt>
                <c:pt idx="77">
                  <c:v>128</c:v>
                </c:pt>
                <c:pt idx="78">
                  <c:v>49.3</c:v>
                </c:pt>
                <c:pt idx="79">
                  <c:v>97</c:v>
                </c:pt>
                <c:pt idx="80">
                  <c:v>92</c:v>
                </c:pt>
                <c:pt idx="81">
                  <c:v>83</c:v>
                </c:pt>
                <c:pt idx="82">
                  <c:v>46.2</c:v>
                </c:pt>
                <c:pt idx="83">
                  <c:v>42.9</c:v>
                </c:pt>
                <c:pt idx="84">
                  <c:v>18.75</c:v>
                </c:pt>
                <c:pt idx="85">
                  <c:v>14.75</c:v>
                </c:pt>
                <c:pt idx="86">
                  <c:v>14.75</c:v>
                </c:pt>
                <c:pt idx="87">
                  <c:v>17.5</c:v>
                </c:pt>
              </c:numCache>
            </c:numRef>
          </c:val>
          <c:smooth val="0"/>
        </c:ser>
        <c:ser>
          <c:idx val="7"/>
          <c:order val="7"/>
          <c:tx>
            <c:strRef>
              <c:f>まとめ!$BL$29</c:f>
              <c:strCache>
                <c:ptCount val="1"/>
                <c:pt idx="0">
                  <c:v>震災瓦礫焼却量(x0.1t/月)</c:v>
                </c:pt>
              </c:strCache>
            </c:strRef>
          </c:tx>
          <c:spPr>
            <a:ln w="3175">
              <a:solidFill>
                <a:sysClr val="window" lastClr="FFFFFF">
                  <a:lumMod val="50000"/>
                </a:sysClr>
              </a:solidFill>
            </a:ln>
          </c:spPr>
          <c:marker>
            <c:symbol val="circle"/>
            <c:size val="6"/>
            <c:spPr>
              <a:solidFill>
                <a:srgbClr val="FFFF00"/>
              </a:solidFill>
              <a:ln w="0">
                <a:solidFill>
                  <a:sysClr val="window" lastClr="FFFFFF">
                    <a:lumMod val="50000"/>
                  </a:sysClr>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まとめ!$BL$32:$BL$119</c:f>
              <c:numCache>
                <c:formatCode>General</c:formatCode>
                <c:ptCount val="88"/>
                <c:pt idx="4" formatCode="0">
                  <c:v>740</c:v>
                </c:pt>
                <c:pt idx="5" formatCode="0">
                  <c:v>1777.0994444444445</c:v>
                </c:pt>
                <c:pt idx="6" formatCode="0">
                  <c:v>2212.2166666666667</c:v>
                </c:pt>
                <c:pt idx="7" formatCode="0">
                  <c:v>2646.7333333333336</c:v>
                </c:pt>
                <c:pt idx="8" formatCode="0">
                  <c:v>2207.3666666666663</c:v>
                </c:pt>
                <c:pt idx="9" formatCode="0">
                  <c:v>2678.3333333333335</c:v>
                </c:pt>
                <c:pt idx="10" formatCode="0">
                  <c:v>2909.7833333333338</c:v>
                </c:pt>
                <c:pt idx="11" formatCode="0">
                  <c:v>1941.5666666666668</c:v>
                </c:pt>
                <c:pt idx="12" formatCode="0">
                  <c:v>2146.0666666666666</c:v>
                </c:pt>
                <c:pt idx="13" formatCode="0">
                  <c:v>2170.15</c:v>
                </c:pt>
                <c:pt idx="14" formatCode="0">
                  <c:v>2680.2</c:v>
                </c:pt>
                <c:pt idx="15" formatCode="0">
                  <c:v>2860.95</c:v>
                </c:pt>
                <c:pt idx="16" formatCode="0">
                  <c:v>2421.7833333333333</c:v>
                </c:pt>
                <c:pt idx="17" formatCode="0">
                  <c:v>2327.7983333333332</c:v>
                </c:pt>
                <c:pt idx="18" formatCode="0">
                  <c:v>1907.4091660161332</c:v>
                </c:pt>
                <c:pt idx="19" formatCode="0">
                  <c:v>1564.2486104605778</c:v>
                </c:pt>
                <c:pt idx="20" formatCode="0">
                  <c:v>1905.3752771272443</c:v>
                </c:pt>
                <c:pt idx="21" formatCode="0">
                  <c:v>1905.3752771272443</c:v>
                </c:pt>
                <c:pt idx="22" formatCode="0">
                  <c:v>1520.2752771272444</c:v>
                </c:pt>
                <c:pt idx="23" formatCode="0">
                  <c:v>554.71194379391102</c:v>
                </c:pt>
                <c:pt idx="24" formatCode="0">
                  <c:v>554.71194379391102</c:v>
                </c:pt>
              </c:numCache>
            </c:numRef>
          </c:val>
          <c:smooth val="0"/>
        </c:ser>
        <c:dLbls>
          <c:showLegendKey val="0"/>
          <c:showVal val="0"/>
          <c:showCatName val="0"/>
          <c:showSerName val="0"/>
          <c:showPercent val="0"/>
          <c:showBubbleSize val="0"/>
        </c:dLbls>
        <c:marker val="1"/>
        <c:smooth val="0"/>
        <c:axId val="264913280"/>
        <c:axId val="264915968"/>
      </c:lineChart>
      <c:dateAx>
        <c:axId val="264913280"/>
        <c:scaling>
          <c:orientation val="minMax"/>
        </c:scaling>
        <c:delete val="0"/>
        <c:axPos val="b"/>
        <c:majorGridlines>
          <c:spPr>
            <a:ln w="0">
              <a:solidFill>
                <a:sysClr val="window" lastClr="FFFFFF">
                  <a:lumMod val="75000"/>
                </a:sysClr>
              </a:solidFill>
              <a:prstDash val="sysDot"/>
            </a:ln>
          </c:spPr>
        </c:majorGridlines>
        <c:numFmt formatCode="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264915968"/>
        <c:crosses val="autoZero"/>
        <c:auto val="0"/>
        <c:lblOffset val="0"/>
        <c:baseTimeUnit val="months"/>
        <c:majorUnit val="6"/>
        <c:minorUnit val="6"/>
      </c:dateAx>
      <c:valAx>
        <c:axId val="264915968"/>
        <c:scaling>
          <c:orientation val="minMax"/>
          <c:max val="10000"/>
        </c:scaling>
        <c:delete val="0"/>
        <c:axPos val="l"/>
        <c:majorGridlines>
          <c:spPr>
            <a:ln w="0">
              <a:solidFill>
                <a:sysClr val="window" lastClr="FFFFFF">
                  <a:lumMod val="75000"/>
                </a:sysClr>
              </a:solidFill>
              <a:prstDash val="sysDot"/>
            </a:ln>
          </c:spPr>
        </c:majorGridlines>
        <c:numFmt formatCode="0" sourceLinked="0"/>
        <c:majorTickMark val="in"/>
        <c:minorTickMark val="none"/>
        <c:tickLblPos val="nextTo"/>
        <c:spPr>
          <a:ln w="3175">
            <a:solidFill>
              <a:srgbClr val="000000"/>
            </a:solidFill>
            <a:prstDash val="solid"/>
          </a:ln>
        </c:spPr>
        <c:txPr>
          <a:bodyPr rot="0" vert="horz"/>
          <a:lstStyle/>
          <a:p>
            <a:pPr>
              <a:defRPr sz="900"/>
            </a:pPr>
            <a:endParaRPr lang="ja-JP"/>
          </a:p>
        </c:txPr>
        <c:crossAx val="264913280"/>
        <c:crosses val="autoZero"/>
        <c:crossBetween val="between"/>
      </c:valAx>
      <c:valAx>
        <c:axId val="264921856"/>
        <c:scaling>
          <c:orientation val="maxMin"/>
          <c:max val="10000"/>
        </c:scaling>
        <c:delete val="0"/>
        <c:axPos val="r"/>
        <c:numFmt formatCode="General" sourceLinked="1"/>
        <c:majorTickMark val="out"/>
        <c:minorTickMark val="none"/>
        <c:tickLblPos val="nextTo"/>
        <c:txPr>
          <a:bodyPr/>
          <a:lstStyle/>
          <a:p>
            <a:pPr>
              <a:defRPr sz="900"/>
            </a:pPr>
            <a:endParaRPr lang="ja-JP"/>
          </a:p>
        </c:txPr>
        <c:crossAx val="264923392"/>
        <c:crosses val="max"/>
        <c:crossBetween val="between"/>
      </c:valAx>
      <c:dateAx>
        <c:axId val="264923392"/>
        <c:scaling>
          <c:orientation val="minMax"/>
        </c:scaling>
        <c:delete val="1"/>
        <c:axPos val="t"/>
        <c:numFmt formatCode="[$-411]ge\.m" sourceLinked="1"/>
        <c:majorTickMark val="out"/>
        <c:minorTickMark val="none"/>
        <c:tickLblPos val="nextTo"/>
        <c:crossAx val="264921856"/>
        <c:crosses val="autoZero"/>
        <c:auto val="1"/>
        <c:lblOffset val="100"/>
        <c:baseTimeUnit val="months"/>
      </c:dateAx>
      <c:spPr>
        <a:noFill/>
        <a:ln w="12700">
          <a:solidFill>
            <a:srgbClr val="808080"/>
          </a:solidFill>
          <a:prstDash val="solid"/>
        </a:ln>
      </c:spPr>
    </c:plotArea>
    <c:legend>
      <c:legendPos val="r"/>
      <c:layout>
        <c:manualLayout>
          <c:xMode val="edge"/>
          <c:yMode val="edge"/>
          <c:x val="0"/>
          <c:y val="1.2798315751071657E-2"/>
          <c:w val="0.98859308950369917"/>
          <c:h val="0.15204663606238408"/>
        </c:manualLayout>
      </c:layout>
      <c:overlay val="0"/>
      <c:spPr>
        <a:noFill/>
        <a:ln w="25400">
          <a:noFill/>
        </a:ln>
      </c:spPr>
      <c:txPr>
        <a:bodyPr/>
        <a:lstStyle/>
        <a:p>
          <a:pPr>
            <a:defRPr sz="1050"/>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8569035650175137E-2"/>
          <c:w val="0.87334611670950457"/>
          <c:h val="0.8417382719234825"/>
        </c:manualLayout>
      </c:layout>
      <c:lineChart>
        <c:grouping val="standard"/>
        <c:varyColors val="0"/>
        <c:ser>
          <c:idx val="3"/>
          <c:order val="0"/>
          <c:tx>
            <c:strRef>
              <c:f>月間量回帰式!$AB$37:$AB$38</c:f>
              <c:strCache>
                <c:ptCount val="1"/>
                <c:pt idx="0">
                  <c:v>焼却灰 Cs-137</c:v>
                </c:pt>
              </c:strCache>
            </c:strRef>
          </c:tx>
          <c:spPr>
            <a:ln w="0">
              <a:solidFill>
                <a:srgbClr val="C00000"/>
              </a:solidFill>
              <a:prstDash val="solid"/>
            </a:ln>
          </c:spPr>
          <c:marker>
            <c:symbol val="circle"/>
            <c:size val="4"/>
            <c:spPr>
              <a:noFill/>
              <a:ln>
                <a:solidFill>
                  <a:srgbClr val="C00000"/>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月間量回帰式!$AT$24:$AT$35</c:f>
              <c:numCache>
                <c:formatCode>0.000</c:formatCode>
                <c:ptCount val="12"/>
                <c:pt idx="0">
                  <c:v>1.1552157552435638</c:v>
                </c:pt>
                <c:pt idx="1">
                  <c:v>1.6501155772012281</c:v>
                </c:pt>
                <c:pt idx="2">
                  <c:v>1.4153169855060845</c:v>
                </c:pt>
                <c:pt idx="3">
                  <c:v>1.4798078111481894</c:v>
                </c:pt>
                <c:pt idx="4">
                  <c:v>1.4249497272578475</c:v>
                </c:pt>
                <c:pt idx="5">
                  <c:v>1.0268549973778005</c:v>
                </c:pt>
                <c:pt idx="6">
                  <c:v>1.0842683061259257</c:v>
                </c:pt>
                <c:pt idx="7">
                  <c:v>0.80067450654213723</c:v>
                </c:pt>
                <c:pt idx="8">
                  <c:v>0.60796275975641945</c:v>
                </c:pt>
                <c:pt idx="9">
                  <c:v>0.36633115874495187</c:v>
                </c:pt>
                <c:pt idx="10">
                  <c:v>0.25017735755778026</c:v>
                </c:pt>
                <c:pt idx="11">
                  <c:v>0.24921301446051169</c:v>
                </c:pt>
              </c:numCache>
            </c:numRef>
          </c:val>
          <c:smooth val="0"/>
        </c:ser>
        <c:ser>
          <c:idx val="4"/>
          <c:order val="1"/>
          <c:tx>
            <c:strRef>
              <c:f>月間量回帰式!$AA$37:$AA$38</c:f>
              <c:strCache>
                <c:ptCount val="1"/>
                <c:pt idx="0">
                  <c:v>焼却灰 Cs-134</c:v>
                </c:pt>
              </c:strCache>
            </c:strRef>
          </c:tx>
          <c:spPr>
            <a:ln w="0">
              <a:solidFill>
                <a:srgbClr val="FF00FF"/>
              </a:solidFill>
              <a:prstDash val="solid"/>
            </a:ln>
          </c:spPr>
          <c:marker>
            <c:symbol val="x"/>
            <c:size val="3"/>
            <c:spPr>
              <a:noFill/>
              <a:ln>
                <a:solidFill>
                  <a:srgbClr val="FF00FF"/>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月間量回帰式!$AS$24:$AS$35</c:f>
              <c:numCache>
                <c:formatCode>0.000</c:formatCode>
                <c:ptCount val="12"/>
                <c:pt idx="0">
                  <c:v>1.2926598829829059</c:v>
                </c:pt>
                <c:pt idx="1">
                  <c:v>1.7681584315125032</c:v>
                </c:pt>
                <c:pt idx="2">
                  <c:v>1.4554233201460611</c:v>
                </c:pt>
                <c:pt idx="3">
                  <c:v>1.5894498557234067</c:v>
                </c:pt>
                <c:pt idx="4">
                  <c:v>1.3545171122630026</c:v>
                </c:pt>
                <c:pt idx="5">
                  <c:v>0.97664101024080918</c:v>
                </c:pt>
                <c:pt idx="6">
                  <c:v>1.0270663686836374</c:v>
                </c:pt>
                <c:pt idx="7">
                  <c:v>0.73837536141685567</c:v>
                </c:pt>
                <c:pt idx="8">
                  <c:v>0.54714322915533276</c:v>
                </c:pt>
                <c:pt idx="9">
                  <c:v>0.30749534673531587</c:v>
                </c:pt>
                <c:pt idx="10">
                  <c:v>0.21892286533749408</c:v>
                </c:pt>
                <c:pt idx="11">
                  <c:v>0.21628682534915805</c:v>
                </c:pt>
              </c:numCache>
            </c:numRef>
          </c:val>
          <c:smooth val="0"/>
        </c:ser>
        <c:dLbls>
          <c:showLegendKey val="0"/>
          <c:showVal val="0"/>
          <c:showCatName val="0"/>
          <c:showSerName val="0"/>
          <c:showPercent val="0"/>
          <c:showBubbleSize val="0"/>
        </c:dLbls>
        <c:marker val="1"/>
        <c:smooth val="0"/>
        <c:axId val="265834880"/>
        <c:axId val="265836800"/>
      </c:lineChart>
      <c:catAx>
        <c:axId val="265834880"/>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836800"/>
        <c:crosses val="autoZero"/>
        <c:auto val="0"/>
        <c:lblAlgn val="ctr"/>
        <c:lblOffset val="0"/>
        <c:tickLblSkip val="1"/>
        <c:tickMarkSkip val="1"/>
        <c:noMultiLvlLbl val="0"/>
      </c:catAx>
      <c:valAx>
        <c:axId val="265836800"/>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834880"/>
        <c:crosses val="autoZero"/>
        <c:crossBetween val="between"/>
      </c:valAx>
      <c:spPr>
        <a:noFill/>
        <a:ln w="12700">
          <a:solidFill>
            <a:srgbClr val="808080"/>
          </a:solidFill>
          <a:prstDash val="solid"/>
        </a:ln>
      </c:spPr>
    </c:plotArea>
    <c:legend>
      <c:legendPos val="r"/>
      <c:layout>
        <c:manualLayout>
          <c:xMode val="edge"/>
          <c:yMode val="edge"/>
          <c:x val="0.20305413895801885"/>
          <c:y val="0.5949515142942462"/>
          <c:w val="0.4144098229087948"/>
          <c:h val="0.12119707214122738"/>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岩沼最終処分場放流水中の</a:t>
            </a:r>
            <a:r>
              <a:rPr lang="en-US" altLang="ja-JP" sz="1200"/>
              <a:t>Cs</a:t>
            </a:r>
            <a:r>
              <a:rPr lang="ja-JP" altLang="en-US" sz="1200"/>
              <a:t>濃度の推移</a:t>
            </a:r>
          </a:p>
        </c:rich>
      </c:tx>
      <c:layout>
        <c:manualLayout>
          <c:xMode val="edge"/>
          <c:yMode val="edge"/>
          <c:x val="0.14359202755905512"/>
          <c:y val="9.3792746709581015E-3"/>
        </c:manualLayout>
      </c:layout>
      <c:overlay val="0"/>
      <c:spPr>
        <a:solidFill>
          <a:srgbClr val="FFFFFF"/>
        </a:solidFill>
        <a:ln w="25400">
          <a:noFill/>
        </a:ln>
      </c:spPr>
    </c:title>
    <c:autoTitleDeleted val="0"/>
    <c:plotArea>
      <c:layout>
        <c:manualLayout>
          <c:layoutTarget val="inner"/>
          <c:xMode val="edge"/>
          <c:yMode val="edge"/>
          <c:x val="5.5747502187365718E-2"/>
          <c:y val="3.4580435208954284E-2"/>
          <c:w val="0.90005973391257132"/>
          <c:h val="0.84516618590992965"/>
        </c:manualLayout>
      </c:layout>
      <c:lineChart>
        <c:grouping val="standard"/>
        <c:varyColors val="0"/>
        <c:ser>
          <c:idx val="3"/>
          <c:order val="0"/>
          <c:tx>
            <c:strRef>
              <c:f>まとめ!$AZ$31</c:f>
              <c:strCache>
                <c:ptCount val="1"/>
                <c:pt idx="0">
                  <c:v>Cs134</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まとめ!$AY$33:$AY$119</c:f>
              <c:numCache>
                <c:formatCode>[$-411]m\.d\.ge</c:formatCode>
                <c:ptCount val="87"/>
                <c:pt idx="0">
                  <c:v>40939</c:v>
                </c:pt>
                <c:pt idx="1">
                  <c:v>40956</c:v>
                </c:pt>
                <c:pt idx="2">
                  <c:v>40977</c:v>
                </c:pt>
                <c:pt idx="3">
                  <c:v>41023</c:v>
                </c:pt>
                <c:pt idx="4">
                  <c:v>41043</c:v>
                </c:pt>
                <c:pt idx="5">
                  <c:v>41078</c:v>
                </c:pt>
                <c:pt idx="6">
                  <c:v>41113</c:v>
                </c:pt>
                <c:pt idx="7">
                  <c:v>41141</c:v>
                </c:pt>
                <c:pt idx="8">
                  <c:v>41162</c:v>
                </c:pt>
                <c:pt idx="9">
                  <c:v>41194</c:v>
                </c:pt>
                <c:pt idx="10">
                  <c:v>41222</c:v>
                </c:pt>
                <c:pt idx="11">
                  <c:v>41246</c:v>
                </c:pt>
                <c:pt idx="12">
                  <c:v>41298</c:v>
                </c:pt>
                <c:pt idx="13">
                  <c:v>41323</c:v>
                </c:pt>
                <c:pt idx="14">
                  <c:v>41337</c:v>
                </c:pt>
                <c:pt idx="15">
                  <c:v>41380</c:v>
                </c:pt>
                <c:pt idx="16">
                  <c:v>41415</c:v>
                </c:pt>
                <c:pt idx="17">
                  <c:v>41443</c:v>
                </c:pt>
                <c:pt idx="18">
                  <c:v>41481</c:v>
                </c:pt>
                <c:pt idx="19">
                  <c:v>41494</c:v>
                </c:pt>
                <c:pt idx="20">
                  <c:v>41536</c:v>
                </c:pt>
                <c:pt idx="21">
                  <c:v>41571</c:v>
                </c:pt>
                <c:pt idx="22">
                  <c:v>41591</c:v>
                </c:pt>
                <c:pt idx="23">
                  <c:v>41627</c:v>
                </c:pt>
                <c:pt idx="24">
                  <c:v>41662</c:v>
                </c:pt>
                <c:pt idx="25">
                  <c:v>41690</c:v>
                </c:pt>
                <c:pt idx="26">
                  <c:v>41711</c:v>
                </c:pt>
                <c:pt idx="27">
                  <c:v>41753</c:v>
                </c:pt>
                <c:pt idx="28">
                  <c:v>41772</c:v>
                </c:pt>
                <c:pt idx="29">
                  <c:v>41800</c:v>
                </c:pt>
                <c:pt idx="30">
                  <c:v>41821</c:v>
                </c:pt>
                <c:pt idx="31">
                  <c:v>41856</c:v>
                </c:pt>
                <c:pt idx="32">
                  <c:v>41884</c:v>
                </c:pt>
                <c:pt idx="33">
                  <c:v>41919</c:v>
                </c:pt>
                <c:pt idx="34">
                  <c:v>41950</c:v>
                </c:pt>
                <c:pt idx="35">
                  <c:v>41975</c:v>
                </c:pt>
                <c:pt idx="36">
                  <c:v>42026</c:v>
                </c:pt>
                <c:pt idx="37">
                  <c:v>42061</c:v>
                </c:pt>
                <c:pt idx="38">
                  <c:v>42082</c:v>
                </c:pt>
                <c:pt idx="39">
                  <c:v>42111</c:v>
                </c:pt>
                <c:pt idx="40">
                  <c:v>42136</c:v>
                </c:pt>
                <c:pt idx="41">
                  <c:v>42171</c:v>
                </c:pt>
                <c:pt idx="42">
                  <c:v>42193</c:v>
                </c:pt>
                <c:pt idx="43">
                  <c:v>42236</c:v>
                </c:pt>
                <c:pt idx="44">
                  <c:v>42263</c:v>
                </c:pt>
                <c:pt idx="45">
                  <c:v>42290</c:v>
                </c:pt>
                <c:pt idx="46">
                  <c:v>42314</c:v>
                </c:pt>
                <c:pt idx="47">
                  <c:v>42347</c:v>
                </c:pt>
                <c:pt idx="48">
                  <c:v>42388</c:v>
                </c:pt>
                <c:pt idx="49">
                  <c:v>42417</c:v>
                </c:pt>
                <c:pt idx="50">
                  <c:v>42431</c:v>
                </c:pt>
                <c:pt idx="51">
                  <c:v>42485</c:v>
                </c:pt>
                <c:pt idx="52">
                  <c:v>42502</c:v>
                </c:pt>
                <c:pt idx="53">
                  <c:v>42530</c:v>
                </c:pt>
                <c:pt idx="54">
                  <c:v>42578</c:v>
                </c:pt>
                <c:pt idx="55">
                  <c:v>42608</c:v>
                </c:pt>
                <c:pt idx="56">
                  <c:v>42621</c:v>
                </c:pt>
                <c:pt idx="57">
                  <c:v>42662</c:v>
                </c:pt>
                <c:pt idx="58">
                  <c:v>42685</c:v>
                </c:pt>
                <c:pt idx="59">
                  <c:v>42719</c:v>
                </c:pt>
                <c:pt idx="60">
                  <c:v>42746</c:v>
                </c:pt>
                <c:pt idx="61">
                  <c:v>42774</c:v>
                </c:pt>
                <c:pt idx="62">
                  <c:v>42803</c:v>
                </c:pt>
                <c:pt idx="63">
                  <c:v>42853</c:v>
                </c:pt>
                <c:pt idx="64">
                  <c:v>42879</c:v>
                </c:pt>
                <c:pt idx="65">
                  <c:v>42914</c:v>
                </c:pt>
                <c:pt idx="66">
                  <c:v>42944</c:v>
                </c:pt>
                <c:pt idx="67">
                  <c:v>42970</c:v>
                </c:pt>
                <c:pt idx="68">
                  <c:v>42991</c:v>
                </c:pt>
                <c:pt idx="69">
                  <c:v>43019</c:v>
                </c:pt>
                <c:pt idx="70">
                  <c:v>43047</c:v>
                </c:pt>
                <c:pt idx="71">
                  <c:v>43094</c:v>
                </c:pt>
                <c:pt idx="72">
                  <c:v>43110</c:v>
                </c:pt>
                <c:pt idx="73">
                  <c:v>43137</c:v>
                </c:pt>
                <c:pt idx="74">
                  <c:v>43166</c:v>
                </c:pt>
                <c:pt idx="75">
                  <c:v>43215</c:v>
                </c:pt>
                <c:pt idx="76">
                  <c:v>43236</c:v>
                </c:pt>
                <c:pt idx="77">
                  <c:v>43264</c:v>
                </c:pt>
                <c:pt idx="78">
                  <c:v>43293</c:v>
                </c:pt>
                <c:pt idx="79">
                  <c:v>43334</c:v>
                </c:pt>
                <c:pt idx="80">
                  <c:v>43369</c:v>
                </c:pt>
                <c:pt idx="81">
                  <c:v>43397</c:v>
                </c:pt>
                <c:pt idx="82">
                  <c:v>43410</c:v>
                </c:pt>
                <c:pt idx="83">
                  <c:v>43453</c:v>
                </c:pt>
                <c:pt idx="84">
                  <c:v>43480</c:v>
                </c:pt>
                <c:pt idx="85">
                  <c:v>43517</c:v>
                </c:pt>
                <c:pt idx="86">
                  <c:v>43530</c:v>
                </c:pt>
              </c:numCache>
            </c:numRef>
          </c:cat>
          <c:val>
            <c:numRef>
              <c:f>まとめ!$AZ$33:$AZ$119</c:f>
              <c:numCache>
                <c:formatCode>General</c:formatCode>
                <c:ptCount val="87"/>
                <c:pt idx="0">
                  <c:v>0</c:v>
                </c:pt>
                <c:pt idx="1">
                  <c:v>0</c:v>
                </c:pt>
                <c:pt idx="2">
                  <c:v>0</c:v>
                </c:pt>
                <c:pt idx="3">
                  <c:v>0</c:v>
                </c:pt>
                <c:pt idx="4">
                  <c:v>0.99</c:v>
                </c:pt>
                <c:pt idx="5">
                  <c:v>2.2999999999999998</c:v>
                </c:pt>
                <c:pt idx="6">
                  <c:v>2.2000000000000002</c:v>
                </c:pt>
                <c:pt idx="7">
                  <c:v>1.8</c:v>
                </c:pt>
                <c:pt idx="8">
                  <c:v>0.78</c:v>
                </c:pt>
                <c:pt idx="9">
                  <c:v>0.5</c:v>
                </c:pt>
                <c:pt idx="10">
                  <c:v>2.6</c:v>
                </c:pt>
                <c:pt idx="11">
                  <c:v>1.9</c:v>
                </c:pt>
                <c:pt idx="12">
                  <c:v>1.5</c:v>
                </c:pt>
                <c:pt idx="13">
                  <c:v>1.7</c:v>
                </c:pt>
                <c:pt idx="14">
                  <c:v>1.3</c:v>
                </c:pt>
                <c:pt idx="15">
                  <c:v>1.5</c:v>
                </c:pt>
                <c:pt idx="16">
                  <c:v>1.4</c:v>
                </c:pt>
                <c:pt idx="17">
                  <c:v>1.3</c:v>
                </c:pt>
                <c:pt idx="18">
                  <c:v>7.2</c:v>
                </c:pt>
                <c:pt idx="19">
                  <c:v>6.1</c:v>
                </c:pt>
                <c:pt idx="20">
                  <c:v>5.3</c:v>
                </c:pt>
                <c:pt idx="21">
                  <c:v>4</c:v>
                </c:pt>
                <c:pt idx="22">
                  <c:v>2</c:v>
                </c:pt>
                <c:pt idx="23">
                  <c:v>2.1</c:v>
                </c:pt>
                <c:pt idx="24">
                  <c:v>2.6</c:v>
                </c:pt>
                <c:pt idx="25">
                  <c:v>2.2999999999999998</c:v>
                </c:pt>
                <c:pt idx="26">
                  <c:v>3.5</c:v>
                </c:pt>
                <c:pt idx="27">
                  <c:v>1.9</c:v>
                </c:pt>
                <c:pt idx="28">
                  <c:v>1.6</c:v>
                </c:pt>
                <c:pt idx="29">
                  <c:v>3.7</c:v>
                </c:pt>
                <c:pt idx="30">
                  <c:v>2.9</c:v>
                </c:pt>
                <c:pt idx="31">
                  <c:v>1.4</c:v>
                </c:pt>
                <c:pt idx="32">
                  <c:v>3.8</c:v>
                </c:pt>
                <c:pt idx="33">
                  <c:v>3.8</c:v>
                </c:pt>
                <c:pt idx="34">
                  <c:v>1.6</c:v>
                </c:pt>
                <c:pt idx="35">
                  <c:v>2.9</c:v>
                </c:pt>
                <c:pt idx="36">
                  <c:v>1.1000000000000001</c:v>
                </c:pt>
                <c:pt idx="37">
                  <c:v>1.6</c:v>
                </c:pt>
                <c:pt idx="38">
                  <c:v>2.4</c:v>
                </c:pt>
                <c:pt idx="39">
                  <c:v>2</c:v>
                </c:pt>
                <c:pt idx="40">
                  <c:v>1.5</c:v>
                </c:pt>
                <c:pt idx="41">
                  <c:v>1.8</c:v>
                </c:pt>
                <c:pt idx="42">
                  <c:v>2.2999999999999998</c:v>
                </c:pt>
                <c:pt idx="43">
                  <c:v>2.7</c:v>
                </c:pt>
                <c:pt idx="44">
                  <c:v>1.8</c:v>
                </c:pt>
                <c:pt idx="45">
                  <c:v>1</c:v>
                </c:pt>
                <c:pt idx="46">
                  <c:v>0.95</c:v>
                </c:pt>
                <c:pt idx="47">
                  <c:v>1.3</c:v>
                </c:pt>
                <c:pt idx="48">
                  <c:v>0.5</c:v>
                </c:pt>
                <c:pt idx="49">
                  <c:v>0.5</c:v>
                </c:pt>
                <c:pt idx="50">
                  <c:v>0.86</c:v>
                </c:pt>
                <c:pt idx="51">
                  <c:v>1.1000000000000001</c:v>
                </c:pt>
                <c:pt idx="52">
                  <c:v>0.5</c:v>
                </c:pt>
                <c:pt idx="53">
                  <c:v>0.5</c:v>
                </c:pt>
                <c:pt idx="54">
                  <c:v>0.5</c:v>
                </c:pt>
                <c:pt idx="55">
                  <c:v>1.5</c:v>
                </c:pt>
                <c:pt idx="56">
                  <c:v>1.3</c:v>
                </c:pt>
                <c:pt idx="57">
                  <c:v>0.85</c:v>
                </c:pt>
                <c:pt idx="58">
                  <c:v>0.43</c:v>
                </c:pt>
                <c:pt idx="59">
                  <c:v>0.43</c:v>
                </c:pt>
                <c:pt idx="60">
                  <c:v>1.1000000000000001</c:v>
                </c:pt>
                <c:pt idx="61">
                  <c:v>0.43</c:v>
                </c:pt>
                <c:pt idx="62">
                  <c:v>0.88</c:v>
                </c:pt>
                <c:pt idx="63">
                  <c:v>1.4</c:v>
                </c:pt>
                <c:pt idx="64">
                  <c:v>1.4</c:v>
                </c:pt>
                <c:pt idx="65">
                  <c:v>0.79</c:v>
                </c:pt>
                <c:pt idx="66">
                  <c:v>1.2</c:v>
                </c:pt>
                <c:pt idx="67">
                  <c:v>1.2</c:v>
                </c:pt>
                <c:pt idx="68">
                  <c:v>0.86</c:v>
                </c:pt>
                <c:pt idx="69">
                  <c:v>0.39</c:v>
                </c:pt>
                <c:pt idx="70">
                  <c:v>0.99</c:v>
                </c:pt>
                <c:pt idx="71">
                  <c:v>0.39</c:v>
                </c:pt>
                <c:pt idx="72">
                  <c:v>0.39</c:v>
                </c:pt>
                <c:pt idx="73">
                  <c:v>0.39</c:v>
                </c:pt>
                <c:pt idx="74">
                  <c:v>0.39</c:v>
                </c:pt>
                <c:pt idx="75">
                  <c:v>0.39</c:v>
                </c:pt>
                <c:pt idx="76">
                  <c:v>0.39</c:v>
                </c:pt>
                <c:pt idx="77">
                  <c:v>0.39</c:v>
                </c:pt>
                <c:pt idx="78">
                  <c:v>0.39</c:v>
                </c:pt>
                <c:pt idx="79">
                  <c:v>0.39</c:v>
                </c:pt>
                <c:pt idx="80">
                  <c:v>0.39</c:v>
                </c:pt>
                <c:pt idx="81">
                  <c:v>0.39</c:v>
                </c:pt>
                <c:pt idx="82">
                  <c:v>0.39</c:v>
                </c:pt>
                <c:pt idx="83">
                  <c:v>0.39</c:v>
                </c:pt>
                <c:pt idx="84">
                  <c:v>0.39</c:v>
                </c:pt>
                <c:pt idx="85">
                  <c:v>0.39</c:v>
                </c:pt>
                <c:pt idx="86">
                  <c:v>0.39</c:v>
                </c:pt>
              </c:numCache>
            </c:numRef>
          </c:val>
          <c:smooth val="0"/>
        </c:ser>
        <c:ser>
          <c:idx val="0"/>
          <c:order val="1"/>
          <c:tx>
            <c:strRef>
              <c:f>まとめ!$BA$31</c:f>
              <c:strCache>
                <c:ptCount val="1"/>
                <c:pt idx="0">
                  <c:v>Cs137</c:v>
                </c:pt>
              </c:strCache>
            </c:strRef>
          </c:tx>
          <c:spPr>
            <a:ln w="0">
              <a:solidFill>
                <a:srgbClr val="7030A0"/>
              </a:solidFill>
              <a:prstDash val="sysDash"/>
            </a:ln>
          </c:spPr>
          <c:marker>
            <c:symbol val="diamond"/>
            <c:size val="6"/>
            <c:spPr>
              <a:noFill/>
              <a:ln>
                <a:solidFill>
                  <a:srgbClr val="7030A0"/>
                </a:solidFill>
              </a:ln>
            </c:spPr>
          </c:marker>
          <c:cat>
            <c:numRef>
              <c:f>まとめ!$AY$33:$AY$119</c:f>
              <c:numCache>
                <c:formatCode>[$-411]m\.d\.ge</c:formatCode>
                <c:ptCount val="87"/>
                <c:pt idx="0">
                  <c:v>40939</c:v>
                </c:pt>
                <c:pt idx="1">
                  <c:v>40956</c:v>
                </c:pt>
                <c:pt idx="2">
                  <c:v>40977</c:v>
                </c:pt>
                <c:pt idx="3">
                  <c:v>41023</c:v>
                </c:pt>
                <c:pt idx="4">
                  <c:v>41043</c:v>
                </c:pt>
                <c:pt idx="5">
                  <c:v>41078</c:v>
                </c:pt>
                <c:pt idx="6">
                  <c:v>41113</c:v>
                </c:pt>
                <c:pt idx="7">
                  <c:v>41141</c:v>
                </c:pt>
                <c:pt idx="8">
                  <c:v>41162</c:v>
                </c:pt>
                <c:pt idx="9">
                  <c:v>41194</c:v>
                </c:pt>
                <c:pt idx="10">
                  <c:v>41222</c:v>
                </c:pt>
                <c:pt idx="11">
                  <c:v>41246</c:v>
                </c:pt>
                <c:pt idx="12">
                  <c:v>41298</c:v>
                </c:pt>
                <c:pt idx="13">
                  <c:v>41323</c:v>
                </c:pt>
                <c:pt idx="14">
                  <c:v>41337</c:v>
                </c:pt>
                <c:pt idx="15">
                  <c:v>41380</c:v>
                </c:pt>
                <c:pt idx="16">
                  <c:v>41415</c:v>
                </c:pt>
                <c:pt idx="17">
                  <c:v>41443</c:v>
                </c:pt>
                <c:pt idx="18">
                  <c:v>41481</c:v>
                </c:pt>
                <c:pt idx="19">
                  <c:v>41494</c:v>
                </c:pt>
                <c:pt idx="20">
                  <c:v>41536</c:v>
                </c:pt>
                <c:pt idx="21">
                  <c:v>41571</c:v>
                </c:pt>
                <c:pt idx="22">
                  <c:v>41591</c:v>
                </c:pt>
                <c:pt idx="23">
                  <c:v>41627</c:v>
                </c:pt>
                <c:pt idx="24">
                  <c:v>41662</c:v>
                </c:pt>
                <c:pt idx="25">
                  <c:v>41690</c:v>
                </c:pt>
                <c:pt idx="26">
                  <c:v>41711</c:v>
                </c:pt>
                <c:pt idx="27">
                  <c:v>41753</c:v>
                </c:pt>
                <c:pt idx="28">
                  <c:v>41772</c:v>
                </c:pt>
                <c:pt idx="29">
                  <c:v>41800</c:v>
                </c:pt>
                <c:pt idx="30">
                  <c:v>41821</c:v>
                </c:pt>
                <c:pt idx="31">
                  <c:v>41856</c:v>
                </c:pt>
                <c:pt idx="32">
                  <c:v>41884</c:v>
                </c:pt>
                <c:pt idx="33">
                  <c:v>41919</c:v>
                </c:pt>
                <c:pt idx="34">
                  <c:v>41950</c:v>
                </c:pt>
                <c:pt idx="35">
                  <c:v>41975</c:v>
                </c:pt>
                <c:pt idx="36">
                  <c:v>42026</c:v>
                </c:pt>
                <c:pt idx="37">
                  <c:v>42061</c:v>
                </c:pt>
                <c:pt idx="38">
                  <c:v>42082</c:v>
                </c:pt>
                <c:pt idx="39">
                  <c:v>42111</c:v>
                </c:pt>
                <c:pt idx="40">
                  <c:v>42136</c:v>
                </c:pt>
                <c:pt idx="41">
                  <c:v>42171</c:v>
                </c:pt>
                <c:pt idx="42">
                  <c:v>42193</c:v>
                </c:pt>
                <c:pt idx="43">
                  <c:v>42236</c:v>
                </c:pt>
                <c:pt idx="44">
                  <c:v>42263</c:v>
                </c:pt>
                <c:pt idx="45">
                  <c:v>42290</c:v>
                </c:pt>
                <c:pt idx="46">
                  <c:v>42314</c:v>
                </c:pt>
                <c:pt idx="47">
                  <c:v>42347</c:v>
                </c:pt>
                <c:pt idx="48">
                  <c:v>42388</c:v>
                </c:pt>
                <c:pt idx="49">
                  <c:v>42417</c:v>
                </c:pt>
                <c:pt idx="50">
                  <c:v>42431</c:v>
                </c:pt>
                <c:pt idx="51">
                  <c:v>42485</c:v>
                </c:pt>
                <c:pt idx="52">
                  <c:v>42502</c:v>
                </c:pt>
                <c:pt idx="53">
                  <c:v>42530</c:v>
                </c:pt>
                <c:pt idx="54">
                  <c:v>42578</c:v>
                </c:pt>
                <c:pt idx="55">
                  <c:v>42608</c:v>
                </c:pt>
                <c:pt idx="56">
                  <c:v>42621</c:v>
                </c:pt>
                <c:pt idx="57">
                  <c:v>42662</c:v>
                </c:pt>
                <c:pt idx="58">
                  <c:v>42685</c:v>
                </c:pt>
                <c:pt idx="59">
                  <c:v>42719</c:v>
                </c:pt>
                <c:pt idx="60">
                  <c:v>42746</c:v>
                </c:pt>
                <c:pt idx="61">
                  <c:v>42774</c:v>
                </c:pt>
                <c:pt idx="62">
                  <c:v>42803</c:v>
                </c:pt>
                <c:pt idx="63">
                  <c:v>42853</c:v>
                </c:pt>
                <c:pt idx="64">
                  <c:v>42879</c:v>
                </c:pt>
                <c:pt idx="65">
                  <c:v>42914</c:v>
                </c:pt>
                <c:pt idx="66">
                  <c:v>42944</c:v>
                </c:pt>
                <c:pt idx="67">
                  <c:v>42970</c:v>
                </c:pt>
                <c:pt idx="68">
                  <c:v>42991</c:v>
                </c:pt>
                <c:pt idx="69">
                  <c:v>43019</c:v>
                </c:pt>
                <c:pt idx="70">
                  <c:v>43047</c:v>
                </c:pt>
                <c:pt idx="71">
                  <c:v>43094</c:v>
                </c:pt>
                <c:pt idx="72">
                  <c:v>43110</c:v>
                </c:pt>
                <c:pt idx="73">
                  <c:v>43137</c:v>
                </c:pt>
                <c:pt idx="74">
                  <c:v>43166</c:v>
                </c:pt>
                <c:pt idx="75">
                  <c:v>43215</c:v>
                </c:pt>
                <c:pt idx="76">
                  <c:v>43236</c:v>
                </c:pt>
                <c:pt idx="77">
                  <c:v>43264</c:v>
                </c:pt>
                <c:pt idx="78">
                  <c:v>43293</c:v>
                </c:pt>
                <c:pt idx="79">
                  <c:v>43334</c:v>
                </c:pt>
                <c:pt idx="80">
                  <c:v>43369</c:v>
                </c:pt>
                <c:pt idx="81">
                  <c:v>43397</c:v>
                </c:pt>
                <c:pt idx="82">
                  <c:v>43410</c:v>
                </c:pt>
                <c:pt idx="83">
                  <c:v>43453</c:v>
                </c:pt>
                <c:pt idx="84">
                  <c:v>43480</c:v>
                </c:pt>
                <c:pt idx="85">
                  <c:v>43517</c:v>
                </c:pt>
                <c:pt idx="86">
                  <c:v>43530</c:v>
                </c:pt>
              </c:numCache>
            </c:numRef>
          </c:cat>
          <c:val>
            <c:numRef>
              <c:f>まとめ!$BA$33:$BA$119</c:f>
              <c:numCache>
                <c:formatCode>General</c:formatCode>
                <c:ptCount val="87"/>
                <c:pt idx="0">
                  <c:v>0</c:v>
                </c:pt>
                <c:pt idx="1">
                  <c:v>0</c:v>
                </c:pt>
                <c:pt idx="2">
                  <c:v>0</c:v>
                </c:pt>
                <c:pt idx="3">
                  <c:v>0</c:v>
                </c:pt>
                <c:pt idx="4">
                  <c:v>1.2</c:v>
                </c:pt>
                <c:pt idx="5">
                  <c:v>3.6</c:v>
                </c:pt>
                <c:pt idx="6">
                  <c:v>3.8</c:v>
                </c:pt>
                <c:pt idx="7">
                  <c:v>3.4</c:v>
                </c:pt>
                <c:pt idx="8">
                  <c:v>2.8</c:v>
                </c:pt>
                <c:pt idx="9">
                  <c:v>0.6</c:v>
                </c:pt>
                <c:pt idx="10">
                  <c:v>4.5999999999999996</c:v>
                </c:pt>
                <c:pt idx="11">
                  <c:v>4.0999999999999996</c:v>
                </c:pt>
                <c:pt idx="12">
                  <c:v>2.9</c:v>
                </c:pt>
                <c:pt idx="13">
                  <c:v>3.2</c:v>
                </c:pt>
                <c:pt idx="14">
                  <c:v>3.1</c:v>
                </c:pt>
                <c:pt idx="15">
                  <c:v>3.3</c:v>
                </c:pt>
                <c:pt idx="16">
                  <c:v>3.2</c:v>
                </c:pt>
                <c:pt idx="17">
                  <c:v>3.3</c:v>
                </c:pt>
                <c:pt idx="18">
                  <c:v>16</c:v>
                </c:pt>
                <c:pt idx="19">
                  <c:v>15</c:v>
                </c:pt>
                <c:pt idx="20">
                  <c:v>14</c:v>
                </c:pt>
                <c:pt idx="21">
                  <c:v>9.1999999999999993</c:v>
                </c:pt>
                <c:pt idx="22">
                  <c:v>6.7</c:v>
                </c:pt>
                <c:pt idx="23">
                  <c:v>4.9000000000000004</c:v>
                </c:pt>
                <c:pt idx="24">
                  <c:v>7.8</c:v>
                </c:pt>
                <c:pt idx="25">
                  <c:v>5.3</c:v>
                </c:pt>
                <c:pt idx="26">
                  <c:v>8.6999999999999993</c:v>
                </c:pt>
                <c:pt idx="27">
                  <c:v>4.4000000000000004</c:v>
                </c:pt>
                <c:pt idx="28">
                  <c:v>4.5999999999999996</c:v>
                </c:pt>
                <c:pt idx="29">
                  <c:v>10</c:v>
                </c:pt>
                <c:pt idx="30">
                  <c:v>8.4</c:v>
                </c:pt>
                <c:pt idx="31">
                  <c:v>5.0999999999999996</c:v>
                </c:pt>
                <c:pt idx="32">
                  <c:v>13</c:v>
                </c:pt>
                <c:pt idx="33">
                  <c:v>12</c:v>
                </c:pt>
                <c:pt idx="34">
                  <c:v>4.4000000000000004</c:v>
                </c:pt>
                <c:pt idx="35">
                  <c:v>9.3000000000000007</c:v>
                </c:pt>
                <c:pt idx="36">
                  <c:v>7.4</c:v>
                </c:pt>
                <c:pt idx="37">
                  <c:v>5.9</c:v>
                </c:pt>
                <c:pt idx="38">
                  <c:v>8.1</c:v>
                </c:pt>
                <c:pt idx="39">
                  <c:v>8</c:v>
                </c:pt>
                <c:pt idx="40">
                  <c:v>4.2</c:v>
                </c:pt>
                <c:pt idx="41">
                  <c:v>8.6999999999999993</c:v>
                </c:pt>
                <c:pt idx="42">
                  <c:v>10</c:v>
                </c:pt>
                <c:pt idx="43">
                  <c:v>12</c:v>
                </c:pt>
                <c:pt idx="44">
                  <c:v>8.6</c:v>
                </c:pt>
                <c:pt idx="45">
                  <c:v>4.2</c:v>
                </c:pt>
                <c:pt idx="46">
                  <c:v>4.0999999999999996</c:v>
                </c:pt>
                <c:pt idx="47">
                  <c:v>5.4</c:v>
                </c:pt>
                <c:pt idx="48">
                  <c:v>2.5</c:v>
                </c:pt>
                <c:pt idx="49">
                  <c:v>0.6</c:v>
                </c:pt>
                <c:pt idx="50">
                  <c:v>4.3</c:v>
                </c:pt>
                <c:pt idx="51">
                  <c:v>6.6</c:v>
                </c:pt>
                <c:pt idx="52">
                  <c:v>0.6</c:v>
                </c:pt>
                <c:pt idx="53">
                  <c:v>4.3</c:v>
                </c:pt>
                <c:pt idx="54">
                  <c:v>3.3</c:v>
                </c:pt>
                <c:pt idx="55">
                  <c:v>9.1</c:v>
                </c:pt>
                <c:pt idx="56">
                  <c:v>7.8</c:v>
                </c:pt>
                <c:pt idx="57">
                  <c:v>5.0999999999999996</c:v>
                </c:pt>
                <c:pt idx="58">
                  <c:v>5.2</c:v>
                </c:pt>
                <c:pt idx="59">
                  <c:v>5.5</c:v>
                </c:pt>
                <c:pt idx="60">
                  <c:v>6.4</c:v>
                </c:pt>
                <c:pt idx="61">
                  <c:v>5.6</c:v>
                </c:pt>
                <c:pt idx="62">
                  <c:v>6.6</c:v>
                </c:pt>
                <c:pt idx="63">
                  <c:v>9.6999999999999993</c:v>
                </c:pt>
                <c:pt idx="64">
                  <c:v>12</c:v>
                </c:pt>
                <c:pt idx="65">
                  <c:v>7.9</c:v>
                </c:pt>
                <c:pt idx="66">
                  <c:v>14</c:v>
                </c:pt>
                <c:pt idx="67">
                  <c:v>11</c:v>
                </c:pt>
                <c:pt idx="68">
                  <c:v>7.4</c:v>
                </c:pt>
                <c:pt idx="69">
                  <c:v>7.2</c:v>
                </c:pt>
                <c:pt idx="70">
                  <c:v>7.7</c:v>
                </c:pt>
                <c:pt idx="71">
                  <c:v>6.2</c:v>
                </c:pt>
                <c:pt idx="72">
                  <c:v>6.6</c:v>
                </c:pt>
                <c:pt idx="73">
                  <c:v>0.6</c:v>
                </c:pt>
                <c:pt idx="74">
                  <c:v>0.6</c:v>
                </c:pt>
                <c:pt idx="75">
                  <c:v>7</c:v>
                </c:pt>
                <c:pt idx="76">
                  <c:v>7.6</c:v>
                </c:pt>
                <c:pt idx="77">
                  <c:v>8.1999999999999993</c:v>
                </c:pt>
                <c:pt idx="78">
                  <c:v>8</c:v>
                </c:pt>
                <c:pt idx="79">
                  <c:v>6.4</c:v>
                </c:pt>
                <c:pt idx="80">
                  <c:v>5.5</c:v>
                </c:pt>
                <c:pt idx="81">
                  <c:v>3.5</c:v>
                </c:pt>
                <c:pt idx="82">
                  <c:v>0.6</c:v>
                </c:pt>
                <c:pt idx="83">
                  <c:v>5.7</c:v>
                </c:pt>
                <c:pt idx="84">
                  <c:v>7.3</c:v>
                </c:pt>
                <c:pt idx="85">
                  <c:v>6.4</c:v>
                </c:pt>
                <c:pt idx="86">
                  <c:v>7.1</c:v>
                </c:pt>
              </c:numCache>
            </c:numRef>
          </c:val>
          <c:smooth val="0"/>
        </c:ser>
        <c:dLbls>
          <c:showLegendKey val="0"/>
          <c:showVal val="0"/>
          <c:showCatName val="0"/>
          <c:showSerName val="0"/>
          <c:showPercent val="0"/>
          <c:showBubbleSize val="0"/>
        </c:dLbls>
        <c:marker val="1"/>
        <c:smooth val="0"/>
        <c:axId val="264962816"/>
        <c:axId val="264964352"/>
      </c:lineChart>
      <c:dateAx>
        <c:axId val="264962816"/>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4964352"/>
        <c:crossesAt val="1E-3"/>
        <c:auto val="0"/>
        <c:lblOffset val="100"/>
        <c:baseTimeUnit val="days"/>
        <c:majorUnit val="6"/>
        <c:majorTimeUnit val="months"/>
        <c:minorUnit val="2"/>
      </c:dateAx>
      <c:valAx>
        <c:axId val="264964352"/>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Bq/L</a:t>
                </a:r>
                <a:endParaRPr lang="ja-JP" altLang="en-US" sz="900">
                  <a:latin typeface="Meiryo UI" panose="020B0604030504040204" pitchFamily="50" charset="-128"/>
                  <a:ea typeface="Meiryo UI" panose="020B0604030504040204" pitchFamily="50" charset="-128"/>
                </a:endParaRPr>
              </a:p>
            </c:rich>
          </c:tx>
          <c:layout>
            <c:manualLayout>
              <c:xMode val="edge"/>
              <c:yMode val="edge"/>
              <c:x val="4.1331938976377949E-2"/>
              <c:y val="0.21682187799398128"/>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4962816"/>
        <c:crosses val="autoZero"/>
        <c:crossBetween val="midCat"/>
      </c:valAx>
      <c:spPr>
        <a:solidFill>
          <a:srgbClr val="FFFFFF"/>
        </a:solidFill>
        <a:ln w="12700">
          <a:solidFill>
            <a:srgbClr val="808080"/>
          </a:solidFill>
          <a:prstDash val="solid"/>
        </a:ln>
      </c:spPr>
    </c:plotArea>
    <c:legend>
      <c:legendPos val="r"/>
      <c:layout>
        <c:manualLayout>
          <c:xMode val="edge"/>
          <c:yMode val="edge"/>
          <c:x val="0.46138607283464567"/>
          <c:y val="0.10983619748261395"/>
          <c:w val="0.45893971456692917"/>
          <c:h val="6.0823610552330584E-2"/>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ばいじん</a:t>
            </a:r>
            <a:r>
              <a:rPr lang="en-US" altLang="ja-JP" sz="1200"/>
              <a:t>(</a:t>
            </a:r>
            <a:r>
              <a:rPr lang="ja-JP" altLang="en-US" sz="1200"/>
              <a:t>飛灰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9.8860927655954042E-2"/>
          <c:y val="4.7208479709267108E-2"/>
          <c:w val="0.87653066094010978"/>
          <c:h val="0.82039903089036947"/>
        </c:manualLayout>
      </c:layout>
      <c:lineChart>
        <c:grouping val="standard"/>
        <c:varyColors val="0"/>
        <c:ser>
          <c:idx val="3"/>
          <c:order val="0"/>
          <c:tx>
            <c:strRef>
              <c:f>まとめ!$V$29:$V$30</c:f>
              <c:strCache>
                <c:ptCount val="1"/>
                <c:pt idx="0">
                  <c:v>岩沼東部環境センター ぱいじん(飛灰)</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まとめ!$V$33:$V$119</c:f>
              <c:numCache>
                <c:formatCode>General</c:formatCode>
                <c:ptCount val="87"/>
                <c:pt idx="0">
                  <c:v>250</c:v>
                </c:pt>
                <c:pt idx="1">
                  <c:v>1870</c:v>
                </c:pt>
                <c:pt idx="2">
                  <c:v>1470</c:v>
                </c:pt>
                <c:pt idx="3">
                  <c:v>1880</c:v>
                </c:pt>
                <c:pt idx="4">
                  <c:v>2000</c:v>
                </c:pt>
                <c:pt idx="5">
                  <c:v>1680</c:v>
                </c:pt>
                <c:pt idx="6">
                  <c:v>1470</c:v>
                </c:pt>
                <c:pt idx="7">
                  <c:v>1590</c:v>
                </c:pt>
                <c:pt idx="8">
                  <c:v>1030</c:v>
                </c:pt>
                <c:pt idx="9">
                  <c:v>950</c:v>
                </c:pt>
                <c:pt idx="10">
                  <c:v>440</c:v>
                </c:pt>
                <c:pt idx="11">
                  <c:v>680</c:v>
                </c:pt>
                <c:pt idx="12">
                  <c:v>198</c:v>
                </c:pt>
                <c:pt idx="13">
                  <c:v>280</c:v>
                </c:pt>
                <c:pt idx="14">
                  <c:v>550</c:v>
                </c:pt>
                <c:pt idx="15">
                  <c:v>760</c:v>
                </c:pt>
                <c:pt idx="16">
                  <c:v>930</c:v>
                </c:pt>
                <c:pt idx="17">
                  <c:v>1100</c:v>
                </c:pt>
                <c:pt idx="18">
                  <c:v>860</c:v>
                </c:pt>
                <c:pt idx="19">
                  <c:v>720</c:v>
                </c:pt>
                <c:pt idx="20">
                  <c:v>500</c:v>
                </c:pt>
                <c:pt idx="21">
                  <c:v>670</c:v>
                </c:pt>
                <c:pt idx="22">
                  <c:v>380</c:v>
                </c:pt>
                <c:pt idx="23">
                  <c:v>326</c:v>
                </c:pt>
                <c:pt idx="24">
                  <c:v>264</c:v>
                </c:pt>
                <c:pt idx="25">
                  <c:v>203</c:v>
                </c:pt>
                <c:pt idx="26">
                  <c:v>290</c:v>
                </c:pt>
                <c:pt idx="27">
                  <c:v>410</c:v>
                </c:pt>
                <c:pt idx="28">
                  <c:v>710</c:v>
                </c:pt>
                <c:pt idx="29">
                  <c:v>540</c:v>
                </c:pt>
                <c:pt idx="30">
                  <c:v>216</c:v>
                </c:pt>
                <c:pt idx="31">
                  <c:v>400</c:v>
                </c:pt>
                <c:pt idx="32">
                  <c:v>420</c:v>
                </c:pt>
                <c:pt idx="33">
                  <c:v>321</c:v>
                </c:pt>
                <c:pt idx="34">
                  <c:v>348</c:v>
                </c:pt>
                <c:pt idx="35">
                  <c:v>184</c:v>
                </c:pt>
                <c:pt idx="36">
                  <c:v>183</c:v>
                </c:pt>
                <c:pt idx="37">
                  <c:v>250</c:v>
                </c:pt>
                <c:pt idx="38">
                  <c:v>151</c:v>
                </c:pt>
                <c:pt idx="39">
                  <c:v>276</c:v>
                </c:pt>
                <c:pt idx="40">
                  <c:v>570</c:v>
                </c:pt>
                <c:pt idx="41">
                  <c:v>304</c:v>
                </c:pt>
                <c:pt idx="42">
                  <c:v>224</c:v>
                </c:pt>
                <c:pt idx="43">
                  <c:v>175</c:v>
                </c:pt>
                <c:pt idx="44">
                  <c:v>149</c:v>
                </c:pt>
                <c:pt idx="45">
                  <c:v>220</c:v>
                </c:pt>
                <c:pt idx="46">
                  <c:v>135</c:v>
                </c:pt>
                <c:pt idx="47">
                  <c:v>162</c:v>
                </c:pt>
                <c:pt idx="48">
                  <c:v>63</c:v>
                </c:pt>
                <c:pt idx="49">
                  <c:v>205</c:v>
                </c:pt>
                <c:pt idx="50">
                  <c:v>362</c:v>
                </c:pt>
                <c:pt idx="51">
                  <c:v>540</c:v>
                </c:pt>
                <c:pt idx="52">
                  <c:v>680</c:v>
                </c:pt>
                <c:pt idx="53">
                  <c:v>670</c:v>
                </c:pt>
                <c:pt idx="54">
                  <c:v>463</c:v>
                </c:pt>
                <c:pt idx="55">
                  <c:v>554</c:v>
                </c:pt>
                <c:pt idx="56">
                  <c:v>920</c:v>
                </c:pt>
                <c:pt idx="57">
                  <c:v>553</c:v>
                </c:pt>
                <c:pt idx="58">
                  <c:v>428</c:v>
                </c:pt>
                <c:pt idx="59">
                  <c:v>451</c:v>
                </c:pt>
                <c:pt idx="60">
                  <c:v>301</c:v>
                </c:pt>
                <c:pt idx="61">
                  <c:v>184</c:v>
                </c:pt>
                <c:pt idx="62">
                  <c:v>266</c:v>
                </c:pt>
                <c:pt idx="63">
                  <c:v>333</c:v>
                </c:pt>
                <c:pt idx="64">
                  <c:v>388</c:v>
                </c:pt>
                <c:pt idx="65">
                  <c:v>478</c:v>
                </c:pt>
                <c:pt idx="66">
                  <c:v>496</c:v>
                </c:pt>
                <c:pt idx="67">
                  <c:v>353</c:v>
                </c:pt>
                <c:pt idx="68">
                  <c:v>281</c:v>
                </c:pt>
                <c:pt idx="69">
                  <c:v>412</c:v>
                </c:pt>
                <c:pt idx="70">
                  <c:v>350</c:v>
                </c:pt>
                <c:pt idx="71">
                  <c:v>271</c:v>
                </c:pt>
                <c:pt idx="72">
                  <c:v>187</c:v>
                </c:pt>
                <c:pt idx="73">
                  <c:v>80.400000000000006</c:v>
                </c:pt>
                <c:pt idx="74">
                  <c:v>132</c:v>
                </c:pt>
                <c:pt idx="75">
                  <c:v>319</c:v>
                </c:pt>
                <c:pt idx="76">
                  <c:v>407</c:v>
                </c:pt>
                <c:pt idx="77">
                  <c:v>299</c:v>
                </c:pt>
                <c:pt idx="78">
                  <c:v>340</c:v>
                </c:pt>
                <c:pt idx="79">
                  <c:v>339</c:v>
                </c:pt>
                <c:pt idx="80">
                  <c:v>286</c:v>
                </c:pt>
                <c:pt idx="81">
                  <c:v>295</c:v>
                </c:pt>
                <c:pt idx="82">
                  <c:v>252</c:v>
                </c:pt>
                <c:pt idx="83">
                  <c:v>141</c:v>
                </c:pt>
                <c:pt idx="84">
                  <c:v>106.3</c:v>
                </c:pt>
                <c:pt idx="85">
                  <c:v>104.5</c:v>
                </c:pt>
                <c:pt idx="86">
                  <c:v>143</c:v>
                </c:pt>
              </c:numCache>
            </c:numRef>
          </c:val>
          <c:smooth val="0"/>
        </c:ser>
        <c:ser>
          <c:idx val="11"/>
          <c:order val="1"/>
          <c:tx>
            <c:strRef>
              <c:f>まとめ!$AC$29:$AC$30</c:f>
              <c:strCache>
                <c:ptCount val="1"/>
                <c:pt idx="0">
                  <c:v>名取クリーンセンター ばいじん(飛灰)</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まとめ!$AC$33:$AC$119</c:f>
              <c:numCache>
                <c:formatCode>General</c:formatCode>
                <c:ptCount val="87"/>
                <c:pt idx="0">
                  <c:v>250</c:v>
                </c:pt>
                <c:pt idx="1">
                  <c:v>1870</c:v>
                </c:pt>
                <c:pt idx="2">
                  <c:v>1470</c:v>
                </c:pt>
                <c:pt idx="3">
                  <c:v>1880</c:v>
                </c:pt>
                <c:pt idx="4">
                  <c:v>2000</c:v>
                </c:pt>
                <c:pt idx="5">
                  <c:v>1680</c:v>
                </c:pt>
                <c:pt idx="6">
                  <c:v>1470</c:v>
                </c:pt>
                <c:pt idx="7">
                  <c:v>1590</c:v>
                </c:pt>
                <c:pt idx="8">
                  <c:v>1030</c:v>
                </c:pt>
                <c:pt idx="9">
                  <c:v>950</c:v>
                </c:pt>
                <c:pt idx="10">
                  <c:v>440</c:v>
                </c:pt>
                <c:pt idx="11">
                  <c:v>680</c:v>
                </c:pt>
                <c:pt idx="12">
                  <c:v>198</c:v>
                </c:pt>
                <c:pt idx="13">
                  <c:v>280</c:v>
                </c:pt>
                <c:pt idx="14">
                  <c:v>550</c:v>
                </c:pt>
                <c:pt idx="15">
                  <c:v>760</c:v>
                </c:pt>
                <c:pt idx="16">
                  <c:v>930</c:v>
                </c:pt>
                <c:pt idx="17">
                  <c:v>1100</c:v>
                </c:pt>
                <c:pt idx="18">
                  <c:v>860</c:v>
                </c:pt>
                <c:pt idx="19">
                  <c:v>720</c:v>
                </c:pt>
                <c:pt idx="20">
                  <c:v>500</c:v>
                </c:pt>
                <c:pt idx="21">
                  <c:v>670</c:v>
                </c:pt>
                <c:pt idx="22">
                  <c:v>380</c:v>
                </c:pt>
                <c:pt idx="23">
                  <c:v>326</c:v>
                </c:pt>
                <c:pt idx="24">
                  <c:v>264</c:v>
                </c:pt>
                <c:pt idx="25">
                  <c:v>203</c:v>
                </c:pt>
                <c:pt idx="26">
                  <c:v>290</c:v>
                </c:pt>
                <c:pt idx="27">
                  <c:v>410</c:v>
                </c:pt>
                <c:pt idx="28">
                  <c:v>710</c:v>
                </c:pt>
                <c:pt idx="29">
                  <c:v>540</c:v>
                </c:pt>
                <c:pt idx="30">
                  <c:v>216</c:v>
                </c:pt>
                <c:pt idx="31">
                  <c:v>400</c:v>
                </c:pt>
                <c:pt idx="32">
                  <c:v>420</c:v>
                </c:pt>
                <c:pt idx="33">
                  <c:v>321</c:v>
                </c:pt>
                <c:pt idx="34">
                  <c:v>348</c:v>
                </c:pt>
                <c:pt idx="35">
                  <c:v>184</c:v>
                </c:pt>
                <c:pt idx="36">
                  <c:v>183</c:v>
                </c:pt>
                <c:pt idx="37">
                  <c:v>250</c:v>
                </c:pt>
                <c:pt idx="38">
                  <c:v>151</c:v>
                </c:pt>
                <c:pt idx="39">
                  <c:v>276</c:v>
                </c:pt>
                <c:pt idx="40">
                  <c:v>570</c:v>
                </c:pt>
                <c:pt idx="41">
                  <c:v>304</c:v>
                </c:pt>
                <c:pt idx="42">
                  <c:v>224</c:v>
                </c:pt>
                <c:pt idx="43">
                  <c:v>175</c:v>
                </c:pt>
                <c:pt idx="44">
                  <c:v>149</c:v>
                </c:pt>
                <c:pt idx="45">
                  <c:v>220</c:v>
                </c:pt>
                <c:pt idx="46">
                  <c:v>135</c:v>
                </c:pt>
                <c:pt idx="47">
                  <c:v>162</c:v>
                </c:pt>
                <c:pt idx="48">
                  <c:v>97</c:v>
                </c:pt>
              </c:numCache>
            </c:numRef>
          </c:val>
          <c:smooth val="0"/>
        </c:ser>
        <c:ser>
          <c:idx val="1"/>
          <c:order val="2"/>
          <c:tx>
            <c:strRef>
              <c:f>まとめ!$AK$29:$AK$30</c:f>
              <c:strCache>
                <c:ptCount val="1"/>
                <c:pt idx="0">
                  <c:v>亘理清掃センター ぱいじん(飛灰)</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まとめ!$AK$33:$AK$119</c:f>
              <c:numCache>
                <c:formatCode>General</c:formatCode>
                <c:ptCount val="87"/>
                <c:pt idx="6">
                  <c:v>2140</c:v>
                </c:pt>
                <c:pt idx="7">
                  <c:v>1570</c:v>
                </c:pt>
                <c:pt idx="8">
                  <c:v>1350</c:v>
                </c:pt>
                <c:pt idx="9">
                  <c:v>1410</c:v>
                </c:pt>
                <c:pt idx="10">
                  <c:v>1450</c:v>
                </c:pt>
                <c:pt idx="11">
                  <c:v>1370</c:v>
                </c:pt>
                <c:pt idx="12">
                  <c:v>510</c:v>
                </c:pt>
                <c:pt idx="13">
                  <c:v>620</c:v>
                </c:pt>
                <c:pt idx="14">
                  <c:v>840</c:v>
                </c:pt>
                <c:pt idx="15">
                  <c:v>1530</c:v>
                </c:pt>
                <c:pt idx="16">
                  <c:v>1760</c:v>
                </c:pt>
                <c:pt idx="17">
                  <c:v>1270</c:v>
                </c:pt>
                <c:pt idx="18">
                  <c:v>1090</c:v>
                </c:pt>
                <c:pt idx="19">
                  <c:v>1220</c:v>
                </c:pt>
                <c:pt idx="20">
                  <c:v>760</c:v>
                </c:pt>
                <c:pt idx="21">
                  <c:v>580</c:v>
                </c:pt>
                <c:pt idx="22">
                  <c:v>1120</c:v>
                </c:pt>
                <c:pt idx="23">
                  <c:v>650</c:v>
                </c:pt>
                <c:pt idx="24">
                  <c:v>370</c:v>
                </c:pt>
                <c:pt idx="25">
                  <c:v>312</c:v>
                </c:pt>
                <c:pt idx="26">
                  <c:v>350</c:v>
                </c:pt>
                <c:pt idx="27">
                  <c:v>700</c:v>
                </c:pt>
                <c:pt idx="28">
                  <c:v>970</c:v>
                </c:pt>
                <c:pt idx="29">
                  <c:v>800</c:v>
                </c:pt>
                <c:pt idx="30">
                  <c:v>580</c:v>
                </c:pt>
                <c:pt idx="31">
                  <c:v>580</c:v>
                </c:pt>
                <c:pt idx="32">
                  <c:v>500</c:v>
                </c:pt>
                <c:pt idx="33">
                  <c:v>590</c:v>
                </c:pt>
                <c:pt idx="34">
                  <c:v>590</c:v>
                </c:pt>
                <c:pt idx="35">
                  <c:v>305</c:v>
                </c:pt>
                <c:pt idx="36">
                  <c:v>510</c:v>
                </c:pt>
                <c:pt idx="37">
                  <c:v>195</c:v>
                </c:pt>
                <c:pt idx="38">
                  <c:v>293</c:v>
                </c:pt>
                <c:pt idx="39">
                  <c:v>510</c:v>
                </c:pt>
                <c:pt idx="40">
                  <c:v>550</c:v>
                </c:pt>
                <c:pt idx="41">
                  <c:v>540</c:v>
                </c:pt>
                <c:pt idx="42">
                  <c:v>497</c:v>
                </c:pt>
                <c:pt idx="43">
                  <c:v>312</c:v>
                </c:pt>
                <c:pt idx="44">
                  <c:v>406</c:v>
                </c:pt>
                <c:pt idx="45">
                  <c:v>344</c:v>
                </c:pt>
                <c:pt idx="46">
                  <c:v>311</c:v>
                </c:pt>
                <c:pt idx="47">
                  <c:v>293</c:v>
                </c:pt>
                <c:pt idx="48">
                  <c:v>174</c:v>
                </c:pt>
                <c:pt idx="49">
                  <c:v>314</c:v>
                </c:pt>
                <c:pt idx="50">
                  <c:v>336</c:v>
                </c:pt>
              </c:numCache>
            </c:numRef>
          </c:val>
          <c:smooth val="0"/>
        </c:ser>
        <c:dLbls>
          <c:showLegendKey val="0"/>
          <c:showVal val="0"/>
          <c:showCatName val="0"/>
          <c:showSerName val="0"/>
          <c:showPercent val="0"/>
          <c:showBubbleSize val="0"/>
        </c:dLbls>
        <c:marker val="1"/>
        <c:smooth val="0"/>
        <c:axId val="265028736"/>
        <c:axId val="265039872"/>
      </c:lineChart>
      <c:dateAx>
        <c:axId val="265028736"/>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039872"/>
        <c:crossesAt val="1E-3"/>
        <c:auto val="0"/>
        <c:lblOffset val="100"/>
        <c:baseTimeUnit val="days"/>
        <c:majorUnit val="6"/>
        <c:majorTimeUnit val="months"/>
        <c:minorUnit val="2"/>
      </c:dateAx>
      <c:valAx>
        <c:axId val="265039872"/>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5028736"/>
        <c:crosses val="autoZero"/>
        <c:crossBetween val="midCat"/>
      </c:valAx>
      <c:spPr>
        <a:solidFill>
          <a:srgbClr val="FFFFFF"/>
        </a:solidFill>
        <a:ln w="12700">
          <a:solidFill>
            <a:srgbClr val="808080"/>
          </a:solidFill>
          <a:prstDash val="solid"/>
        </a:ln>
      </c:spPr>
    </c:plotArea>
    <c:legend>
      <c:legendPos val="r"/>
      <c:layout>
        <c:manualLayout>
          <c:xMode val="edge"/>
          <c:yMode val="edge"/>
          <c:x val="0.37960835020197786"/>
          <c:y val="0.12166120656812317"/>
          <c:w val="0.4390561881916516"/>
          <c:h val="0.15607391873870524"/>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焼却灰</a:t>
            </a:r>
            <a:r>
              <a:rPr lang="en-US" altLang="ja-JP" sz="1200"/>
              <a:t>(</a:t>
            </a:r>
            <a:r>
              <a:rPr lang="ja-JP" altLang="en-US" sz="1200"/>
              <a:t>主灰</a:t>
            </a:r>
            <a:r>
              <a:rPr lang="en-US" altLang="ja-JP" sz="1200"/>
              <a:t>)</a:t>
            </a:r>
            <a:r>
              <a:rPr lang="ja-JP" altLang="en-US" sz="1200"/>
              <a:t>中</a:t>
            </a:r>
            <a:endParaRPr lang="en-US" altLang="ja-JP" sz="1200"/>
          </a:p>
          <a:p>
            <a:pPr>
              <a:defRPr sz="1200" b="0" i="0" u="none" strike="noStrike" baseline="0">
                <a:solidFill>
                  <a:srgbClr val="000000"/>
                </a:solidFill>
                <a:latin typeface="Meiryo UI"/>
                <a:ea typeface="Meiryo UI"/>
                <a:cs typeface="Meiryo UI"/>
              </a:defRPr>
            </a:pPr>
            <a:r>
              <a:rPr lang="ja-JP" altLang="en-US" sz="1200"/>
              <a:t>の</a:t>
            </a:r>
            <a:r>
              <a:rPr lang="en-US" altLang="ja-JP" sz="1200"/>
              <a:t>Cs</a:t>
            </a:r>
            <a:r>
              <a:rPr lang="ja-JP" altLang="en-US" sz="1200"/>
              <a:t>濃度の推移</a:t>
            </a:r>
          </a:p>
        </c:rich>
      </c:tx>
      <c:layout>
        <c:manualLayout>
          <c:xMode val="edge"/>
          <c:yMode val="edge"/>
          <c:x val="0.12889726490386658"/>
          <c:y val="2.1570037073852131E-3"/>
        </c:manualLayout>
      </c:layout>
      <c:overlay val="0"/>
      <c:spPr>
        <a:solidFill>
          <a:srgbClr val="FFFFFF"/>
        </a:solidFill>
        <a:ln w="25400">
          <a:noFill/>
        </a:ln>
      </c:spPr>
    </c:title>
    <c:autoTitleDeleted val="0"/>
    <c:plotArea>
      <c:layout>
        <c:manualLayout>
          <c:layoutTarget val="inner"/>
          <c:xMode val="edge"/>
          <c:yMode val="edge"/>
          <c:x val="9.2222319689540574E-2"/>
          <c:y val="3.4015264963045258E-2"/>
          <c:w val="0.88244270476306907"/>
          <c:h val="0.84332326940727498"/>
        </c:manualLayout>
      </c:layout>
      <c:lineChart>
        <c:grouping val="standard"/>
        <c:varyColors val="0"/>
        <c:ser>
          <c:idx val="3"/>
          <c:order val="0"/>
          <c:tx>
            <c:strRef>
              <c:f>まとめ!$Y$29:$Y$30</c:f>
              <c:strCache>
                <c:ptCount val="1"/>
                <c:pt idx="0">
                  <c:v>岩沼東部環境センター 焼却灰(主灰)※</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まとめ!$Y$33:$Y$117</c:f>
              <c:numCache>
                <c:formatCode>General</c:formatCode>
                <c:ptCount val="85"/>
                <c:pt idx="0">
                  <c:v>440</c:v>
                </c:pt>
                <c:pt idx="1">
                  <c:v>500</c:v>
                </c:pt>
                <c:pt idx="2">
                  <c:v>660</c:v>
                </c:pt>
                <c:pt idx="3">
                  <c:v>430</c:v>
                </c:pt>
                <c:pt idx="4">
                  <c:v>880</c:v>
                </c:pt>
                <c:pt idx="5">
                  <c:v>560</c:v>
                </c:pt>
                <c:pt idx="6">
                  <c:v>660</c:v>
                </c:pt>
                <c:pt idx="7">
                  <c:v>420</c:v>
                </c:pt>
                <c:pt idx="8">
                  <c:v>320</c:v>
                </c:pt>
                <c:pt idx="9">
                  <c:v>290</c:v>
                </c:pt>
                <c:pt idx="10">
                  <c:v>360</c:v>
                </c:pt>
                <c:pt idx="11">
                  <c:v>176</c:v>
                </c:pt>
                <c:pt idx="12">
                  <c:v>64</c:v>
                </c:pt>
                <c:pt idx="13">
                  <c:v>67</c:v>
                </c:pt>
                <c:pt idx="14">
                  <c:v>145</c:v>
                </c:pt>
                <c:pt idx="15">
                  <c:v>201</c:v>
                </c:pt>
                <c:pt idx="16">
                  <c:v>213</c:v>
                </c:pt>
                <c:pt idx="17">
                  <c:v>208</c:v>
                </c:pt>
                <c:pt idx="18">
                  <c:v>281</c:v>
                </c:pt>
                <c:pt idx="19">
                  <c:v>360</c:v>
                </c:pt>
                <c:pt idx="20">
                  <c:v>217</c:v>
                </c:pt>
                <c:pt idx="21">
                  <c:v>275</c:v>
                </c:pt>
                <c:pt idx="22">
                  <c:v>123</c:v>
                </c:pt>
                <c:pt idx="23">
                  <c:v>106</c:v>
                </c:pt>
                <c:pt idx="24">
                  <c:v>85</c:v>
                </c:pt>
                <c:pt idx="25">
                  <c:v>41</c:v>
                </c:pt>
                <c:pt idx="26">
                  <c:v>57</c:v>
                </c:pt>
                <c:pt idx="27">
                  <c:v>155</c:v>
                </c:pt>
                <c:pt idx="28">
                  <c:v>175</c:v>
                </c:pt>
                <c:pt idx="29">
                  <c:v>150</c:v>
                </c:pt>
                <c:pt idx="30">
                  <c:v>190</c:v>
                </c:pt>
                <c:pt idx="31">
                  <c:v>182</c:v>
                </c:pt>
                <c:pt idx="32">
                  <c:v>126</c:v>
                </c:pt>
                <c:pt idx="33">
                  <c:v>130</c:v>
                </c:pt>
                <c:pt idx="34">
                  <c:v>91</c:v>
                </c:pt>
                <c:pt idx="35">
                  <c:v>62</c:v>
                </c:pt>
                <c:pt idx="36">
                  <c:v>47</c:v>
                </c:pt>
                <c:pt idx="37">
                  <c:v>64</c:v>
                </c:pt>
                <c:pt idx="38">
                  <c:v>28.1</c:v>
                </c:pt>
                <c:pt idx="39">
                  <c:v>104</c:v>
                </c:pt>
                <c:pt idx="40">
                  <c:v>151</c:v>
                </c:pt>
                <c:pt idx="41">
                  <c:v>160</c:v>
                </c:pt>
                <c:pt idx="42">
                  <c:v>95</c:v>
                </c:pt>
                <c:pt idx="43">
                  <c:v>84</c:v>
                </c:pt>
                <c:pt idx="44">
                  <c:v>82</c:v>
                </c:pt>
                <c:pt idx="45">
                  <c:v>78</c:v>
                </c:pt>
                <c:pt idx="46">
                  <c:v>62</c:v>
                </c:pt>
                <c:pt idx="47">
                  <c:v>70</c:v>
                </c:pt>
                <c:pt idx="48">
                  <c:v>7.8</c:v>
                </c:pt>
                <c:pt idx="49">
                  <c:v>24.4</c:v>
                </c:pt>
                <c:pt idx="50">
                  <c:v>25.4</c:v>
                </c:pt>
                <c:pt idx="51">
                  <c:v>86</c:v>
                </c:pt>
                <c:pt idx="52">
                  <c:v>99</c:v>
                </c:pt>
                <c:pt idx="53">
                  <c:v>85</c:v>
                </c:pt>
                <c:pt idx="54">
                  <c:v>88</c:v>
                </c:pt>
                <c:pt idx="55">
                  <c:v>62.6</c:v>
                </c:pt>
                <c:pt idx="56">
                  <c:v>85</c:v>
                </c:pt>
                <c:pt idx="57">
                  <c:v>72</c:v>
                </c:pt>
                <c:pt idx="58">
                  <c:v>65.8</c:v>
                </c:pt>
                <c:pt idx="59">
                  <c:v>147</c:v>
                </c:pt>
                <c:pt idx="60">
                  <c:v>36.700000000000003</c:v>
                </c:pt>
                <c:pt idx="61">
                  <c:v>54</c:v>
                </c:pt>
                <c:pt idx="62">
                  <c:v>59</c:v>
                </c:pt>
                <c:pt idx="63">
                  <c:v>72.2</c:v>
                </c:pt>
                <c:pt idx="64">
                  <c:v>72.3</c:v>
                </c:pt>
                <c:pt idx="65">
                  <c:v>83.5</c:v>
                </c:pt>
                <c:pt idx="66">
                  <c:v>47.7</c:v>
                </c:pt>
                <c:pt idx="67">
                  <c:v>74.2</c:v>
                </c:pt>
                <c:pt idx="68">
                  <c:v>104.8</c:v>
                </c:pt>
                <c:pt idx="69">
                  <c:v>55.8</c:v>
                </c:pt>
                <c:pt idx="70">
                  <c:v>60</c:v>
                </c:pt>
                <c:pt idx="71">
                  <c:v>21.7</c:v>
                </c:pt>
                <c:pt idx="72">
                  <c:v>25.75</c:v>
                </c:pt>
                <c:pt idx="73">
                  <c:v>10.75</c:v>
                </c:pt>
                <c:pt idx="74">
                  <c:v>20.100000000000001</c:v>
                </c:pt>
                <c:pt idx="75">
                  <c:v>80</c:v>
                </c:pt>
                <c:pt idx="76">
                  <c:v>128</c:v>
                </c:pt>
                <c:pt idx="77">
                  <c:v>49.3</c:v>
                </c:pt>
                <c:pt idx="78">
                  <c:v>97</c:v>
                </c:pt>
                <c:pt idx="79">
                  <c:v>92</c:v>
                </c:pt>
                <c:pt idx="80">
                  <c:v>83</c:v>
                </c:pt>
                <c:pt idx="81">
                  <c:v>46.2</c:v>
                </c:pt>
                <c:pt idx="82">
                  <c:v>42.9</c:v>
                </c:pt>
                <c:pt idx="83">
                  <c:v>18.75</c:v>
                </c:pt>
                <c:pt idx="84">
                  <c:v>14.75</c:v>
                </c:pt>
              </c:numCache>
            </c:numRef>
          </c:val>
          <c:smooth val="0"/>
        </c:ser>
        <c:ser>
          <c:idx val="11"/>
          <c:order val="1"/>
          <c:tx>
            <c:strRef>
              <c:f>まとめ!$AF$29:$AF$30</c:f>
              <c:strCache>
                <c:ptCount val="1"/>
                <c:pt idx="0">
                  <c:v>名取クリーンセンター 焼却灰(主灰)</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まとめ!$AF$33:$AF$119</c:f>
              <c:numCache>
                <c:formatCode>General</c:formatCode>
                <c:ptCount val="87"/>
                <c:pt idx="0">
                  <c:v>440</c:v>
                </c:pt>
                <c:pt idx="1">
                  <c:v>500</c:v>
                </c:pt>
                <c:pt idx="2">
                  <c:v>660</c:v>
                </c:pt>
                <c:pt idx="3">
                  <c:v>430</c:v>
                </c:pt>
                <c:pt idx="4">
                  <c:v>880</c:v>
                </c:pt>
                <c:pt idx="5">
                  <c:v>560</c:v>
                </c:pt>
                <c:pt idx="6">
                  <c:v>660</c:v>
                </c:pt>
                <c:pt idx="7">
                  <c:v>420</c:v>
                </c:pt>
                <c:pt idx="8">
                  <c:v>320</c:v>
                </c:pt>
                <c:pt idx="9">
                  <c:v>290</c:v>
                </c:pt>
                <c:pt idx="10">
                  <c:v>360</c:v>
                </c:pt>
                <c:pt idx="11">
                  <c:v>176</c:v>
                </c:pt>
                <c:pt idx="12">
                  <c:v>64</c:v>
                </c:pt>
                <c:pt idx="13">
                  <c:v>67</c:v>
                </c:pt>
                <c:pt idx="14">
                  <c:v>145</c:v>
                </c:pt>
                <c:pt idx="15">
                  <c:v>201</c:v>
                </c:pt>
                <c:pt idx="16">
                  <c:v>213</c:v>
                </c:pt>
                <c:pt idx="17">
                  <c:v>208</c:v>
                </c:pt>
                <c:pt idx="18">
                  <c:v>281</c:v>
                </c:pt>
                <c:pt idx="19">
                  <c:v>360</c:v>
                </c:pt>
                <c:pt idx="20">
                  <c:v>217</c:v>
                </c:pt>
                <c:pt idx="21">
                  <c:v>275</c:v>
                </c:pt>
                <c:pt idx="22">
                  <c:v>123</c:v>
                </c:pt>
                <c:pt idx="23">
                  <c:v>106</c:v>
                </c:pt>
                <c:pt idx="24">
                  <c:v>85</c:v>
                </c:pt>
                <c:pt idx="25">
                  <c:v>41</c:v>
                </c:pt>
                <c:pt idx="26">
                  <c:v>57</c:v>
                </c:pt>
                <c:pt idx="27">
                  <c:v>155</c:v>
                </c:pt>
                <c:pt idx="28">
                  <c:v>175</c:v>
                </c:pt>
                <c:pt idx="29">
                  <c:v>150</c:v>
                </c:pt>
                <c:pt idx="30">
                  <c:v>190</c:v>
                </c:pt>
                <c:pt idx="31">
                  <c:v>182</c:v>
                </c:pt>
                <c:pt idx="32">
                  <c:v>126</c:v>
                </c:pt>
                <c:pt idx="33">
                  <c:v>130</c:v>
                </c:pt>
                <c:pt idx="34">
                  <c:v>91</c:v>
                </c:pt>
                <c:pt idx="35">
                  <c:v>62</c:v>
                </c:pt>
                <c:pt idx="36">
                  <c:v>47</c:v>
                </c:pt>
                <c:pt idx="37">
                  <c:v>64</c:v>
                </c:pt>
                <c:pt idx="38">
                  <c:v>28.1</c:v>
                </c:pt>
                <c:pt idx="39">
                  <c:v>104</c:v>
                </c:pt>
                <c:pt idx="40">
                  <c:v>151</c:v>
                </c:pt>
                <c:pt idx="41">
                  <c:v>160</c:v>
                </c:pt>
                <c:pt idx="42">
                  <c:v>95</c:v>
                </c:pt>
                <c:pt idx="43">
                  <c:v>84</c:v>
                </c:pt>
                <c:pt idx="44">
                  <c:v>82</c:v>
                </c:pt>
                <c:pt idx="45">
                  <c:v>78</c:v>
                </c:pt>
                <c:pt idx="46">
                  <c:v>62</c:v>
                </c:pt>
                <c:pt idx="47">
                  <c:v>70</c:v>
                </c:pt>
                <c:pt idx="48">
                  <c:v>32.200000000000003</c:v>
                </c:pt>
              </c:numCache>
            </c:numRef>
          </c:val>
          <c:smooth val="0"/>
        </c:ser>
        <c:ser>
          <c:idx val="1"/>
          <c:order val="2"/>
          <c:tx>
            <c:strRef>
              <c:f>まとめ!$AN$29:$AN$30</c:f>
              <c:strCache>
                <c:ptCount val="1"/>
                <c:pt idx="0">
                  <c:v>亘理清掃センター 焼却灰(主灰)</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まとめ!$AN$33:$AN$119</c:f>
              <c:numCache>
                <c:formatCode>General</c:formatCode>
                <c:ptCount val="87"/>
                <c:pt idx="6">
                  <c:v>560</c:v>
                </c:pt>
                <c:pt idx="7">
                  <c:v>380</c:v>
                </c:pt>
                <c:pt idx="8">
                  <c:v>310</c:v>
                </c:pt>
                <c:pt idx="9">
                  <c:v>320</c:v>
                </c:pt>
                <c:pt idx="10">
                  <c:v>330</c:v>
                </c:pt>
                <c:pt idx="11">
                  <c:v>268</c:v>
                </c:pt>
                <c:pt idx="12">
                  <c:v>91</c:v>
                </c:pt>
                <c:pt idx="13">
                  <c:v>107</c:v>
                </c:pt>
                <c:pt idx="14">
                  <c:v>162</c:v>
                </c:pt>
                <c:pt idx="15">
                  <c:v>400</c:v>
                </c:pt>
                <c:pt idx="16">
                  <c:v>480</c:v>
                </c:pt>
                <c:pt idx="17">
                  <c:v>380</c:v>
                </c:pt>
                <c:pt idx="18">
                  <c:v>330</c:v>
                </c:pt>
                <c:pt idx="19">
                  <c:v>410</c:v>
                </c:pt>
                <c:pt idx="20">
                  <c:v>235</c:v>
                </c:pt>
                <c:pt idx="21">
                  <c:v>126</c:v>
                </c:pt>
                <c:pt idx="22">
                  <c:v>630</c:v>
                </c:pt>
                <c:pt idx="23">
                  <c:v>166</c:v>
                </c:pt>
                <c:pt idx="24">
                  <c:v>73</c:v>
                </c:pt>
                <c:pt idx="25">
                  <c:v>49</c:v>
                </c:pt>
                <c:pt idx="26">
                  <c:v>58</c:v>
                </c:pt>
                <c:pt idx="27">
                  <c:v>184</c:v>
                </c:pt>
                <c:pt idx="28">
                  <c:v>244</c:v>
                </c:pt>
                <c:pt idx="29">
                  <c:v>236</c:v>
                </c:pt>
                <c:pt idx="30">
                  <c:v>240</c:v>
                </c:pt>
                <c:pt idx="31">
                  <c:v>212</c:v>
                </c:pt>
                <c:pt idx="32">
                  <c:v>158</c:v>
                </c:pt>
                <c:pt idx="33">
                  <c:v>178</c:v>
                </c:pt>
                <c:pt idx="34">
                  <c:v>178</c:v>
                </c:pt>
                <c:pt idx="35">
                  <c:v>75</c:v>
                </c:pt>
                <c:pt idx="36">
                  <c:v>152</c:v>
                </c:pt>
                <c:pt idx="37">
                  <c:v>27.9</c:v>
                </c:pt>
                <c:pt idx="38">
                  <c:v>56.8</c:v>
                </c:pt>
                <c:pt idx="39">
                  <c:v>178</c:v>
                </c:pt>
                <c:pt idx="40">
                  <c:v>166</c:v>
                </c:pt>
                <c:pt idx="41">
                  <c:v>153</c:v>
                </c:pt>
                <c:pt idx="42">
                  <c:v>194</c:v>
                </c:pt>
                <c:pt idx="43">
                  <c:v>102</c:v>
                </c:pt>
                <c:pt idx="44">
                  <c:v>150</c:v>
                </c:pt>
                <c:pt idx="45">
                  <c:v>83</c:v>
                </c:pt>
                <c:pt idx="46">
                  <c:v>66</c:v>
                </c:pt>
                <c:pt idx="47">
                  <c:v>73</c:v>
                </c:pt>
                <c:pt idx="48">
                  <c:v>41.7</c:v>
                </c:pt>
                <c:pt idx="49">
                  <c:v>91</c:v>
                </c:pt>
                <c:pt idx="50">
                  <c:v>68</c:v>
                </c:pt>
              </c:numCache>
            </c:numRef>
          </c:val>
          <c:smooth val="0"/>
        </c:ser>
        <c:ser>
          <c:idx val="0"/>
          <c:order val="3"/>
          <c:tx>
            <c:strRef>
              <c:f>まとめ!$AX$29:$AX$30</c:f>
              <c:strCache>
                <c:ptCount val="1"/>
                <c:pt idx="0">
                  <c:v>浄化センター 焼却灰(混合灰)</c:v>
                </c:pt>
              </c:strCache>
            </c:strRef>
          </c:tx>
          <c:spPr>
            <a:ln w="0">
              <a:solidFill>
                <a:srgbClr val="7030A0"/>
              </a:solidFill>
              <a:prstDash val="sysDash"/>
            </a:ln>
          </c:spPr>
          <c:marker>
            <c:symbol val="diamond"/>
            <c:size val="6"/>
            <c:spPr>
              <a:noFill/>
              <a:ln>
                <a:solidFill>
                  <a:srgbClr val="7030A0"/>
                </a:solidFill>
              </a:ln>
            </c:spPr>
          </c:marker>
          <c:cat>
            <c:numRef>
              <c:f>まとめ!$R$33:$R$119</c:f>
              <c:numCache>
                <c:formatCode>[$-411]ge\.m</c:formatCode>
                <c:ptCount val="87"/>
                <c:pt idx="0">
                  <c:v>40923</c:v>
                </c:pt>
                <c:pt idx="1">
                  <c:v>40954</c:v>
                </c:pt>
                <c:pt idx="2">
                  <c:v>40983</c:v>
                </c:pt>
                <c:pt idx="3">
                  <c:v>41014</c:v>
                </c:pt>
                <c:pt idx="4">
                  <c:v>41044</c:v>
                </c:pt>
                <c:pt idx="5">
                  <c:v>41075</c:v>
                </c:pt>
                <c:pt idx="6">
                  <c:v>41105</c:v>
                </c:pt>
                <c:pt idx="7">
                  <c:v>41136</c:v>
                </c:pt>
                <c:pt idx="8">
                  <c:v>41167</c:v>
                </c:pt>
                <c:pt idx="9">
                  <c:v>41197</c:v>
                </c:pt>
                <c:pt idx="10">
                  <c:v>41228</c:v>
                </c:pt>
                <c:pt idx="11">
                  <c:v>41258</c:v>
                </c:pt>
                <c:pt idx="12">
                  <c:v>41289</c:v>
                </c:pt>
                <c:pt idx="13">
                  <c:v>41320</c:v>
                </c:pt>
                <c:pt idx="14">
                  <c:v>41348</c:v>
                </c:pt>
                <c:pt idx="15">
                  <c:v>41379</c:v>
                </c:pt>
                <c:pt idx="16">
                  <c:v>41409</c:v>
                </c:pt>
                <c:pt idx="17">
                  <c:v>41440</c:v>
                </c:pt>
                <c:pt idx="18">
                  <c:v>41470</c:v>
                </c:pt>
                <c:pt idx="19">
                  <c:v>41501</c:v>
                </c:pt>
                <c:pt idx="20">
                  <c:v>41532</c:v>
                </c:pt>
                <c:pt idx="21">
                  <c:v>41562</c:v>
                </c:pt>
                <c:pt idx="22">
                  <c:v>41593</c:v>
                </c:pt>
                <c:pt idx="23">
                  <c:v>41623</c:v>
                </c:pt>
                <c:pt idx="24">
                  <c:v>41654</c:v>
                </c:pt>
                <c:pt idx="25">
                  <c:v>41685</c:v>
                </c:pt>
                <c:pt idx="26">
                  <c:v>41713</c:v>
                </c:pt>
                <c:pt idx="27">
                  <c:v>41744</c:v>
                </c:pt>
                <c:pt idx="28">
                  <c:v>41774</c:v>
                </c:pt>
                <c:pt idx="29">
                  <c:v>41805</c:v>
                </c:pt>
                <c:pt idx="30">
                  <c:v>41835</c:v>
                </c:pt>
                <c:pt idx="31">
                  <c:v>41866</c:v>
                </c:pt>
                <c:pt idx="32">
                  <c:v>41897</c:v>
                </c:pt>
                <c:pt idx="33">
                  <c:v>41927</c:v>
                </c:pt>
                <c:pt idx="34">
                  <c:v>41958</c:v>
                </c:pt>
                <c:pt idx="35">
                  <c:v>41988</c:v>
                </c:pt>
                <c:pt idx="36">
                  <c:v>42019</c:v>
                </c:pt>
                <c:pt idx="37">
                  <c:v>42050</c:v>
                </c:pt>
                <c:pt idx="38">
                  <c:v>42078</c:v>
                </c:pt>
                <c:pt idx="39">
                  <c:v>42109</c:v>
                </c:pt>
                <c:pt idx="40">
                  <c:v>42139</c:v>
                </c:pt>
                <c:pt idx="41">
                  <c:v>42170</c:v>
                </c:pt>
                <c:pt idx="42">
                  <c:v>42200</c:v>
                </c:pt>
                <c:pt idx="43">
                  <c:v>42231</c:v>
                </c:pt>
                <c:pt idx="44">
                  <c:v>42262</c:v>
                </c:pt>
                <c:pt idx="45">
                  <c:v>42292</c:v>
                </c:pt>
                <c:pt idx="46">
                  <c:v>42323</c:v>
                </c:pt>
                <c:pt idx="47">
                  <c:v>42353</c:v>
                </c:pt>
                <c:pt idx="48">
                  <c:v>42384</c:v>
                </c:pt>
                <c:pt idx="49">
                  <c:v>42415</c:v>
                </c:pt>
                <c:pt idx="50">
                  <c:v>42444</c:v>
                </c:pt>
                <c:pt idx="51">
                  <c:v>42475</c:v>
                </c:pt>
                <c:pt idx="52">
                  <c:v>42505</c:v>
                </c:pt>
                <c:pt idx="53">
                  <c:v>42536</c:v>
                </c:pt>
                <c:pt idx="54">
                  <c:v>42566</c:v>
                </c:pt>
                <c:pt idx="55">
                  <c:v>42597</c:v>
                </c:pt>
                <c:pt idx="56">
                  <c:v>42628</c:v>
                </c:pt>
                <c:pt idx="57">
                  <c:v>42658</c:v>
                </c:pt>
                <c:pt idx="58">
                  <c:v>42689</c:v>
                </c:pt>
                <c:pt idx="59">
                  <c:v>42719</c:v>
                </c:pt>
                <c:pt idx="60">
                  <c:v>42750</c:v>
                </c:pt>
                <c:pt idx="61">
                  <c:v>42781</c:v>
                </c:pt>
                <c:pt idx="62">
                  <c:v>42809</c:v>
                </c:pt>
                <c:pt idx="63">
                  <c:v>42840</c:v>
                </c:pt>
                <c:pt idx="64">
                  <c:v>42870</c:v>
                </c:pt>
                <c:pt idx="65">
                  <c:v>42901</c:v>
                </c:pt>
                <c:pt idx="66">
                  <c:v>42931</c:v>
                </c:pt>
                <c:pt idx="67">
                  <c:v>42962</c:v>
                </c:pt>
                <c:pt idx="68">
                  <c:v>42993</c:v>
                </c:pt>
                <c:pt idx="69">
                  <c:v>43023</c:v>
                </c:pt>
                <c:pt idx="70">
                  <c:v>43054</c:v>
                </c:pt>
                <c:pt idx="71">
                  <c:v>43084</c:v>
                </c:pt>
                <c:pt idx="72">
                  <c:v>43115</c:v>
                </c:pt>
                <c:pt idx="73">
                  <c:v>43146</c:v>
                </c:pt>
                <c:pt idx="74">
                  <c:v>43174</c:v>
                </c:pt>
                <c:pt idx="75">
                  <c:v>43205</c:v>
                </c:pt>
                <c:pt idx="76">
                  <c:v>43235</c:v>
                </c:pt>
                <c:pt idx="77">
                  <c:v>43266</c:v>
                </c:pt>
                <c:pt idx="78">
                  <c:v>43296</c:v>
                </c:pt>
                <c:pt idx="79">
                  <c:v>43327</c:v>
                </c:pt>
                <c:pt idx="80">
                  <c:v>43358</c:v>
                </c:pt>
                <c:pt idx="81">
                  <c:v>43388</c:v>
                </c:pt>
                <c:pt idx="82">
                  <c:v>43419</c:v>
                </c:pt>
                <c:pt idx="83">
                  <c:v>43449</c:v>
                </c:pt>
                <c:pt idx="84">
                  <c:v>43480</c:v>
                </c:pt>
                <c:pt idx="85">
                  <c:v>43511</c:v>
                </c:pt>
                <c:pt idx="86">
                  <c:v>43539</c:v>
                </c:pt>
              </c:numCache>
            </c:numRef>
          </c:cat>
          <c:val>
            <c:numRef>
              <c:f>まとめ!$AX$33:$AX$119</c:f>
              <c:numCache>
                <c:formatCode>General</c:formatCode>
                <c:ptCount val="87"/>
                <c:pt idx="15">
                  <c:v>970</c:v>
                </c:pt>
                <c:pt idx="16">
                  <c:v>990</c:v>
                </c:pt>
                <c:pt idx="17">
                  <c:v>880</c:v>
                </c:pt>
                <c:pt idx="18">
                  <c:v>780</c:v>
                </c:pt>
                <c:pt idx="19">
                  <c:v>670</c:v>
                </c:pt>
                <c:pt idx="20">
                  <c:v>530</c:v>
                </c:pt>
                <c:pt idx="21">
                  <c:v>600</c:v>
                </c:pt>
                <c:pt idx="22">
                  <c:v>510</c:v>
                </c:pt>
                <c:pt idx="23">
                  <c:v>900</c:v>
                </c:pt>
                <c:pt idx="24">
                  <c:v>760</c:v>
                </c:pt>
                <c:pt idx="25">
                  <c:v>690</c:v>
                </c:pt>
                <c:pt idx="26">
                  <c:v>590</c:v>
                </c:pt>
                <c:pt idx="27">
                  <c:v>560</c:v>
                </c:pt>
                <c:pt idx="28">
                  <c:v>530</c:v>
                </c:pt>
                <c:pt idx="29">
                  <c:v>420</c:v>
                </c:pt>
                <c:pt idx="30">
                  <c:v>361</c:v>
                </c:pt>
                <c:pt idx="31">
                  <c:v>430</c:v>
                </c:pt>
                <c:pt idx="32">
                  <c:v>510</c:v>
                </c:pt>
                <c:pt idx="33">
                  <c:v>560</c:v>
                </c:pt>
                <c:pt idx="34">
                  <c:v>550</c:v>
                </c:pt>
                <c:pt idx="35">
                  <c:v>428</c:v>
                </c:pt>
                <c:pt idx="36">
                  <c:v>367</c:v>
                </c:pt>
                <c:pt idx="37">
                  <c:v>291</c:v>
                </c:pt>
                <c:pt idx="38">
                  <c:v>307</c:v>
                </c:pt>
                <c:pt idx="39">
                  <c:v>386</c:v>
                </c:pt>
                <c:pt idx="40">
                  <c:v>407</c:v>
                </c:pt>
                <c:pt idx="41">
                  <c:v>390</c:v>
                </c:pt>
                <c:pt idx="42">
                  <c:v>312</c:v>
                </c:pt>
                <c:pt idx="43">
                  <c:v>388</c:v>
                </c:pt>
                <c:pt idx="44">
                  <c:v>299</c:v>
                </c:pt>
                <c:pt idx="45">
                  <c:v>318</c:v>
                </c:pt>
                <c:pt idx="46">
                  <c:v>182</c:v>
                </c:pt>
                <c:pt idx="47">
                  <c:v>240</c:v>
                </c:pt>
                <c:pt idx="48">
                  <c:v>256</c:v>
                </c:pt>
                <c:pt idx="49">
                  <c:v>240</c:v>
                </c:pt>
                <c:pt idx="50">
                  <c:v>311</c:v>
                </c:pt>
                <c:pt idx="51">
                  <c:v>600</c:v>
                </c:pt>
                <c:pt idx="52">
                  <c:v>547</c:v>
                </c:pt>
                <c:pt idx="53">
                  <c:v>373</c:v>
                </c:pt>
                <c:pt idx="54">
                  <c:v>318</c:v>
                </c:pt>
                <c:pt idx="55">
                  <c:v>345</c:v>
                </c:pt>
                <c:pt idx="56">
                  <c:v>320</c:v>
                </c:pt>
                <c:pt idx="57">
                  <c:v>235</c:v>
                </c:pt>
                <c:pt idx="58">
                  <c:v>222</c:v>
                </c:pt>
                <c:pt idx="59">
                  <c:v>198</c:v>
                </c:pt>
                <c:pt idx="60">
                  <c:v>231</c:v>
                </c:pt>
                <c:pt idx="61">
                  <c:v>206</c:v>
                </c:pt>
                <c:pt idx="62">
                  <c:v>188</c:v>
                </c:pt>
                <c:pt idx="63">
                  <c:v>264</c:v>
                </c:pt>
                <c:pt idx="64">
                  <c:v>211</c:v>
                </c:pt>
                <c:pt idx="65">
                  <c:v>180</c:v>
                </c:pt>
                <c:pt idx="66">
                  <c:v>195</c:v>
                </c:pt>
                <c:pt idx="67">
                  <c:v>159</c:v>
                </c:pt>
                <c:pt idx="68">
                  <c:v>156</c:v>
                </c:pt>
                <c:pt idx="69">
                  <c:v>157</c:v>
                </c:pt>
                <c:pt idx="70">
                  <c:v>135</c:v>
                </c:pt>
                <c:pt idx="71">
                  <c:v>123</c:v>
                </c:pt>
                <c:pt idx="72">
                  <c:v>121</c:v>
                </c:pt>
                <c:pt idx="73">
                  <c:v>123</c:v>
                </c:pt>
                <c:pt idx="74">
                  <c:v>132</c:v>
                </c:pt>
                <c:pt idx="75">
                  <c:v>165</c:v>
                </c:pt>
                <c:pt idx="76">
                  <c:v>111</c:v>
                </c:pt>
                <c:pt idx="77">
                  <c:v>110</c:v>
                </c:pt>
                <c:pt idx="78">
                  <c:v>104.6</c:v>
                </c:pt>
                <c:pt idx="79">
                  <c:v>153</c:v>
                </c:pt>
                <c:pt idx="80">
                  <c:v>185</c:v>
                </c:pt>
                <c:pt idx="81">
                  <c:v>108.4</c:v>
                </c:pt>
                <c:pt idx="82">
                  <c:v>130</c:v>
                </c:pt>
                <c:pt idx="83">
                  <c:v>108.3</c:v>
                </c:pt>
                <c:pt idx="84">
                  <c:v>96.8</c:v>
                </c:pt>
                <c:pt idx="85">
                  <c:v>95.4</c:v>
                </c:pt>
                <c:pt idx="86">
                  <c:v>71.8</c:v>
                </c:pt>
              </c:numCache>
            </c:numRef>
          </c:val>
          <c:smooth val="0"/>
        </c:ser>
        <c:dLbls>
          <c:showLegendKey val="0"/>
          <c:showVal val="0"/>
          <c:showCatName val="0"/>
          <c:showSerName val="0"/>
          <c:showPercent val="0"/>
          <c:showBubbleSize val="0"/>
        </c:dLbls>
        <c:marker val="1"/>
        <c:smooth val="0"/>
        <c:axId val="265093888"/>
        <c:axId val="265096576"/>
      </c:lineChart>
      <c:dateAx>
        <c:axId val="265093888"/>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096576"/>
        <c:crossesAt val="1E-3"/>
        <c:auto val="0"/>
        <c:lblOffset val="100"/>
        <c:baseTimeUnit val="days"/>
        <c:majorUnit val="6"/>
        <c:majorTimeUnit val="months"/>
        <c:minorUnit val="2"/>
      </c:dateAx>
      <c:valAx>
        <c:axId val="265096576"/>
        <c:scaling>
          <c:orientation val="minMax"/>
          <c:max val="2500"/>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4104086502780281E-2"/>
              <c:y val="0.43302557739488456"/>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5093888"/>
        <c:crosses val="autoZero"/>
        <c:crossBetween val="midCat"/>
      </c:valAx>
      <c:spPr>
        <a:solidFill>
          <a:srgbClr val="FFFFFF"/>
        </a:solidFill>
        <a:ln w="12700">
          <a:solidFill>
            <a:srgbClr val="808080"/>
          </a:solidFill>
          <a:prstDash val="solid"/>
        </a:ln>
      </c:spPr>
    </c:plotArea>
    <c:legend>
      <c:legendPos val="r"/>
      <c:layout>
        <c:manualLayout>
          <c:xMode val="edge"/>
          <c:yMode val="edge"/>
          <c:x val="0.49242094738157732"/>
          <c:y val="0.13378084151669564"/>
          <c:w val="0.49107379434713516"/>
          <c:h val="0.20470852526719463"/>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6195255004889092E-2"/>
          <c:y val="0.12360257784678323"/>
          <c:w val="0.8595291182661573"/>
          <c:h val="0.75979534816212491"/>
        </c:manualLayout>
      </c:layout>
      <c:lineChart>
        <c:grouping val="standard"/>
        <c:varyColors val="0"/>
        <c:ser>
          <c:idx val="0"/>
          <c:order val="0"/>
          <c:tx>
            <c:strRef>
              <c:f>月間量回帰式!$C$22:$C$23</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月間量回帰式!$B$39:$B$122</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月間量回帰式!$C$39:$C$122</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1"/>
          <c:order val="1"/>
          <c:tx>
            <c:strRef>
              <c:f>月間量回帰式!$I$22:$I$23</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numRef>
              <c:f>月間量回帰式!$B$39:$B$122</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月間量回帰式!$I$39:$I$122</c:f>
              <c:numCache>
                <c:formatCode>General</c:formatCode>
                <c:ptCount val="84"/>
                <c:pt idx="5" formatCode="0">
                  <c:v>8409.4314775882813</c:v>
                </c:pt>
                <c:pt idx="6" formatCode="0">
                  <c:v>9585.8354394091002</c:v>
                </c:pt>
                <c:pt idx="7" formatCode="0">
                  <c:v>8357.6193886384335</c:v>
                </c:pt>
                <c:pt idx="8" formatCode="0">
                  <c:v>8213.8633036908795</c:v>
                </c:pt>
                <c:pt idx="9" formatCode="0">
                  <c:v>7647.8237192098841</c:v>
                </c:pt>
                <c:pt idx="10" formatCode="0">
                  <c:v>6563.3637533867723</c:v>
                </c:pt>
                <c:pt idx="11" formatCode="0">
                  <c:v>8125.8127016605022</c:v>
                </c:pt>
                <c:pt idx="12" formatCode="0">
                  <c:v>7499.9095391172968</c:v>
                </c:pt>
                <c:pt idx="13" formatCode="0">
                  <c:v>7905.3246838054365</c:v>
                </c:pt>
                <c:pt idx="14" formatCode="0">
                  <c:v>7716.419629738466</c:v>
                </c:pt>
                <c:pt idx="15" formatCode="0">
                  <c:v>8796.5343443248239</c:v>
                </c:pt>
                <c:pt idx="16" formatCode="0">
                  <c:v>8420.8893370970945</c:v>
                </c:pt>
                <c:pt idx="17" formatCode="0">
                  <c:v>7801.9411155338275</c:v>
                </c:pt>
                <c:pt idx="18" formatCode="0">
                  <c:v>8108.5735313760588</c:v>
                </c:pt>
                <c:pt idx="19" formatCode="0">
                  <c:v>7360.2605306666428</c:v>
                </c:pt>
                <c:pt idx="20" formatCode="0">
                  <c:v>7594.903341377335</c:v>
                </c:pt>
                <c:pt idx="21" formatCode="0">
                  <c:v>6974.6019317476857</c:v>
                </c:pt>
                <c:pt idx="22" formatCode="0">
                  <c:v>5756.1913967770561</c:v>
                </c:pt>
                <c:pt idx="23" formatCode="0">
                  <c:v>7241.4506184382763</c:v>
                </c:pt>
                <c:pt idx="24" formatCode="0">
                  <c:v>7833.835950621431</c:v>
                </c:pt>
                <c:pt idx="25" formatCode="0">
                  <c:v>8075.534268678919</c:v>
                </c:pt>
                <c:pt idx="26" formatCode="0">
                  <c:v>7912.5284262680552</c:v>
                </c:pt>
                <c:pt idx="27" formatCode="0">
                  <c:v>8763.2502969192374</c:v>
                </c:pt>
                <c:pt idx="28" formatCode="0">
                  <c:v>8350.9579334421032</c:v>
                </c:pt>
                <c:pt idx="29" formatCode="0">
                  <c:v>8393.957750491867</c:v>
                </c:pt>
                <c:pt idx="30" formatCode="0">
                  <c:v>8218.5859476222467</c:v>
                </c:pt>
                <c:pt idx="31" formatCode="0">
                  <c:v>7370.6745225298719</c:v>
                </c:pt>
                <c:pt idx="32" formatCode="0">
                  <c:v>8057.547417102548</c:v>
                </c:pt>
                <c:pt idx="33" formatCode="0">
                  <c:v>7003.9113771054272</c:v>
                </c:pt>
                <c:pt idx="34" formatCode="0">
                  <c:v>6073.9349416958585</c:v>
                </c:pt>
                <c:pt idx="35" formatCode="0">
                  <c:v>7652.2811675224339</c:v>
                </c:pt>
                <c:pt idx="36" formatCode="0">
                  <c:v>8009.8359520671502</c:v>
                </c:pt>
                <c:pt idx="37" formatCode="0">
                  <c:v>8153.4174020783857</c:v>
                </c:pt>
                <c:pt idx="38" formatCode="0">
                  <c:v>8347.8136862499778</c:v>
                </c:pt>
                <c:pt idx="39" formatCode="0">
                  <c:v>8943.4108122225116</c:v>
                </c:pt>
                <c:pt idx="40" formatCode="0">
                  <c:v>8601.2969868870987</c:v>
                </c:pt>
                <c:pt idx="41" formatCode="0">
                  <c:v>8687.8594660090985</c:v>
                </c:pt>
                <c:pt idx="42" formatCode="0">
                  <c:v>8333.3373672159232</c:v>
                </c:pt>
                <c:pt idx="43" formatCode="0">
                  <c:v>7892.8436594654013</c:v>
                </c:pt>
                <c:pt idx="44" formatCode="0">
                  <c:v>8564.3676015961428</c:v>
                </c:pt>
                <c:pt idx="45" formatCode="0">
                  <c:v>7034.0138751389331</c:v>
                </c:pt>
                <c:pt idx="46" formatCode="0">
                  <c:v>6707.5581091668846</c:v>
                </c:pt>
                <c:pt idx="47" formatCode="0">
                  <c:v>8009.2450819024943</c:v>
                </c:pt>
                <c:pt idx="48" formatCode="0">
                  <c:v>7538.2372178224805</c:v>
                </c:pt>
                <c:pt idx="49" formatCode="0">
                  <c:v>8314.6120901004288</c:v>
                </c:pt>
                <c:pt idx="50" formatCode="0">
                  <c:v>8225.2201421895479</c:v>
                </c:pt>
                <c:pt idx="51" formatCode="0">
                  <c:v>8460.889823045507</c:v>
                </c:pt>
                <c:pt idx="52" formatCode="0">
                  <c:v>8870.9898957665318</c:v>
                </c:pt>
                <c:pt idx="53" formatCode="0">
                  <c:v>8382.8169854220432</c:v>
                </c:pt>
                <c:pt idx="54" formatCode="0">
                  <c:v>8154.1129108968007</c:v>
                </c:pt>
                <c:pt idx="55" formatCode="0">
                  <c:v>7741.400735801757</c:v>
                </c:pt>
                <c:pt idx="56" formatCode="0">
                  <c:v>7960.2368680251484</c:v>
                </c:pt>
                <c:pt idx="57" formatCode="0">
                  <c:v>7017.5581446013075</c:v>
                </c:pt>
                <c:pt idx="58" formatCode="0">
                  <c:v>6293.135086206632</c:v>
                </c:pt>
                <c:pt idx="59" formatCode="0">
                  <c:v>7628.7901001218152</c:v>
                </c:pt>
              </c:numCache>
            </c:numRef>
          </c:val>
          <c:smooth val="0"/>
        </c:ser>
        <c:ser>
          <c:idx val="2"/>
          <c:order val="2"/>
          <c:tx>
            <c:strRef>
              <c:f>月間量回帰式!$M$22:$M$23</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numRef>
              <c:f>月間量回帰式!$B$39:$B$122</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月間量回帰式!$M$39:$M$122</c:f>
              <c:numCache>
                <c:formatCode>General</c:formatCode>
                <c:ptCount val="84"/>
                <c:pt idx="5" formatCode="0">
                  <c:v>9981.4154262554948</c:v>
                </c:pt>
                <c:pt idx="6" formatCode="0">
                  <c:v>11377.725828845743</c:v>
                </c:pt>
                <c:pt idx="7" formatCode="0">
                  <c:v>9919.9180485446723</c:v>
                </c:pt>
                <c:pt idx="8" formatCode="0">
                  <c:v>9749.2894861100176</c:v>
                </c:pt>
                <c:pt idx="9" formatCode="0">
                  <c:v>9077.4395215235691</c:v>
                </c:pt>
                <c:pt idx="10" formatCode="0">
                  <c:v>7790.2603036571518</c:v>
                </c:pt>
                <c:pt idx="11" formatCode="0">
                  <c:v>9644.7794916187922</c:v>
                </c:pt>
                <c:pt idx="12" formatCode="0">
                  <c:v>9834.7629809704449</c:v>
                </c:pt>
                <c:pt idx="13" formatCode="0">
                  <c:v>10366.390974095941</c:v>
                </c:pt>
                <c:pt idx="14" formatCode="0">
                  <c:v>10118.676461945342</c:v>
                </c:pt>
                <c:pt idx="15" formatCode="0">
                  <c:v>11535.049840158861</c:v>
                </c:pt>
                <c:pt idx="16" formatCode="0">
                  <c:v>11042.459950667415</c:v>
                </c:pt>
                <c:pt idx="17" formatCode="0">
                  <c:v>10230.822286930426</c:v>
                </c:pt>
                <c:pt idx="18" formatCode="0">
                  <c:v>10632.914754361125</c:v>
                </c:pt>
                <c:pt idx="19" formatCode="0">
                  <c:v>9651.6387857416357</c:v>
                </c:pt>
                <c:pt idx="20" formatCode="0">
                  <c:v>9959.3300207481807</c:v>
                </c:pt>
                <c:pt idx="21" formatCode="0">
                  <c:v>9145.9178977551001</c:v>
                </c:pt>
                <c:pt idx="22" formatCode="0">
                  <c:v>7548.1947835688652</c:v>
                </c:pt>
                <c:pt idx="23" formatCode="0">
                  <c:v>9495.8412630566618</c:v>
                </c:pt>
                <c:pt idx="24" formatCode="0">
                  <c:v>9919.4703140745714</c:v>
                </c:pt>
                <c:pt idx="25" formatCode="0">
                  <c:v>10225.516969384327</c:v>
                </c:pt>
                <c:pt idx="26" formatCode="0">
                  <c:v>10019.113411152166</c:v>
                </c:pt>
                <c:pt idx="27" formatCode="0">
                  <c:v>11096.326464201737</c:v>
                </c:pt>
                <c:pt idx="28" formatCode="0">
                  <c:v>10574.26780915591</c:v>
                </c:pt>
                <c:pt idx="29" formatCode="0">
                  <c:v>10628.715644344738</c:v>
                </c:pt>
                <c:pt idx="30" formatCode="0">
                  <c:v>10406.653885143241</c:v>
                </c:pt>
                <c:pt idx="31" formatCode="0">
                  <c:v>9332.999514132156</c:v>
                </c:pt>
                <c:pt idx="32" formatCode="0">
                  <c:v>10202.741404338019</c:v>
                </c:pt>
                <c:pt idx="33" formatCode="0">
                  <c:v>8868.5915081097937</c:v>
                </c:pt>
                <c:pt idx="34" formatCode="0">
                  <c:v>7691.0236215749319</c:v>
                </c:pt>
                <c:pt idx="35" formatCode="0">
                  <c:v>9689.5794543884058</c:v>
                </c:pt>
                <c:pt idx="36" formatCode="0">
                  <c:v>8939.3013173638155</c:v>
                </c:pt>
                <c:pt idx="37" formatCode="0">
                  <c:v>9099.5440305623542</c:v>
                </c:pt>
                <c:pt idx="38" formatCode="0">
                  <c:v>9316.4981566624356</c:v>
                </c:pt>
                <c:pt idx="39" formatCode="0">
                  <c:v>9981.2086706711943</c:v>
                </c:pt>
                <c:pt idx="40" formatCode="0">
                  <c:v>9599.3957861364015</c:v>
                </c:pt>
                <c:pt idx="41" formatCode="0">
                  <c:v>9696.003018579142</c:v>
                </c:pt>
                <c:pt idx="42" formatCode="0">
                  <c:v>9300.3419983358344</c:v>
                </c:pt>
                <c:pt idx="43" formatCode="0">
                  <c:v>8808.7331806835227</c:v>
                </c:pt>
                <c:pt idx="44" formatCode="0">
                  <c:v>9558.1810965277236</c:v>
                </c:pt>
                <c:pt idx="45" formatCode="0">
                  <c:v>7850.2443591441079</c:v>
                </c:pt>
                <c:pt idx="46" formatCode="0">
                  <c:v>7485.9065030033953</c:v>
                </c:pt>
                <c:pt idx="47" formatCode="0">
                  <c:v>8938.6418823300755</c:v>
                </c:pt>
                <c:pt idx="48" formatCode="0">
                  <c:v>7880.8481388634045</c:v>
                </c:pt>
                <c:pt idx="49" formatCode="0">
                  <c:v>8692.5090471704771</c:v>
                </c:pt>
                <c:pt idx="50" formatCode="0">
                  <c:v>8599.0542584756822</c:v>
                </c:pt>
                <c:pt idx="51" formatCode="0">
                  <c:v>8845.4350650346878</c:v>
                </c:pt>
                <c:pt idx="52" formatCode="0">
                  <c:v>9274.1740794039943</c:v>
                </c:pt>
                <c:pt idx="53" formatCode="0">
                  <c:v>8763.8138372460526</c:v>
                </c:pt>
                <c:pt idx="54" formatCode="0">
                  <c:v>8524.7152220139124</c:v>
                </c:pt>
                <c:pt idx="55" formatCode="0">
                  <c:v>8093.2453858970312</c:v>
                </c:pt>
                <c:pt idx="56" formatCode="0">
                  <c:v>8322.027563416108</c:v>
                </c:pt>
                <c:pt idx="57" formatCode="0">
                  <c:v>7336.5043371800812</c:v>
                </c:pt>
                <c:pt idx="58" formatCode="0">
                  <c:v>6579.1564391858929</c:v>
                </c:pt>
                <c:pt idx="59" formatCode="0">
                  <c:v>7975.5166261126778</c:v>
                </c:pt>
              </c:numCache>
            </c:numRef>
          </c:val>
          <c:smooth val="0"/>
        </c:ser>
        <c:ser>
          <c:idx val="3"/>
          <c:order val="3"/>
          <c:tx>
            <c:strRef>
              <c:f>月間量回帰式!$Q$22:$Q$23</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numRef>
              <c:f>月間量回帰式!$B$39:$B$122</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月間量回帰式!$Q$39:$Q$122</c:f>
              <c:numCache>
                <c:formatCode>General</c:formatCode>
                <c:ptCount val="84"/>
                <c:pt idx="5" formatCode="0">
                  <c:v>9688.1530961562239</c:v>
                </c:pt>
                <c:pt idx="6" formatCode="0">
                  <c:v>11043.438731745156</c:v>
                </c:pt>
                <c:pt idx="7" formatCode="0">
                  <c:v>9628.4625628168942</c:v>
                </c:pt>
                <c:pt idx="8" formatCode="0">
                  <c:v>9462.8472101991028</c:v>
                </c:pt>
                <c:pt idx="9" formatCode="0">
                  <c:v>8810.7367592665469</c:v>
                </c:pt>
                <c:pt idx="10" formatCode="0">
                  <c:v>7561.375942956076</c:v>
                </c:pt>
                <c:pt idx="11" formatCode="0">
                  <c:v>9361.4078067207047</c:v>
                </c:pt>
                <c:pt idx="12" formatCode="0">
                  <c:v>11670.401149312698</c:v>
                </c:pt>
                <c:pt idx="13" formatCode="0">
                  <c:v>12301.256407744801</c:v>
                </c:pt>
                <c:pt idx="14" formatCode="0">
                  <c:v>12007.306494269762</c:v>
                </c:pt>
                <c:pt idx="15" formatCode="0">
                  <c:v>13688.043033924316</c:v>
                </c:pt>
                <c:pt idx="16" formatCode="0">
                  <c:v>13103.512260423809</c:v>
                </c:pt>
                <c:pt idx="17" formatCode="0">
                  <c:v>12140.384105527803</c:v>
                </c:pt>
                <c:pt idx="18" formatCode="0">
                  <c:v>12617.526300323245</c:v>
                </c:pt>
                <c:pt idx="19" formatCode="0">
                  <c:v>11453.097201815392</c:v>
                </c:pt>
                <c:pt idx="20" formatCode="0">
                  <c:v>11818.218369412611</c:v>
                </c:pt>
                <c:pt idx="21" formatCode="0">
                  <c:v>10852.984556110621</c:v>
                </c:pt>
                <c:pt idx="22" formatCode="0">
                  <c:v>8957.0497273647434</c:v>
                </c:pt>
                <c:pt idx="23" formatCode="0">
                  <c:v>11268.220393770203</c:v>
                </c:pt>
                <c:pt idx="24" formatCode="0">
                  <c:v>11451.259573396037</c:v>
                </c:pt>
                <c:pt idx="25" formatCode="0">
                  <c:v>11804.566713853832</c:v>
                </c:pt>
                <c:pt idx="26" formatCode="0">
                  <c:v>11566.289805172994</c:v>
                </c:pt>
                <c:pt idx="27" formatCode="0">
                  <c:v>12809.848775133163</c:v>
                </c:pt>
                <c:pt idx="28" formatCode="0">
                  <c:v>12207.17252507318</c:v>
                </c:pt>
                <c:pt idx="29" formatCode="0">
                  <c:v>12270.028330294161</c:v>
                </c:pt>
                <c:pt idx="30" formatCode="0">
                  <c:v>12013.675242334086</c:v>
                </c:pt>
                <c:pt idx="31" formatCode="0">
                  <c:v>10774.224494937376</c:v>
                </c:pt>
                <c:pt idx="32" formatCode="0">
                  <c:v>11778.27408944767</c:v>
                </c:pt>
                <c:pt idx="33" formatCode="0">
                  <c:v>10238.101450405489</c:v>
                </c:pt>
                <c:pt idx="34" formatCode="0">
                  <c:v>8878.6906041556704</c:v>
                </c:pt>
                <c:pt idx="35" formatCode="0">
                  <c:v>11185.868395796344</c:v>
                </c:pt>
                <c:pt idx="36" formatCode="0">
                  <c:v>11442.987409427442</c:v>
                </c:pt>
                <c:pt idx="37" formatCode="0">
                  <c:v>11648.110302647483</c:v>
                </c:pt>
                <c:pt idx="38" formatCode="0">
                  <c:v>11925.8281292705</c:v>
                </c:pt>
                <c:pt idx="39" formatCode="0">
                  <c:v>12776.708278924001</c:v>
                </c:pt>
                <c:pt idx="40" formatCode="0">
                  <c:v>12287.958669152793</c:v>
                </c:pt>
                <c:pt idx="41" formatCode="0">
                  <c:v>12411.623294077634</c:v>
                </c:pt>
                <c:pt idx="42" formatCode="0">
                  <c:v>11905.147014521977</c:v>
                </c:pt>
                <c:pt idx="43" formatCode="0">
                  <c:v>11275.850237174076</c:v>
                </c:pt>
                <c:pt idx="44" formatCode="0">
                  <c:v>12235.200723365746</c:v>
                </c:pt>
                <c:pt idx="45" formatCode="0">
                  <c:v>10048.911449950499</c:v>
                </c:pt>
                <c:pt idx="46" formatCode="0">
                  <c:v>9582.5312091930009</c:v>
                </c:pt>
                <c:pt idx="47" formatCode="0">
                  <c:v>11442.143282294848</c:v>
                </c:pt>
                <c:pt idx="48" formatCode="0">
                  <c:v>11813.18311583508</c:v>
                </c:pt>
                <c:pt idx="49" formatCode="0">
                  <c:v>13029.841369978183</c:v>
                </c:pt>
                <c:pt idx="50" formatCode="0">
                  <c:v>12889.755111183389</c:v>
                </c:pt>
                <c:pt idx="51" formatCode="0">
                  <c:v>13259.073429824211</c:v>
                </c:pt>
                <c:pt idx="52" formatCode="0">
                  <c:v>13901.74188332111</c:v>
                </c:pt>
                <c:pt idx="53" formatCode="0">
                  <c:v>13136.72536613655</c:v>
                </c:pt>
                <c:pt idx="54" formatCode="0">
                  <c:v>12778.322859869348</c:v>
                </c:pt>
                <c:pt idx="55" formatCode="0">
                  <c:v>12131.56097673234</c:v>
                </c:pt>
                <c:pt idx="56" formatCode="0">
                  <c:v>12474.499415470247</c:v>
                </c:pt>
                <c:pt idx="57" formatCode="0">
                  <c:v>10997.226140906958</c:v>
                </c:pt>
                <c:pt idx="58" formatCode="0">
                  <c:v>9861.981654050438</c:v>
                </c:pt>
                <c:pt idx="59" formatCode="0">
                  <c:v>11955.088676692145</c:v>
                </c:pt>
              </c:numCache>
            </c:numRef>
          </c:val>
          <c:smooth val="0"/>
        </c:ser>
        <c:ser>
          <c:idx val="4"/>
          <c:order val="4"/>
          <c:tx>
            <c:strRef>
              <c:f>月間量回帰式!$F$22:$F$23</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月間量回帰式!$B$39:$B$122</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月間量回帰式!$F$39:$F$122</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dLbls>
          <c:showLegendKey val="0"/>
          <c:showVal val="0"/>
          <c:showCatName val="0"/>
          <c:showSerName val="0"/>
          <c:showPercent val="0"/>
          <c:showBubbleSize val="0"/>
        </c:dLbls>
        <c:marker val="1"/>
        <c:smooth val="0"/>
        <c:axId val="265411584"/>
        <c:axId val="265418624"/>
      </c:lineChart>
      <c:catAx>
        <c:axId val="265411584"/>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418624"/>
        <c:crosses val="autoZero"/>
        <c:auto val="0"/>
        <c:lblAlgn val="ctr"/>
        <c:lblOffset val="0"/>
        <c:tickLblSkip val="6"/>
        <c:tickMarkSkip val="6"/>
        <c:noMultiLvlLbl val="0"/>
      </c:catAx>
      <c:valAx>
        <c:axId val="26541862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411584"/>
        <c:crosses val="autoZero"/>
        <c:crossBetween val="between"/>
      </c:valAx>
      <c:spPr>
        <a:noFill/>
        <a:ln w="12700">
          <a:solidFill>
            <a:srgbClr val="808080"/>
          </a:solidFill>
          <a:prstDash val="solid"/>
        </a:ln>
      </c:spPr>
    </c:plotArea>
    <c:legend>
      <c:legendPos val="r"/>
      <c:layout>
        <c:manualLayout>
          <c:xMode val="edge"/>
          <c:yMode val="edge"/>
          <c:x val="0.41721654842649619"/>
          <c:y val="1.4121474252337099E-4"/>
          <c:w val="0.5419510927470701"/>
          <c:h val="0.2273415823022122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8569035650175137E-2"/>
          <c:w val="0.87334611670950457"/>
          <c:h val="0.8417382719234825"/>
        </c:manualLayout>
      </c:layout>
      <c:lineChart>
        <c:grouping val="standard"/>
        <c:varyColors val="0"/>
        <c:ser>
          <c:idx val="0"/>
          <c:order val="0"/>
          <c:tx>
            <c:strRef>
              <c:f>月間量回帰式!$C$22:$C$23</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strRef>
              <c:f>月間量回帰式!$B$24:$B$35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月間量回帰式!$E$24:$E$35</c:f>
              <c:numCache>
                <c:formatCode>0.000</c:formatCode>
                <c:ptCount val="12"/>
                <c:pt idx="0">
                  <c:v>7.9992816066502742E-2</c:v>
                </c:pt>
                <c:pt idx="1">
                  <c:v>9.0772615392838429E-2</c:v>
                </c:pt>
                <c:pt idx="2">
                  <c:v>8.6804076534505711E-2</c:v>
                </c:pt>
                <c:pt idx="3">
                  <c:v>9.0079743785774907E-2</c:v>
                </c:pt>
                <c:pt idx="4">
                  <c:v>9.5056963183888205E-2</c:v>
                </c:pt>
                <c:pt idx="5">
                  <c:v>8.5050031214917471E-2</c:v>
                </c:pt>
                <c:pt idx="6">
                  <c:v>8.6599482936585273E-2</c:v>
                </c:pt>
                <c:pt idx="7">
                  <c:v>8.0846255404083966E-2</c:v>
                </c:pt>
                <c:pt idx="8">
                  <c:v>8.1908249764947372E-2</c:v>
                </c:pt>
                <c:pt idx="9">
                  <c:v>7.7395832614512952E-2</c:v>
                </c:pt>
                <c:pt idx="10">
                  <c:v>6.6426641054386296E-2</c:v>
                </c:pt>
                <c:pt idx="11">
                  <c:v>7.9067334425156469E-2</c:v>
                </c:pt>
              </c:numCache>
            </c:numRef>
          </c:val>
          <c:smooth val="0"/>
        </c:ser>
        <c:ser>
          <c:idx val="1"/>
          <c:order val="1"/>
          <c:tx>
            <c:strRef>
              <c:f>月間量回帰式!$I$22:$I$23</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strRef>
              <c:f>月間量回帰式!$B$24:$B$35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月間量回帰式!$L$24:$L$35</c:f>
              <c:numCache>
                <c:formatCode>0.000</c:formatCode>
                <c:ptCount val="12"/>
                <c:pt idx="0">
                  <c:v>8.1971266995696179E-2</c:v>
                </c:pt>
                <c:pt idx="1">
                  <c:v>8.61486694425114E-2</c:v>
                </c:pt>
                <c:pt idx="2">
                  <c:v>8.5459112238232091E-2</c:v>
                </c:pt>
                <c:pt idx="3">
                  <c:v>9.284376445839071E-2</c:v>
                </c:pt>
                <c:pt idx="4">
                  <c:v>9.0918583138403744E-2</c:v>
                </c:pt>
                <c:pt idx="5">
                  <c:v>8.8268380080710113E-2</c:v>
                </c:pt>
                <c:pt idx="6">
                  <c:v>8.7125754441793143E-2</c:v>
                </c:pt>
                <c:pt idx="7">
                  <c:v>8.0589023142928984E-2</c:v>
                </c:pt>
                <c:pt idx="8">
                  <c:v>8.5368950939801916E-2</c:v>
                </c:pt>
                <c:pt idx="9">
                  <c:v>7.4432954139816931E-2</c:v>
                </c:pt>
                <c:pt idx="10">
                  <c:v>6.5857499191818117E-2</c:v>
                </c:pt>
                <c:pt idx="11">
                  <c:v>8.1016041789896673E-2</c:v>
                </c:pt>
              </c:numCache>
            </c:numRef>
          </c:val>
          <c:smooth val="0"/>
        </c:ser>
        <c:ser>
          <c:idx val="2"/>
          <c:order val="2"/>
          <c:tx>
            <c:strRef>
              <c:f>月間量回帰式!$M$22:$M$23</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strRef>
              <c:f>月間量回帰式!$B$24:$B$35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月間量回帰式!$P$24:$P$35</c:f>
              <c:numCache>
                <c:formatCode>0.000</c:formatCode>
                <c:ptCount val="12"/>
                <c:pt idx="0">
                  <c:v>8.1971266995696179E-2</c:v>
                </c:pt>
                <c:pt idx="1">
                  <c:v>8.61486694425114E-2</c:v>
                </c:pt>
                <c:pt idx="2">
                  <c:v>8.5459112238232091E-2</c:v>
                </c:pt>
                <c:pt idx="3">
                  <c:v>9.284376445839071E-2</c:v>
                </c:pt>
                <c:pt idx="4">
                  <c:v>9.0918583138403758E-2</c:v>
                </c:pt>
                <c:pt idx="5">
                  <c:v>8.8268380080710113E-2</c:v>
                </c:pt>
                <c:pt idx="6">
                  <c:v>8.7125754441793143E-2</c:v>
                </c:pt>
                <c:pt idx="7">
                  <c:v>8.0589023142928984E-2</c:v>
                </c:pt>
                <c:pt idx="8">
                  <c:v>8.5368950939801916E-2</c:v>
                </c:pt>
                <c:pt idx="9">
                  <c:v>7.4432954139816931E-2</c:v>
                </c:pt>
                <c:pt idx="10">
                  <c:v>6.5857499191818117E-2</c:v>
                </c:pt>
                <c:pt idx="11">
                  <c:v>8.1167817239138546E-2</c:v>
                </c:pt>
              </c:numCache>
            </c:numRef>
          </c:val>
          <c:smooth val="0"/>
        </c:ser>
        <c:ser>
          <c:idx val="3"/>
          <c:order val="3"/>
          <c:tx>
            <c:strRef>
              <c:f>月間量回帰式!$Q$22:$Q$23</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strRef>
              <c:f>月間量回帰式!$B$24:$B$35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月間量回帰式!$T$24:$T$35</c:f>
              <c:numCache>
                <c:formatCode>0.000</c:formatCode>
                <c:ptCount val="12"/>
                <c:pt idx="0">
                  <c:v>8.1675098411791908E-2</c:v>
                </c:pt>
                <c:pt idx="1">
                  <c:v>8.5843363132333275E-2</c:v>
                </c:pt>
                <c:pt idx="2">
                  <c:v>8.5159968580657261E-2</c:v>
                </c:pt>
                <c:pt idx="3">
                  <c:v>9.2512458129384509E-2</c:v>
                </c:pt>
                <c:pt idx="4">
                  <c:v>9.0602864070378653E-2</c:v>
                </c:pt>
                <c:pt idx="5">
                  <c:v>8.7951035347429332E-2</c:v>
                </c:pt>
                <c:pt idx="6">
                  <c:v>8.6815039872692457E-2</c:v>
                </c:pt>
                <c:pt idx="7">
                  <c:v>8.0310364992628586E-2</c:v>
                </c:pt>
                <c:pt idx="8">
                  <c:v>8.5064324646462783E-2</c:v>
                </c:pt>
                <c:pt idx="9">
                  <c:v>7.4168161957873957E-2</c:v>
                </c:pt>
                <c:pt idx="10">
                  <c:v>6.5627866005503313E-2</c:v>
                </c:pt>
                <c:pt idx="11">
                  <c:v>8.0726737125960915E-2</c:v>
                </c:pt>
              </c:numCache>
            </c:numRef>
          </c:val>
          <c:smooth val="0"/>
        </c:ser>
        <c:ser>
          <c:idx val="4"/>
          <c:order val="4"/>
          <c:tx>
            <c:strRef>
              <c:f>月間量回帰式!$F$22:$F$23</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strRef>
              <c:f>月間量回帰式!$B$24:$B$35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月間量回帰式!$H$24:$H$35</c:f>
              <c:numCache>
                <c:formatCode>0.000</c:formatCode>
                <c:ptCount val="12"/>
                <c:pt idx="0">
                  <c:v>7.6501400928994254E-2</c:v>
                </c:pt>
                <c:pt idx="1">
                  <c:v>8.6293553760327171E-2</c:v>
                </c:pt>
                <c:pt idx="2">
                  <c:v>8.8658664053806027E-2</c:v>
                </c:pt>
                <c:pt idx="3">
                  <c:v>9.4654152965531743E-2</c:v>
                </c:pt>
                <c:pt idx="4">
                  <c:v>9.8234579568867289E-2</c:v>
                </c:pt>
                <c:pt idx="5">
                  <c:v>9.1272178635522935E-2</c:v>
                </c:pt>
                <c:pt idx="6">
                  <c:v>9.4203355868508101E-2</c:v>
                </c:pt>
                <c:pt idx="7">
                  <c:v>8.3132019547620395E-2</c:v>
                </c:pt>
                <c:pt idx="8">
                  <c:v>8.0257245665374927E-2</c:v>
                </c:pt>
                <c:pt idx="9">
                  <c:v>7.2160448244430783E-2</c:v>
                </c:pt>
                <c:pt idx="10">
                  <c:v>6.084459991821816E-2</c:v>
                </c:pt>
                <c:pt idx="11">
                  <c:v>7.3789273141264447E-2</c:v>
                </c:pt>
              </c:numCache>
            </c:numRef>
          </c:val>
          <c:smooth val="0"/>
        </c:ser>
        <c:dLbls>
          <c:showLegendKey val="0"/>
          <c:showVal val="0"/>
          <c:showCatName val="0"/>
          <c:showSerName val="0"/>
          <c:showPercent val="0"/>
          <c:showBubbleSize val="0"/>
        </c:dLbls>
        <c:marker val="1"/>
        <c:smooth val="0"/>
        <c:axId val="265572736"/>
        <c:axId val="265574656"/>
      </c:lineChart>
      <c:catAx>
        <c:axId val="265572736"/>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574656"/>
        <c:crosses val="autoZero"/>
        <c:auto val="0"/>
        <c:lblAlgn val="ctr"/>
        <c:lblOffset val="0"/>
        <c:tickLblSkip val="1"/>
        <c:tickMarkSkip val="1"/>
        <c:noMultiLvlLbl val="0"/>
      </c:catAx>
      <c:valAx>
        <c:axId val="265574656"/>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572736"/>
        <c:crosses val="autoZero"/>
        <c:crossBetween val="between"/>
      </c:valAx>
      <c:spPr>
        <a:noFill/>
        <a:ln w="12700">
          <a:solidFill>
            <a:srgbClr val="808080"/>
          </a:solidFill>
          <a:prstDash val="solid"/>
        </a:ln>
      </c:spPr>
    </c:plotArea>
    <c:legend>
      <c:legendPos val="r"/>
      <c:layout>
        <c:manualLayout>
          <c:xMode val="edge"/>
          <c:yMode val="edge"/>
          <c:x val="0.20305413895801885"/>
          <c:y val="0.5949515142942462"/>
          <c:w val="0.5419510927470701"/>
          <c:h val="0.22734158230221221"/>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8569035650175137E-2"/>
          <c:w val="0.87334611670950457"/>
          <c:h val="0.8417382719234825"/>
        </c:manualLayout>
      </c:layout>
      <c:lineChart>
        <c:grouping val="standard"/>
        <c:varyColors val="0"/>
        <c:ser>
          <c:idx val="3"/>
          <c:order val="0"/>
          <c:tx>
            <c:strRef>
              <c:f>月間量回帰式!$AB$37:$AB$38</c:f>
              <c:strCache>
                <c:ptCount val="1"/>
                <c:pt idx="0">
                  <c:v>焼却灰 Cs-137</c:v>
                </c:pt>
              </c:strCache>
            </c:strRef>
          </c:tx>
          <c:spPr>
            <a:ln w="0">
              <a:solidFill>
                <a:srgbClr val="C00000"/>
              </a:solidFill>
              <a:prstDash val="solid"/>
            </a:ln>
          </c:spPr>
          <c:marker>
            <c:symbol val="circle"/>
            <c:size val="4"/>
            <c:spPr>
              <a:noFill/>
              <a:ln>
                <a:solidFill>
                  <a:srgbClr val="C00000"/>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月間量回帰式!$AB$24:$AB$35</c:f>
              <c:numCache>
                <c:formatCode>0.000</c:formatCode>
                <c:ptCount val="12"/>
                <c:pt idx="0">
                  <c:v>1.0135214004821564</c:v>
                </c:pt>
                <c:pt idx="1">
                  <c:v>1.4296708001724927</c:v>
                </c:pt>
                <c:pt idx="2">
                  <c:v>1.5131956611055588</c:v>
                </c:pt>
                <c:pt idx="3">
                  <c:v>1.2997557031733962</c:v>
                </c:pt>
                <c:pt idx="4">
                  <c:v>1.0857684641339549</c:v>
                </c:pt>
                <c:pt idx="5">
                  <c:v>0.98796419120933032</c:v>
                </c:pt>
                <c:pt idx="6">
                  <c:v>0.90946220560201774</c:v>
                </c:pt>
                <c:pt idx="7">
                  <c:v>0.88420322156192499</c:v>
                </c:pt>
                <c:pt idx="8">
                  <c:v>0.92073980446849846</c:v>
                </c:pt>
                <c:pt idx="9">
                  <c:v>0.74040761771391728</c:v>
                </c:pt>
                <c:pt idx="10">
                  <c:v>0.59205155806121612</c:v>
                </c:pt>
                <c:pt idx="11">
                  <c:v>0.61223675501096986</c:v>
                </c:pt>
              </c:numCache>
            </c:numRef>
          </c:val>
          <c:smooth val="0"/>
        </c:ser>
        <c:ser>
          <c:idx val="4"/>
          <c:order val="1"/>
          <c:tx>
            <c:strRef>
              <c:f>月間量回帰式!$AA$37:$AA$38</c:f>
              <c:strCache>
                <c:ptCount val="1"/>
                <c:pt idx="0">
                  <c:v>焼却灰 Cs-134</c:v>
                </c:pt>
              </c:strCache>
            </c:strRef>
          </c:tx>
          <c:spPr>
            <a:ln w="0">
              <a:solidFill>
                <a:srgbClr val="FF00FF"/>
              </a:solidFill>
              <a:prstDash val="solid"/>
            </a:ln>
          </c:spPr>
          <c:marker>
            <c:symbol val="x"/>
            <c:size val="3"/>
            <c:spPr>
              <a:noFill/>
              <a:ln>
                <a:solidFill>
                  <a:srgbClr val="FF00FF"/>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月間量回帰式!$AA$24:$AA$35</c:f>
              <c:numCache>
                <c:formatCode>0.000</c:formatCode>
                <c:ptCount val="12"/>
                <c:pt idx="0">
                  <c:v>1.1165967866069841</c:v>
                </c:pt>
                <c:pt idx="1">
                  <c:v>1.5913923998192099</c:v>
                </c:pt>
                <c:pt idx="2">
                  <c:v>1.5959344292801234</c:v>
                </c:pt>
                <c:pt idx="3">
                  <c:v>1.3303055832952932</c:v>
                </c:pt>
                <c:pt idx="4">
                  <c:v>1.0547743440391999</c:v>
                </c:pt>
                <c:pt idx="5">
                  <c:v>0.93448663755514594</c:v>
                </c:pt>
                <c:pt idx="6">
                  <c:v>0.88645573393881549</c:v>
                </c:pt>
                <c:pt idx="7">
                  <c:v>0.81215001764498918</c:v>
                </c:pt>
                <c:pt idx="8">
                  <c:v>0.89245172182040633</c:v>
                </c:pt>
                <c:pt idx="9">
                  <c:v>0.71891383916599472</c:v>
                </c:pt>
                <c:pt idx="10">
                  <c:v>0.56030423394472717</c:v>
                </c:pt>
                <c:pt idx="11">
                  <c:v>0.47442854636095927</c:v>
                </c:pt>
              </c:numCache>
            </c:numRef>
          </c:val>
          <c:smooth val="0"/>
        </c:ser>
        <c:dLbls>
          <c:showLegendKey val="0"/>
          <c:showVal val="0"/>
          <c:showCatName val="0"/>
          <c:showSerName val="0"/>
          <c:showPercent val="0"/>
          <c:showBubbleSize val="0"/>
        </c:dLbls>
        <c:marker val="1"/>
        <c:smooth val="0"/>
        <c:axId val="265603328"/>
        <c:axId val="265621888"/>
      </c:lineChart>
      <c:catAx>
        <c:axId val="265603328"/>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621888"/>
        <c:crosses val="autoZero"/>
        <c:auto val="0"/>
        <c:lblAlgn val="ctr"/>
        <c:lblOffset val="0"/>
        <c:tickLblSkip val="1"/>
        <c:tickMarkSkip val="1"/>
        <c:noMultiLvlLbl val="0"/>
      </c:catAx>
      <c:valAx>
        <c:axId val="265621888"/>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603328"/>
        <c:crosses val="autoZero"/>
        <c:crossBetween val="between"/>
      </c:valAx>
      <c:spPr>
        <a:noFill/>
        <a:ln w="12700">
          <a:solidFill>
            <a:srgbClr val="808080"/>
          </a:solidFill>
          <a:prstDash val="solid"/>
        </a:ln>
      </c:spPr>
    </c:plotArea>
    <c:legend>
      <c:legendPos val="r"/>
      <c:layout>
        <c:manualLayout>
          <c:xMode val="edge"/>
          <c:yMode val="edge"/>
          <c:x val="0.20305413895801885"/>
          <c:y val="0.5949515142942462"/>
          <c:w val="0.4144098229087948"/>
          <c:h val="0.12119707214122738"/>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8569035650175137E-2"/>
          <c:w val="0.87334611670950457"/>
          <c:h val="0.8417382719234825"/>
        </c:manualLayout>
      </c:layout>
      <c:lineChart>
        <c:grouping val="standard"/>
        <c:varyColors val="0"/>
        <c:ser>
          <c:idx val="3"/>
          <c:order val="0"/>
          <c:tx>
            <c:strRef>
              <c:f>月間量回帰式!$AB$37:$AB$38</c:f>
              <c:strCache>
                <c:ptCount val="1"/>
                <c:pt idx="0">
                  <c:v>焼却灰 Cs-137</c:v>
                </c:pt>
              </c:strCache>
            </c:strRef>
          </c:tx>
          <c:spPr>
            <a:ln w="0">
              <a:solidFill>
                <a:srgbClr val="C00000"/>
              </a:solidFill>
              <a:prstDash val="solid"/>
            </a:ln>
          </c:spPr>
          <c:marker>
            <c:symbol val="circle"/>
            <c:size val="4"/>
            <c:spPr>
              <a:noFill/>
              <a:ln>
                <a:solidFill>
                  <a:srgbClr val="C00000"/>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月間量回帰式!$AH$24:$AH$35</c:f>
              <c:numCache>
                <c:formatCode>0.000</c:formatCode>
                <c:ptCount val="12"/>
                <c:pt idx="0">
                  <c:v>1.1352977475639701</c:v>
                </c:pt>
                <c:pt idx="1">
                  <c:v>1.6000059215890106</c:v>
                </c:pt>
                <c:pt idx="2">
                  <c:v>1.4329004994863512</c:v>
                </c:pt>
                <c:pt idx="3">
                  <c:v>1.4161438640519324</c:v>
                </c:pt>
                <c:pt idx="4">
                  <c:v>1.1923581863615043</c:v>
                </c:pt>
                <c:pt idx="5">
                  <c:v>1.2535908724551699</c:v>
                </c:pt>
                <c:pt idx="6">
                  <c:v>1.3279199303711402</c:v>
                </c:pt>
                <c:pt idx="7">
                  <c:v>0.69713620537412235</c:v>
                </c:pt>
                <c:pt idx="8">
                  <c:v>0.65857850294094955</c:v>
                </c:pt>
                <c:pt idx="9">
                  <c:v>0.36491111889663841</c:v>
                </c:pt>
                <c:pt idx="10">
                  <c:v>0.31913547319331431</c:v>
                </c:pt>
                <c:pt idx="11">
                  <c:v>0.4653163928886444</c:v>
                </c:pt>
              </c:numCache>
            </c:numRef>
          </c:val>
          <c:smooth val="0"/>
        </c:ser>
        <c:ser>
          <c:idx val="4"/>
          <c:order val="1"/>
          <c:tx>
            <c:strRef>
              <c:f>月間量回帰式!$AA$37:$AA$38</c:f>
              <c:strCache>
                <c:ptCount val="1"/>
                <c:pt idx="0">
                  <c:v>焼却灰 Cs-134</c:v>
                </c:pt>
              </c:strCache>
            </c:strRef>
          </c:tx>
          <c:spPr>
            <a:ln w="0">
              <a:solidFill>
                <a:srgbClr val="FF00FF"/>
              </a:solidFill>
              <a:prstDash val="solid"/>
            </a:ln>
          </c:spPr>
          <c:marker>
            <c:symbol val="x"/>
            <c:size val="3"/>
            <c:spPr>
              <a:noFill/>
              <a:ln>
                <a:solidFill>
                  <a:srgbClr val="FF00FF"/>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月間量回帰式!$AG$24:$AG$35</c:f>
              <c:numCache>
                <c:formatCode>0.000</c:formatCode>
                <c:ptCount val="12"/>
                <c:pt idx="0">
                  <c:v>1.2563747501635698</c:v>
                </c:pt>
                <c:pt idx="1">
                  <c:v>1.4019968988913087</c:v>
                </c:pt>
                <c:pt idx="2">
                  <c:v>1.2740111855018685</c:v>
                </c:pt>
                <c:pt idx="3">
                  <c:v>1.8277136941733214</c:v>
                </c:pt>
                <c:pt idx="4">
                  <c:v>0.87291952354064151</c:v>
                </c:pt>
                <c:pt idx="5">
                  <c:v>1.4009646150950499</c:v>
                </c:pt>
                <c:pt idx="6">
                  <c:v>1.3118294748729531</c:v>
                </c:pt>
                <c:pt idx="7">
                  <c:v>0.65436530343362642</c:v>
                </c:pt>
                <c:pt idx="8">
                  <c:v>0.65691296281358391</c:v>
                </c:pt>
                <c:pt idx="9">
                  <c:v>0.51952757387539994</c:v>
                </c:pt>
                <c:pt idx="10">
                  <c:v>0.52027103331451163</c:v>
                </c:pt>
                <c:pt idx="11">
                  <c:v>0.41296550240649615</c:v>
                </c:pt>
              </c:numCache>
            </c:numRef>
          </c:val>
          <c:smooth val="0"/>
        </c:ser>
        <c:dLbls>
          <c:showLegendKey val="0"/>
          <c:showVal val="0"/>
          <c:showCatName val="0"/>
          <c:showSerName val="0"/>
          <c:showPercent val="0"/>
          <c:showBubbleSize val="0"/>
        </c:dLbls>
        <c:marker val="1"/>
        <c:smooth val="0"/>
        <c:axId val="265667328"/>
        <c:axId val="265669248"/>
      </c:lineChart>
      <c:catAx>
        <c:axId val="265667328"/>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669248"/>
        <c:crosses val="autoZero"/>
        <c:auto val="0"/>
        <c:lblAlgn val="ctr"/>
        <c:lblOffset val="0"/>
        <c:tickLblSkip val="1"/>
        <c:tickMarkSkip val="1"/>
        <c:noMultiLvlLbl val="0"/>
      </c:catAx>
      <c:valAx>
        <c:axId val="265669248"/>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667328"/>
        <c:crosses val="autoZero"/>
        <c:crossBetween val="between"/>
      </c:valAx>
      <c:spPr>
        <a:noFill/>
        <a:ln w="12700">
          <a:solidFill>
            <a:srgbClr val="808080"/>
          </a:solidFill>
          <a:prstDash val="solid"/>
        </a:ln>
      </c:spPr>
    </c:plotArea>
    <c:legend>
      <c:legendPos val="r"/>
      <c:layout>
        <c:manualLayout>
          <c:xMode val="edge"/>
          <c:yMode val="edge"/>
          <c:x val="0.20305413895801885"/>
          <c:y val="0.5949515142942462"/>
          <c:w val="0.4144098229087948"/>
          <c:h val="0.12119707214122738"/>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8569035650175137E-2"/>
          <c:w val="0.87334611670950457"/>
          <c:h val="0.8417382719234825"/>
        </c:manualLayout>
      </c:layout>
      <c:lineChart>
        <c:grouping val="standard"/>
        <c:varyColors val="0"/>
        <c:ser>
          <c:idx val="3"/>
          <c:order val="0"/>
          <c:tx>
            <c:strRef>
              <c:f>月間量回帰式!$AB$37:$AB$38</c:f>
              <c:strCache>
                <c:ptCount val="1"/>
                <c:pt idx="0">
                  <c:v>焼却灰 Cs-137</c:v>
                </c:pt>
              </c:strCache>
            </c:strRef>
          </c:tx>
          <c:spPr>
            <a:ln w="0">
              <a:solidFill>
                <a:srgbClr val="C00000"/>
              </a:solidFill>
              <a:prstDash val="solid"/>
            </a:ln>
          </c:spPr>
          <c:marker>
            <c:symbol val="circle"/>
            <c:size val="4"/>
            <c:spPr>
              <a:noFill/>
              <a:ln>
                <a:solidFill>
                  <a:srgbClr val="C00000"/>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月間量回帰式!$AN$24:$AN$35</c:f>
              <c:numCache>
                <c:formatCode>0.000</c:formatCode>
                <c:ptCount val="12"/>
                <c:pt idx="0">
                  <c:v>1.3653071724559329</c:v>
                </c:pt>
                <c:pt idx="1">
                  <c:v>1.3725765538386396</c:v>
                </c:pt>
                <c:pt idx="2">
                  <c:v>1.439594631373897</c:v>
                </c:pt>
                <c:pt idx="3">
                  <c:v>1.1616782538693875</c:v>
                </c:pt>
                <c:pt idx="4">
                  <c:v>1.0588207502514446</c:v>
                </c:pt>
                <c:pt idx="5">
                  <c:v>1.1001056767218826</c:v>
                </c:pt>
                <c:pt idx="6">
                  <c:v>1.2082320122472245</c:v>
                </c:pt>
                <c:pt idx="7">
                  <c:v>1.0013457147675147</c:v>
                </c:pt>
                <c:pt idx="8">
                  <c:v>0.84514834014612705</c:v>
                </c:pt>
                <c:pt idx="9">
                  <c:v>0.44259257915208378</c:v>
                </c:pt>
                <c:pt idx="10">
                  <c:v>0.3964987116771036</c:v>
                </c:pt>
                <c:pt idx="11">
                  <c:v>0.46314215206771686</c:v>
                </c:pt>
              </c:numCache>
            </c:numRef>
          </c:val>
          <c:smooth val="0"/>
        </c:ser>
        <c:ser>
          <c:idx val="4"/>
          <c:order val="1"/>
          <c:tx>
            <c:strRef>
              <c:f>月間量回帰式!$AA$37:$AA$38</c:f>
              <c:strCache>
                <c:ptCount val="1"/>
                <c:pt idx="0">
                  <c:v>焼却灰 Cs-134</c:v>
                </c:pt>
              </c:strCache>
            </c:strRef>
          </c:tx>
          <c:spPr>
            <a:ln w="0">
              <a:solidFill>
                <a:srgbClr val="FF00FF"/>
              </a:solidFill>
              <a:prstDash val="solid"/>
            </a:ln>
          </c:spPr>
          <c:marker>
            <c:symbol val="x"/>
            <c:size val="3"/>
            <c:spPr>
              <a:noFill/>
              <a:ln>
                <a:solidFill>
                  <a:srgbClr val="FF00FF"/>
                </a:solidFill>
              </a:ln>
            </c:spPr>
          </c:marker>
          <c:cat>
            <c:strRef>
              <c:f>月間量回帰式!$V$24:$V$35</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月間量回帰式!$AM$24:$AM$35</c:f>
              <c:numCache>
                <c:formatCode>0.000</c:formatCode>
                <c:ptCount val="12"/>
                <c:pt idx="0">
                  <c:v>1.4185587693407726</c:v>
                </c:pt>
                <c:pt idx="1">
                  <c:v>1.6770707758401002</c:v>
                </c:pt>
                <c:pt idx="2">
                  <c:v>1.6820544185926074</c:v>
                </c:pt>
                <c:pt idx="3">
                  <c:v>1.2692930175563488</c:v>
                </c:pt>
                <c:pt idx="4">
                  <c:v>1.1291764174123347</c:v>
                </c:pt>
                <c:pt idx="5">
                  <c:v>0.95688209876759811</c:v>
                </c:pt>
                <c:pt idx="6">
                  <c:v>1.0518894396949863</c:v>
                </c:pt>
                <c:pt idx="7">
                  <c:v>0.78359617262460701</c:v>
                </c:pt>
                <c:pt idx="8">
                  <c:v>0.63326173434132105</c:v>
                </c:pt>
                <c:pt idx="9">
                  <c:v>0.43241520633347802</c:v>
                </c:pt>
                <c:pt idx="10">
                  <c:v>0.35712630471736706</c:v>
                </c:pt>
                <c:pt idx="11">
                  <c:v>0.39523365098041313</c:v>
                </c:pt>
              </c:numCache>
            </c:numRef>
          </c:val>
          <c:smooth val="0"/>
        </c:ser>
        <c:dLbls>
          <c:showLegendKey val="0"/>
          <c:showVal val="0"/>
          <c:showCatName val="0"/>
          <c:showSerName val="0"/>
          <c:showPercent val="0"/>
          <c:showBubbleSize val="0"/>
        </c:dLbls>
        <c:marker val="1"/>
        <c:smooth val="0"/>
        <c:axId val="265771264"/>
        <c:axId val="265773440"/>
      </c:lineChart>
      <c:catAx>
        <c:axId val="265771264"/>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5773440"/>
        <c:crosses val="autoZero"/>
        <c:auto val="0"/>
        <c:lblAlgn val="ctr"/>
        <c:lblOffset val="0"/>
        <c:tickLblSkip val="1"/>
        <c:tickMarkSkip val="1"/>
        <c:noMultiLvlLbl val="0"/>
      </c:catAx>
      <c:valAx>
        <c:axId val="265773440"/>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5771264"/>
        <c:crosses val="autoZero"/>
        <c:crossBetween val="between"/>
      </c:valAx>
      <c:spPr>
        <a:noFill/>
        <a:ln w="12700">
          <a:solidFill>
            <a:srgbClr val="808080"/>
          </a:solidFill>
          <a:prstDash val="solid"/>
        </a:ln>
      </c:spPr>
    </c:plotArea>
    <c:legend>
      <c:legendPos val="r"/>
      <c:layout>
        <c:manualLayout>
          <c:xMode val="edge"/>
          <c:yMode val="edge"/>
          <c:x val="0.20305413895801885"/>
          <c:y val="0.5949515142942462"/>
          <c:w val="0.4144098229087948"/>
          <c:h val="0.12119707214122738"/>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19424</xdr:colOff>
      <xdr:row>2</xdr:row>
      <xdr:rowOff>114300</xdr:rowOff>
    </xdr:from>
    <xdr:to>
      <xdr:col>16</xdr:col>
      <xdr:colOff>355600</xdr:colOff>
      <xdr:row>50</xdr:row>
      <xdr:rowOff>76200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292100</xdr:colOff>
      <xdr:row>0</xdr:row>
      <xdr:rowOff>0</xdr:rowOff>
    </xdr:from>
    <xdr:to>
      <xdr:col>50</xdr:col>
      <xdr:colOff>88900</xdr:colOff>
      <xdr:row>26</xdr:row>
      <xdr:rowOff>12700</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95250</xdr:colOff>
      <xdr:row>55</xdr:row>
      <xdr:rowOff>101600</xdr:rowOff>
    </xdr:from>
    <xdr:to>
      <xdr:col>16</xdr:col>
      <xdr:colOff>304800</xdr:colOff>
      <xdr:row>88</xdr:row>
      <xdr:rowOff>38100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101600</xdr:colOff>
      <xdr:row>84</xdr:row>
      <xdr:rowOff>63500</xdr:rowOff>
    </xdr:from>
    <xdr:to>
      <xdr:col>16</xdr:col>
      <xdr:colOff>304800</xdr:colOff>
      <xdr:row>117</xdr:row>
      <xdr:rowOff>12700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261408</xdr:colOff>
      <xdr:row>72</xdr:row>
      <xdr:rowOff>88900</xdr:rowOff>
    </xdr:from>
    <xdr:to>
      <xdr:col>13</xdr:col>
      <xdr:colOff>208491</xdr:colOff>
      <xdr:row>103</xdr:row>
      <xdr:rowOff>79374</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177799</xdr:colOff>
      <xdr:row>44</xdr:row>
      <xdr:rowOff>121708</xdr:rowOff>
    </xdr:from>
    <xdr:to>
      <xdr:col>12</xdr:col>
      <xdr:colOff>162983</xdr:colOff>
      <xdr:row>71</xdr:row>
      <xdr:rowOff>41275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47686</xdr:colOff>
      <xdr:row>37</xdr:row>
      <xdr:rowOff>121712</xdr:rowOff>
    </xdr:from>
    <xdr:to>
      <xdr:col>29</xdr:col>
      <xdr:colOff>240305</xdr:colOff>
      <xdr:row>63</xdr:row>
      <xdr:rowOff>10585</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19048</xdr:colOff>
      <xdr:row>62</xdr:row>
      <xdr:rowOff>68794</xdr:rowOff>
    </xdr:from>
    <xdr:to>
      <xdr:col>33</xdr:col>
      <xdr:colOff>211666</xdr:colOff>
      <xdr:row>87</xdr:row>
      <xdr:rowOff>84668</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32</xdr:col>
      <xdr:colOff>273049</xdr:colOff>
      <xdr:row>40</xdr:row>
      <xdr:rowOff>89961</xdr:rowOff>
    </xdr:from>
    <xdr:to>
      <xdr:col>41</xdr:col>
      <xdr:colOff>117475</xdr:colOff>
      <xdr:row>65</xdr:row>
      <xdr:rowOff>105835</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38</xdr:col>
      <xdr:colOff>8466</xdr:colOff>
      <xdr:row>63</xdr:row>
      <xdr:rowOff>5294</xdr:rowOff>
    </xdr:from>
    <xdr:to>
      <xdr:col>46</xdr:col>
      <xdr:colOff>191558</xdr:colOff>
      <xdr:row>88</xdr:row>
      <xdr:rowOff>21168</xdr:rowOff>
    </xdr:to>
    <xdr:graphicFrame macro="">
      <xdr:nvGraphicFramePr>
        <xdr:cNvPr id="8"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watanakyouei.jp/facility/tobu.html" TargetMode="External"/><Relationship Id="rId1" Type="http://schemas.openxmlformats.org/officeDocument/2006/relationships/hyperlink" Target="https://www.watanakyouei.jp/facility/tobu.html"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1273"/>
  <sheetViews>
    <sheetView tabSelected="1" topLeftCell="J35" zoomScale="75" zoomScaleNormal="75" workbookViewId="0">
      <selection activeCell="BZ76" sqref="BZ76"/>
    </sheetView>
  </sheetViews>
  <sheetFormatPr defaultColWidth="4.875" defaultRowHeight="12" customHeight="1" x14ac:dyDescent="0.15"/>
  <cols>
    <col min="1" max="1" width="1.125" style="58" customWidth="1"/>
    <col min="2" max="2" width="6.25" style="59" customWidth="1"/>
    <col min="3" max="4" width="4.375" style="9" customWidth="1"/>
    <col min="5" max="5" width="5.125" style="9" customWidth="1"/>
    <col min="6" max="6" width="6.25" style="59" customWidth="1"/>
    <col min="7" max="10" width="4.375" style="9" customWidth="1"/>
    <col min="11" max="11" width="5.125" style="9" customWidth="1"/>
    <col min="12" max="15" width="4.375" style="9" customWidth="1"/>
    <col min="16" max="16" width="5.125" style="9" customWidth="1"/>
    <col min="17" max="17" width="5.875" style="9" customWidth="1"/>
    <col min="18" max="18" width="5.375" style="9" customWidth="1"/>
    <col min="19" max="19" width="4.5" style="9" customWidth="1"/>
    <col min="20" max="20" width="4.625" style="59" customWidth="1"/>
    <col min="21" max="23" width="4.625" style="9" customWidth="1"/>
    <col min="24" max="24" width="4.625" style="59" customWidth="1"/>
    <col min="25" max="30" width="4.625" style="9" customWidth="1"/>
    <col min="31" max="31" width="4.625" style="59" customWidth="1"/>
    <col min="32" max="39" width="4.625" style="9" customWidth="1"/>
    <col min="40" max="41" width="4.625" style="58" customWidth="1"/>
    <col min="42" max="46" width="4.625" style="9" customWidth="1"/>
    <col min="47" max="47" width="4.625" style="58" customWidth="1"/>
    <col min="48" max="52" width="4.625" style="9" customWidth="1"/>
    <col min="53" max="53" width="4.625" style="58" customWidth="1"/>
    <col min="54" max="54" width="4.625" style="9" customWidth="1"/>
    <col min="55" max="56" width="4.625" style="192" customWidth="1"/>
    <col min="57" max="59" width="4.625" style="137" customWidth="1"/>
    <col min="60" max="61" width="4.625" style="192" customWidth="1"/>
    <col min="62" max="62" width="2" style="9" customWidth="1"/>
    <col min="63" max="73" width="4" style="9" customWidth="1"/>
    <col min="74" max="74" width="2" style="9" customWidth="1"/>
    <col min="75" max="75" width="4.625" style="9" customWidth="1"/>
    <col min="76" max="86" width="4.375" style="9" customWidth="1"/>
    <col min="87" max="16384" width="4.875" style="9"/>
  </cols>
  <sheetData>
    <row r="1" spans="1:66" ht="6.75" customHeight="1" x14ac:dyDescent="0.15">
      <c r="BE1" s="192"/>
      <c r="BF1" s="192"/>
      <c r="BG1" s="192"/>
    </row>
    <row r="2" spans="1:66" ht="15.75" customHeight="1" x14ac:dyDescent="0.2">
      <c r="B2" s="321" t="s">
        <v>537</v>
      </c>
      <c r="R2" s="322" t="s">
        <v>438</v>
      </c>
      <c r="S2" s="229"/>
      <c r="T2" s="9"/>
      <c r="W2" s="59"/>
      <c r="X2" s="9"/>
      <c r="AB2" s="167" t="s">
        <v>355</v>
      </c>
      <c r="AE2" s="9"/>
      <c r="AH2" s="59"/>
      <c r="BC2" s="193"/>
      <c r="BD2" s="179"/>
      <c r="BH2" s="137"/>
    </row>
    <row r="3" spans="1:66" ht="9.9499999999999993" customHeight="1" x14ac:dyDescent="0.2">
      <c r="A3" s="9"/>
      <c r="K3" s="53"/>
      <c r="P3" s="48"/>
      <c r="T3" s="9"/>
      <c r="X3" s="9"/>
      <c r="Z3" s="58"/>
      <c r="AE3" s="9"/>
      <c r="AF3" s="58"/>
      <c r="AG3" s="58"/>
      <c r="BA3" s="9"/>
      <c r="BC3" s="193"/>
      <c r="BD3" s="179"/>
      <c r="BH3" s="137"/>
    </row>
    <row r="4" spans="1:66" ht="12" customHeight="1" x14ac:dyDescent="0.2">
      <c r="A4" s="9"/>
      <c r="K4" s="53"/>
      <c r="P4" s="48"/>
      <c r="R4" s="178">
        <v>89.3</v>
      </c>
      <c r="S4" s="179" t="s">
        <v>366</v>
      </c>
      <c r="T4" s="179"/>
      <c r="U4" s="179"/>
      <c r="V4" s="179"/>
      <c r="W4" s="59"/>
      <c r="X4" s="180">
        <v>5.5</v>
      </c>
      <c r="Y4" s="179" t="s">
        <v>367</v>
      </c>
    </row>
    <row r="5" spans="1:66" ht="39" customHeight="1" x14ac:dyDescent="0.15">
      <c r="A5" s="9"/>
      <c r="K5" s="53"/>
      <c r="P5" s="48"/>
    </row>
    <row r="6" spans="1:66" ht="9.9499999999999993" customHeight="1" x14ac:dyDescent="0.15">
      <c r="A6" s="9"/>
      <c r="K6" s="53"/>
      <c r="P6" s="48"/>
      <c r="R6" s="51" t="s">
        <v>389</v>
      </c>
      <c r="S6" s="59"/>
      <c r="T6" s="9"/>
      <c r="U6" s="51"/>
      <c r="V6" s="51"/>
      <c r="W6" s="59"/>
      <c r="X6" s="9"/>
      <c r="AB6" s="51" t="s">
        <v>388</v>
      </c>
      <c r="AE6" s="9"/>
      <c r="AF6" s="59"/>
      <c r="AG6" s="59"/>
    </row>
    <row r="7" spans="1:66" ht="9.9499999999999993" customHeight="1" x14ac:dyDescent="0.2">
      <c r="A7" s="9"/>
      <c r="K7" s="53"/>
      <c r="P7" s="48"/>
      <c r="R7"/>
      <c r="S7" s="172" t="s">
        <v>363</v>
      </c>
      <c r="T7"/>
      <c r="U7"/>
      <c r="V7"/>
      <c r="X7" s="9"/>
      <c r="AB7" s="185"/>
      <c r="AC7" s="186" t="s">
        <v>328</v>
      </c>
      <c r="AD7" s="187" t="s">
        <v>322</v>
      </c>
      <c r="AE7" s="188"/>
      <c r="AF7" s="187" t="s">
        <v>323</v>
      </c>
      <c r="AG7" s="323"/>
      <c r="AH7" s="188"/>
      <c r="AI7" s="187" t="s">
        <v>324</v>
      </c>
      <c r="AJ7" s="188"/>
      <c r="AK7" s="185" t="s">
        <v>320</v>
      </c>
    </row>
    <row r="8" spans="1:66" ht="9.9499999999999993" customHeight="1" x14ac:dyDescent="0.15">
      <c r="A8" s="9"/>
      <c r="K8" s="53"/>
      <c r="P8" s="48"/>
      <c r="R8" s="398" t="s">
        <v>273</v>
      </c>
      <c r="S8" s="369" t="s">
        <v>278</v>
      </c>
      <c r="T8" s="399" t="s">
        <v>318</v>
      </c>
      <c r="U8" s="369" t="s">
        <v>280</v>
      </c>
      <c r="V8" s="378" t="s">
        <v>286</v>
      </c>
      <c r="W8" s="369" t="s">
        <v>364</v>
      </c>
      <c r="X8" s="378" t="s">
        <v>392</v>
      </c>
      <c r="AB8" s="141"/>
      <c r="AC8" s="141" t="s">
        <v>330</v>
      </c>
      <c r="AD8" s="189" t="s">
        <v>348</v>
      </c>
      <c r="AE8" s="190" t="s">
        <v>349</v>
      </c>
      <c r="AF8" s="189" t="s">
        <v>348</v>
      </c>
      <c r="AG8" s="324"/>
      <c r="AH8" s="190" t="s">
        <v>349</v>
      </c>
      <c r="AI8" s="189" t="s">
        <v>348</v>
      </c>
      <c r="AJ8" s="190" t="s">
        <v>349</v>
      </c>
      <c r="AK8" s="141" t="s">
        <v>330</v>
      </c>
    </row>
    <row r="9" spans="1:66" ht="9.9499999999999993" customHeight="1" x14ac:dyDescent="0.15">
      <c r="A9" s="9"/>
      <c r="P9" s="48"/>
      <c r="R9" s="370"/>
      <c r="S9" s="370"/>
      <c r="T9" s="370"/>
      <c r="U9" s="370"/>
      <c r="V9" s="379"/>
      <c r="W9" s="370"/>
      <c r="X9" s="379"/>
      <c r="AB9" s="150" t="s">
        <v>331</v>
      </c>
      <c r="AC9" s="317">
        <v>7.9992816066502742E-2</v>
      </c>
      <c r="AD9" s="317">
        <v>8.1239374070688875E-2</v>
      </c>
      <c r="AE9" s="317">
        <v>8.1971266995696179E-2</v>
      </c>
      <c r="AF9" s="317">
        <v>7.9764127092520801E-2</v>
      </c>
      <c r="AG9" s="317"/>
      <c r="AH9" s="317">
        <v>8.1971266995696179E-2</v>
      </c>
      <c r="AI9" s="317">
        <v>8.4725438836653288E-2</v>
      </c>
      <c r="AJ9" s="317">
        <v>8.1675098411791908E-2</v>
      </c>
      <c r="AK9" s="148">
        <v>7.6501400928994254E-2</v>
      </c>
    </row>
    <row r="10" spans="1:66" ht="9.9499999999999993" customHeight="1" x14ac:dyDescent="0.15">
      <c r="A10" s="9"/>
      <c r="P10" s="48"/>
      <c r="R10" s="370"/>
      <c r="S10" s="370"/>
      <c r="T10" s="370"/>
      <c r="U10" s="370"/>
      <c r="V10" s="379"/>
      <c r="W10" s="370"/>
      <c r="X10" s="379"/>
      <c r="AB10" s="150" t="s">
        <v>332</v>
      </c>
      <c r="AC10" s="317">
        <v>9.0772615392838429E-2</v>
      </c>
      <c r="AD10" s="317">
        <v>8.5327029837802548E-2</v>
      </c>
      <c r="AE10" s="317">
        <v>8.61486694425114E-2</v>
      </c>
      <c r="AF10" s="317">
        <v>8.3799309417239079E-2</v>
      </c>
      <c r="AG10" s="317"/>
      <c r="AH10" s="317">
        <v>8.61486694425114E-2</v>
      </c>
      <c r="AI10" s="317">
        <v>8.9079102141579242E-2</v>
      </c>
      <c r="AJ10" s="317">
        <v>8.5843363132333275E-2</v>
      </c>
      <c r="AK10" s="148">
        <v>8.6293553760327171E-2</v>
      </c>
    </row>
    <row r="11" spans="1:66" ht="9.9499999999999993" customHeight="1" x14ac:dyDescent="0.15">
      <c r="A11" s="9"/>
      <c r="P11" s="48"/>
      <c r="R11" s="370"/>
      <c r="S11" s="370"/>
      <c r="T11" s="370"/>
      <c r="U11" s="370"/>
      <c r="V11" s="379"/>
      <c r="W11" s="370"/>
      <c r="X11" s="379"/>
      <c r="AB11" s="150" t="s">
        <v>333</v>
      </c>
      <c r="AC11" s="317">
        <v>8.6804076534505711E-2</v>
      </c>
      <c r="AD11" s="317">
        <v>8.4678586523712462E-2</v>
      </c>
      <c r="AE11" s="317">
        <v>8.5459112238232091E-2</v>
      </c>
      <c r="AF11" s="317">
        <v>8.3103797373363625E-2</v>
      </c>
      <c r="AG11" s="317"/>
      <c r="AH11" s="317">
        <v>8.5459112238232091E-2</v>
      </c>
      <c r="AI11" s="317">
        <v>8.8340144931220527E-2</v>
      </c>
      <c r="AJ11" s="317">
        <v>8.5159968580657261E-2</v>
      </c>
      <c r="AK11" s="148">
        <v>8.8658664053806027E-2</v>
      </c>
    </row>
    <row r="12" spans="1:66" ht="9.9499999999999993" customHeight="1" x14ac:dyDescent="0.15">
      <c r="A12" s="9"/>
      <c r="J12" s="51"/>
      <c r="K12" s="51"/>
      <c r="P12" s="48"/>
      <c r="R12" s="371"/>
      <c r="S12" s="371"/>
      <c r="T12" s="371"/>
      <c r="U12" s="371"/>
      <c r="V12" s="380"/>
      <c r="W12" s="371"/>
      <c r="X12" s="380"/>
      <c r="AB12" s="150" t="s">
        <v>334</v>
      </c>
      <c r="AC12" s="317">
        <v>9.0079743785774907E-2</v>
      </c>
      <c r="AD12" s="317">
        <v>9.1952753314051006E-2</v>
      </c>
      <c r="AE12" s="317">
        <v>9.284376445839071E-2</v>
      </c>
      <c r="AF12" s="317">
        <v>9.0364302113771361E-2</v>
      </c>
      <c r="AG12" s="317"/>
      <c r="AH12" s="317">
        <v>9.284376445839071E-2</v>
      </c>
      <c r="AI12" s="317">
        <v>9.6044241937492891E-2</v>
      </c>
      <c r="AJ12" s="317">
        <v>9.2512458129384509E-2</v>
      </c>
      <c r="AK12" s="148">
        <v>9.4654152965531743E-2</v>
      </c>
      <c r="BL12" s="9" t="s">
        <v>534</v>
      </c>
    </row>
    <row r="13" spans="1:66" ht="9.9499999999999993" customHeight="1" x14ac:dyDescent="0.15">
      <c r="A13" s="9"/>
      <c r="J13" s="51"/>
      <c r="K13" s="51"/>
      <c r="P13" s="48"/>
      <c r="R13" s="165">
        <v>40634</v>
      </c>
      <c r="S13" s="166">
        <v>164598</v>
      </c>
      <c r="T13" s="166">
        <v>59412</v>
      </c>
      <c r="U13" s="166">
        <v>44045</v>
      </c>
      <c r="V13" s="166">
        <v>5208</v>
      </c>
      <c r="W13" s="173">
        <f>V13/U13</f>
        <v>0.11824270632307866</v>
      </c>
      <c r="X13" s="173">
        <v>0</v>
      </c>
      <c r="AB13" s="150" t="s">
        <v>335</v>
      </c>
      <c r="AC13" s="317">
        <v>9.5056963183888205E-2</v>
      </c>
      <c r="AD13" s="317">
        <v>9.0022862004074347E-2</v>
      </c>
      <c r="AE13" s="317">
        <v>9.0918583138403744E-2</v>
      </c>
      <c r="AF13" s="317">
        <v>8.8422789661505491E-2</v>
      </c>
      <c r="AG13" s="317"/>
      <c r="AH13" s="317">
        <v>9.0918583138403758E-2</v>
      </c>
      <c r="AI13" s="317">
        <v>9.404801143562605E-2</v>
      </c>
      <c r="AJ13" s="317">
        <v>9.0602864070378653E-2</v>
      </c>
      <c r="AK13" s="148">
        <v>9.8234579568867289E-2</v>
      </c>
      <c r="BM13" s="9" t="s">
        <v>429</v>
      </c>
      <c r="BN13" s="9" t="s">
        <v>520</v>
      </c>
    </row>
    <row r="14" spans="1:66" ht="9.9499999999999993" customHeight="1" x14ac:dyDescent="0.15">
      <c r="A14" s="9"/>
      <c r="J14" s="51"/>
      <c r="K14" s="51"/>
      <c r="P14" s="48"/>
      <c r="R14" s="77">
        <v>41000</v>
      </c>
      <c r="S14" s="161">
        <v>164324</v>
      </c>
      <c r="T14" s="161">
        <v>56518</v>
      </c>
      <c r="U14" s="161">
        <v>43740</v>
      </c>
      <c r="V14" s="161">
        <v>5588</v>
      </c>
      <c r="W14" s="173">
        <f t="shared" ref="W14:W20" si="0">V14/U14</f>
        <v>0.12775491540923639</v>
      </c>
      <c r="X14" s="173">
        <v>0.33786015782712425</v>
      </c>
      <c r="AB14" s="150" t="s">
        <v>336</v>
      </c>
      <c r="AC14" s="317">
        <v>8.5050031214917471E-2</v>
      </c>
      <c r="AD14" s="317">
        <v>8.7477464038360042E-2</v>
      </c>
      <c r="AE14" s="317">
        <v>8.8268380080710113E-2</v>
      </c>
      <c r="AF14" s="317">
        <v>8.8762891285185219E-2</v>
      </c>
      <c r="AG14" s="317"/>
      <c r="AH14" s="317">
        <v>8.8268380080710113E-2</v>
      </c>
      <c r="AI14" s="317">
        <v>8.4650850398460598E-2</v>
      </c>
      <c r="AJ14" s="317">
        <v>8.7951035347429332E-2</v>
      </c>
      <c r="AK14" s="148">
        <v>9.1272178635522935E-2</v>
      </c>
      <c r="BM14" s="9" t="s">
        <v>429</v>
      </c>
      <c r="BN14" s="9" t="s">
        <v>521</v>
      </c>
    </row>
    <row r="15" spans="1:66" ht="9.9499999999999993" customHeight="1" x14ac:dyDescent="0.15">
      <c r="A15" s="9"/>
      <c r="J15" s="51"/>
      <c r="K15" s="51"/>
      <c r="M15" s="48"/>
      <c r="N15" s="48"/>
      <c r="O15" s="48"/>
      <c r="P15" s="48"/>
      <c r="R15" s="115" t="s">
        <v>309</v>
      </c>
      <c r="S15" s="161">
        <v>165270</v>
      </c>
      <c r="T15" s="161">
        <v>57764</v>
      </c>
      <c r="U15" s="161">
        <v>44496</v>
      </c>
      <c r="V15" s="161">
        <v>6354</v>
      </c>
      <c r="W15" s="173">
        <f t="shared" si="0"/>
        <v>0.14279935275080907</v>
      </c>
      <c r="X15" s="173">
        <v>0.33778298908631732</v>
      </c>
      <c r="AB15" s="150" t="s">
        <v>337</v>
      </c>
      <c r="AC15" s="317">
        <v>8.6599482936585273E-2</v>
      </c>
      <c r="AD15" s="317">
        <v>8.995767192741197E-2</v>
      </c>
      <c r="AE15" s="317">
        <v>8.7125754441793143E-2</v>
      </c>
      <c r="AF15" s="317">
        <v>9.1078895049848063E-2</v>
      </c>
      <c r="AG15" s="317"/>
      <c r="AH15" s="317">
        <v>8.7125754441793143E-2</v>
      </c>
      <c r="AI15" s="317">
        <v>8.6802044013682689E-2</v>
      </c>
      <c r="AJ15" s="317">
        <v>8.6815039872692457E-2</v>
      </c>
      <c r="AK15" s="148">
        <v>9.4203355868508101E-2</v>
      </c>
      <c r="BM15" s="9" t="s">
        <v>430</v>
      </c>
      <c r="BN15" s="9" t="s">
        <v>522</v>
      </c>
    </row>
    <row r="16" spans="1:66" ht="9.9499999999999993" customHeight="1" x14ac:dyDescent="0.15">
      <c r="A16" s="9"/>
      <c r="J16" s="51"/>
      <c r="K16" s="51"/>
      <c r="M16" s="48"/>
      <c r="N16" s="48"/>
      <c r="O16" s="48"/>
      <c r="P16" s="48"/>
      <c r="R16" s="115" t="s">
        <v>394</v>
      </c>
      <c r="S16" s="161">
        <v>166846</v>
      </c>
      <c r="T16" s="161">
        <v>57526</v>
      </c>
      <c r="U16" s="161">
        <v>44275</v>
      </c>
      <c r="V16" s="161">
        <v>6445</v>
      </c>
      <c r="W16" s="173">
        <f t="shared" si="0"/>
        <v>0.14556747600225861</v>
      </c>
      <c r="X16" s="173">
        <v>0.34386571966247798</v>
      </c>
      <c r="AB16" s="150" t="s">
        <v>338</v>
      </c>
      <c r="AC16" s="317">
        <v>8.0846255404083966E-2</v>
      </c>
      <c r="AD16" s="317">
        <v>8.1386659452448384E-2</v>
      </c>
      <c r="AE16" s="317">
        <v>8.0589023142928984E-2</v>
      </c>
      <c r="AF16" s="317">
        <v>8.2451787157490741E-2</v>
      </c>
      <c r="AG16" s="317"/>
      <c r="AH16" s="317">
        <v>8.0589023142928984E-2</v>
      </c>
      <c r="AI16" s="317">
        <v>7.8598133203399173E-2</v>
      </c>
      <c r="AJ16" s="317">
        <v>8.0310364992628586E-2</v>
      </c>
      <c r="AK16" s="148">
        <v>8.3132019547620395E-2</v>
      </c>
      <c r="BM16" s="9" t="s">
        <v>430</v>
      </c>
      <c r="BN16" s="9" t="s">
        <v>523</v>
      </c>
    </row>
    <row r="17" spans="1:76" ht="9.9499999999999993" customHeight="1" x14ac:dyDescent="0.15">
      <c r="A17" s="9"/>
      <c r="J17" s="51"/>
      <c r="K17" s="51"/>
      <c r="M17" s="48"/>
      <c r="N17" s="48"/>
      <c r="O17" s="48"/>
      <c r="P17" s="48"/>
      <c r="R17" s="116" t="s">
        <v>395</v>
      </c>
      <c r="S17" s="161">
        <v>168004</v>
      </c>
      <c r="T17" s="161">
        <v>57816</v>
      </c>
      <c r="U17" s="161">
        <v>44262</v>
      </c>
      <c r="V17" s="161">
        <v>6305</v>
      </c>
      <c r="W17" s="173">
        <f t="shared" si="0"/>
        <v>0.14244724594460259</v>
      </c>
      <c r="X17" s="173">
        <v>0.33677629790703995</v>
      </c>
      <c r="AB17" s="150" t="s">
        <v>339</v>
      </c>
      <c r="AC17" s="317">
        <v>8.1908249764947372E-2</v>
      </c>
      <c r="AD17" s="317">
        <v>8.5204321406291902E-2</v>
      </c>
      <c r="AE17" s="317">
        <v>8.5368950939801916E-2</v>
      </c>
      <c r="AF17" s="317">
        <v>8.6443756868529398E-2</v>
      </c>
      <c r="AG17" s="317"/>
      <c r="AH17" s="317">
        <v>8.5368950939801916E-2</v>
      </c>
      <c r="AI17" s="317">
        <v>8.2429616481536724E-2</v>
      </c>
      <c r="AJ17" s="317">
        <v>8.5064324646462783E-2</v>
      </c>
      <c r="AK17" s="148">
        <v>8.0257245665374927E-2</v>
      </c>
      <c r="BM17" s="9" t="s">
        <v>430</v>
      </c>
      <c r="BN17" s="9" t="s">
        <v>524</v>
      </c>
    </row>
    <row r="18" spans="1:76" ht="9.9499999999999993" customHeight="1" x14ac:dyDescent="0.15">
      <c r="A18" s="9"/>
      <c r="J18" s="51"/>
      <c r="K18" s="51"/>
      <c r="M18" s="48"/>
      <c r="N18" s="48"/>
      <c r="O18" s="48"/>
      <c r="P18" s="48"/>
      <c r="R18" s="117" t="s">
        <v>396</v>
      </c>
      <c r="S18" s="161">
        <v>168498</v>
      </c>
      <c r="T18" s="161">
        <v>56356</v>
      </c>
      <c r="U18" s="161">
        <v>44194</v>
      </c>
      <c r="V18" s="161">
        <v>5277</v>
      </c>
      <c r="W18" s="173">
        <f t="shared" si="0"/>
        <v>0.11940534914241752</v>
      </c>
      <c r="X18" s="177"/>
      <c r="AB18" s="150" t="s">
        <v>340</v>
      </c>
      <c r="AC18" s="317">
        <v>7.7395832614512952E-2</v>
      </c>
      <c r="AD18" s="317">
        <v>7.5322620124537651E-2</v>
      </c>
      <c r="AE18" s="317">
        <v>7.4432954139816931E-2</v>
      </c>
      <c r="AF18" s="317">
        <v>7.6331814131499115E-2</v>
      </c>
      <c r="AG18" s="317"/>
      <c r="AH18" s="317">
        <v>7.4432954139816931E-2</v>
      </c>
      <c r="AI18" s="317">
        <v>7.2815434218219122E-2</v>
      </c>
      <c r="AJ18" s="317">
        <v>7.4168161957873957E-2</v>
      </c>
      <c r="AK18" s="148">
        <v>7.2160448244430783E-2</v>
      </c>
      <c r="BM18" s="9" t="s">
        <v>525</v>
      </c>
      <c r="BN18" s="9" t="s">
        <v>526</v>
      </c>
    </row>
    <row r="19" spans="1:76" ht="9.9499999999999993" customHeight="1" x14ac:dyDescent="0.15">
      <c r="A19" s="9"/>
      <c r="J19" s="51"/>
      <c r="K19" s="51"/>
      <c r="M19" s="48"/>
      <c r="N19" s="48"/>
      <c r="O19" s="48"/>
      <c r="P19" s="48"/>
      <c r="R19" s="117" t="s">
        <v>397</v>
      </c>
      <c r="S19" s="161"/>
      <c r="T19" s="161">
        <f>AVERAGE(T14:T18)</f>
        <v>57196</v>
      </c>
      <c r="U19" s="161">
        <f>AVERAGE(U14:U18)</f>
        <v>44193.4</v>
      </c>
      <c r="V19" s="161">
        <f>U19*0.133</f>
        <v>5877.7222000000002</v>
      </c>
      <c r="W19" s="173">
        <f t="shared" si="0"/>
        <v>0.13300000000000001</v>
      </c>
      <c r="X19" s="177"/>
      <c r="AB19" s="150" t="s">
        <v>341</v>
      </c>
      <c r="AC19" s="317">
        <v>6.6426641054386296E-2</v>
      </c>
      <c r="AD19" s="317">
        <v>6.5919258032213893E-2</v>
      </c>
      <c r="AE19" s="317">
        <v>6.5857499191818117E-2</v>
      </c>
      <c r="AF19" s="317">
        <v>6.6833216206414664E-2</v>
      </c>
      <c r="AG19" s="317"/>
      <c r="AH19" s="317">
        <v>6.5857499191818117E-2</v>
      </c>
      <c r="AI19" s="317">
        <v>6.3682697120208909E-2</v>
      </c>
      <c r="AJ19" s="317">
        <v>6.5627866005503313E-2</v>
      </c>
      <c r="AK19" s="148">
        <v>6.084459991821816E-2</v>
      </c>
      <c r="BM19" s="9" t="s">
        <v>525</v>
      </c>
      <c r="BN19" s="9" t="s">
        <v>527</v>
      </c>
    </row>
    <row r="20" spans="1:76" ht="9.9499999999999993" customHeight="1" x14ac:dyDescent="0.15">
      <c r="A20" s="9"/>
      <c r="J20" s="51"/>
      <c r="K20" s="51"/>
      <c r="M20" s="48"/>
      <c r="N20" s="48"/>
      <c r="O20" s="48"/>
      <c r="P20" s="48"/>
      <c r="R20" s="117" t="s">
        <v>398</v>
      </c>
      <c r="S20" s="161"/>
      <c r="T20" s="161">
        <f>AVERAGE(T15:T19)</f>
        <v>57331.6</v>
      </c>
      <c r="U20" s="161">
        <f>AVERAGE(U15:U19)</f>
        <v>44284.08</v>
      </c>
      <c r="V20" s="161">
        <f>U20*0.133</f>
        <v>5889.7826400000004</v>
      </c>
      <c r="W20" s="173">
        <f t="shared" si="0"/>
        <v>0.13300000000000001</v>
      </c>
      <c r="X20" s="177"/>
      <c r="AB20" s="150" t="s">
        <v>342</v>
      </c>
      <c r="AC20" s="317">
        <v>7.9067334425156469E-2</v>
      </c>
      <c r="AD20" s="317">
        <v>8.151061085948054E-2</v>
      </c>
      <c r="AE20" s="317">
        <v>8.1016041789896673E-2</v>
      </c>
      <c r="AF20" s="317">
        <v>8.2645140506078171E-2</v>
      </c>
      <c r="AG20" s="317"/>
      <c r="AH20" s="317">
        <v>8.1167817239138546E-2</v>
      </c>
      <c r="AI20" s="317">
        <v>7.878431737144917E-2</v>
      </c>
      <c r="AJ20" s="317">
        <v>8.0726737125960915E-2</v>
      </c>
      <c r="AK20" s="148">
        <v>7.3789273141264447E-2</v>
      </c>
      <c r="BM20" s="9" t="s">
        <v>525</v>
      </c>
      <c r="BN20" s="9" t="s">
        <v>528</v>
      </c>
    </row>
    <row r="21" spans="1:76" ht="9.9499999999999993" customHeight="1" x14ac:dyDescent="0.2">
      <c r="A21" s="9"/>
      <c r="J21" s="51"/>
      <c r="K21" s="51"/>
      <c r="M21" s="48"/>
      <c r="N21" s="48"/>
      <c r="O21" s="48"/>
      <c r="P21" s="48"/>
      <c r="R21" s="168" t="s">
        <v>356</v>
      </c>
      <c r="S21" s="79"/>
      <c r="T21" s="79"/>
      <c r="U21" s="79"/>
      <c r="V21" s="169">
        <f>AVERAGE(V13:V20)/AVERAGE(U13:U20)</f>
        <v>0.1328031171960195</v>
      </c>
      <c r="W21" s="169">
        <f>AVERAGE(W13:W20)</f>
        <v>0.13277713069655034</v>
      </c>
      <c r="X21" s="79"/>
      <c r="AB21" s="163" t="s">
        <v>343</v>
      </c>
      <c r="AC21" s="318">
        <v>1.0000000423780999</v>
      </c>
      <c r="AD21" s="318">
        <v>0.99999921159107352</v>
      </c>
      <c r="AE21" s="318">
        <v>1</v>
      </c>
      <c r="AF21" s="318">
        <v>1.0000018268634459</v>
      </c>
      <c r="AG21" s="318"/>
      <c r="AH21" s="318">
        <v>1.0001517754492419</v>
      </c>
      <c r="AI21" s="318">
        <v>1.0000000320895284</v>
      </c>
      <c r="AJ21" s="318">
        <v>0.99645728227309682</v>
      </c>
      <c r="AK21" s="164">
        <v>1.0000014722984663</v>
      </c>
      <c r="BM21" s="9" t="s">
        <v>525</v>
      </c>
      <c r="BN21" s="9" t="s">
        <v>529</v>
      </c>
      <c r="BW21" s="409" t="s">
        <v>442</v>
      </c>
    </row>
    <row r="22" spans="1:76" ht="9.9499999999999993" customHeight="1" x14ac:dyDescent="0.15">
      <c r="A22" s="9"/>
      <c r="J22" s="51"/>
      <c r="K22" s="51"/>
      <c r="M22" s="48"/>
      <c r="N22" s="48"/>
      <c r="O22" s="48"/>
      <c r="P22" s="48"/>
      <c r="R22" s="215" t="s">
        <v>393</v>
      </c>
      <c r="X22" s="9"/>
      <c r="AB22" s="381" t="s">
        <v>350</v>
      </c>
      <c r="AC22" s="384" t="s">
        <v>319</v>
      </c>
      <c r="AD22" s="387" t="s">
        <v>351</v>
      </c>
      <c r="AE22" s="388"/>
      <c r="AF22" s="387" t="s">
        <v>352</v>
      </c>
      <c r="AG22" s="393"/>
      <c r="AH22" s="388"/>
      <c r="AI22" s="387" t="s">
        <v>353</v>
      </c>
      <c r="AJ22" s="388"/>
      <c r="AK22" s="384" t="s">
        <v>321</v>
      </c>
      <c r="BM22" s="9" t="s">
        <v>525</v>
      </c>
      <c r="BN22" s="9" t="s">
        <v>530</v>
      </c>
      <c r="BW22" s="410"/>
    </row>
    <row r="23" spans="1:76" ht="9.9499999999999993" customHeight="1" x14ac:dyDescent="0.15">
      <c r="A23" s="9"/>
      <c r="J23" s="51"/>
      <c r="K23" s="51"/>
      <c r="M23" s="48"/>
      <c r="N23" s="48"/>
      <c r="O23" s="48"/>
      <c r="P23" s="48"/>
      <c r="R23" s="215" t="s">
        <v>399</v>
      </c>
      <c r="X23" s="9"/>
      <c r="AB23" s="382"/>
      <c r="AC23" s="385"/>
      <c r="AD23" s="389"/>
      <c r="AE23" s="390"/>
      <c r="AF23" s="389"/>
      <c r="AG23" s="394"/>
      <c r="AH23" s="390"/>
      <c r="AI23" s="389"/>
      <c r="AJ23" s="390"/>
      <c r="AK23" s="385"/>
      <c r="BM23" s="9" t="s">
        <v>431</v>
      </c>
      <c r="BN23" s="9" t="s">
        <v>531</v>
      </c>
      <c r="BW23" s="410"/>
    </row>
    <row r="24" spans="1:76" ht="9.9499999999999993" customHeight="1" x14ac:dyDescent="0.15">
      <c r="A24" s="9"/>
      <c r="J24" s="51"/>
      <c r="K24" s="51"/>
      <c r="M24" s="48"/>
      <c r="N24" s="48"/>
      <c r="O24" s="48"/>
      <c r="P24" s="48"/>
      <c r="R24" s="215" t="s">
        <v>378</v>
      </c>
      <c r="X24" s="9"/>
      <c r="AB24" s="383"/>
      <c r="AC24" s="386"/>
      <c r="AD24" s="391"/>
      <c r="AE24" s="392"/>
      <c r="AF24" s="391"/>
      <c r="AG24" s="395"/>
      <c r="AH24" s="392"/>
      <c r="AI24" s="391"/>
      <c r="AJ24" s="392"/>
      <c r="AK24" s="386"/>
      <c r="BM24" s="9" t="s">
        <v>431</v>
      </c>
      <c r="BN24" s="9" t="s">
        <v>532</v>
      </c>
      <c r="BW24" s="410"/>
    </row>
    <row r="25" spans="1:76" ht="9.9499999999999993" customHeight="1" x14ac:dyDescent="0.15">
      <c r="A25" s="9"/>
      <c r="J25" s="51"/>
      <c r="K25" s="51"/>
      <c r="M25" s="48"/>
      <c r="N25" s="48"/>
      <c r="O25" s="48"/>
      <c r="P25" s="48"/>
      <c r="R25" s="215" t="s">
        <v>440</v>
      </c>
      <c r="X25" s="9"/>
      <c r="AE25" s="9"/>
      <c r="AH25" s="58"/>
      <c r="BM25" s="9" t="s">
        <v>431</v>
      </c>
      <c r="BN25" s="9" t="s">
        <v>533</v>
      </c>
      <c r="BW25" s="410"/>
    </row>
    <row r="26" spans="1:76" ht="9.9499999999999993" customHeight="1" x14ac:dyDescent="0.15">
      <c r="A26" s="9"/>
      <c r="J26" s="51"/>
      <c r="K26" s="51"/>
      <c r="M26" s="48"/>
      <c r="N26" s="48"/>
      <c r="O26" s="48"/>
      <c r="P26" s="48"/>
      <c r="R26" s="215" t="s">
        <v>377</v>
      </c>
      <c r="X26" s="9"/>
      <c r="AD26" s="59"/>
      <c r="AE26" s="9"/>
      <c r="BW26" s="410"/>
    </row>
    <row r="27" spans="1:76" ht="9.9499999999999993" customHeight="1" x14ac:dyDescent="0.15">
      <c r="A27" s="9"/>
      <c r="J27" s="51"/>
      <c r="K27" s="51"/>
      <c r="M27" s="48"/>
      <c r="N27" s="48"/>
      <c r="O27" s="48"/>
      <c r="P27" s="48"/>
      <c r="X27" s="9"/>
      <c r="AE27" s="9"/>
      <c r="BD27" s="201"/>
      <c r="BE27" s="202"/>
      <c r="BF27" s="202"/>
      <c r="BG27" s="202"/>
      <c r="BH27" s="202"/>
      <c r="BI27" s="203"/>
      <c r="BK27" s="229" t="s">
        <v>426</v>
      </c>
      <c r="BW27" s="410"/>
    </row>
    <row r="28" spans="1:76" ht="12" customHeight="1" x14ac:dyDescent="0.15">
      <c r="T28" s="9"/>
      <c r="U28" s="9" t="s">
        <v>358</v>
      </c>
      <c r="X28" s="9"/>
      <c r="Y28" s="345"/>
      <c r="AA28" s="59"/>
      <c r="AB28" s="9" t="s">
        <v>360</v>
      </c>
      <c r="AG28" s="345"/>
      <c r="AJ28" s="9" t="s">
        <v>362</v>
      </c>
      <c r="AL28" s="59"/>
      <c r="AN28" s="9"/>
      <c r="AO28" s="345"/>
      <c r="AP28" s="319" t="s">
        <v>535</v>
      </c>
      <c r="AQ28" s="320" t="s">
        <v>536</v>
      </c>
      <c r="AT28" s="223"/>
      <c r="AU28" s="9"/>
      <c r="AX28" s="345"/>
      <c r="AY28" s="59"/>
      <c r="BB28" s="209"/>
      <c r="BC28" s="194">
        <f>8.021/365.25</f>
        <v>2.1960301163586587E-2</v>
      </c>
      <c r="BD28" s="194">
        <v>2.0619999999999998</v>
      </c>
      <c r="BE28" s="195">
        <v>30.07</v>
      </c>
      <c r="BF28" s="192" t="s">
        <v>369</v>
      </c>
      <c r="BG28" s="204"/>
      <c r="BH28" s="204"/>
      <c r="BI28" s="204"/>
      <c r="BM28" s="236" t="s">
        <v>435</v>
      </c>
      <c r="BW28" s="411"/>
    </row>
    <row r="29" spans="1:76" ht="12" customHeight="1" x14ac:dyDescent="0.15">
      <c r="R29" s="67"/>
      <c r="S29" s="67" t="s">
        <v>357</v>
      </c>
      <c r="T29" s="69"/>
      <c r="U29" s="69"/>
      <c r="V29" s="69"/>
      <c r="W29" s="69"/>
      <c r="X29" s="69"/>
      <c r="Y29" s="346"/>
      <c r="Z29" s="216" t="s">
        <v>359</v>
      </c>
      <c r="AA29" s="70"/>
      <c r="AB29" s="70"/>
      <c r="AC29" s="70"/>
      <c r="AD29" s="70"/>
      <c r="AE29" s="70"/>
      <c r="AF29" s="70"/>
      <c r="AG29" s="351">
        <f>AVERAGE(AG33:AG81)</f>
        <v>3.0959747277242706</v>
      </c>
      <c r="AH29" s="216" t="s">
        <v>361</v>
      </c>
      <c r="AI29" s="70"/>
      <c r="AJ29" s="70"/>
      <c r="AK29" s="70"/>
      <c r="AL29" s="69"/>
      <c r="AM29" s="69"/>
      <c r="AN29" s="69"/>
      <c r="AO29" s="351">
        <f>AVERAGE(AO33:AO81)</f>
        <v>3.9925833265954944</v>
      </c>
      <c r="AP29" s="372" t="s">
        <v>436</v>
      </c>
      <c r="AQ29" s="375" t="s">
        <v>365</v>
      </c>
      <c r="AR29" s="360" t="s">
        <v>433</v>
      </c>
      <c r="AS29" s="360" t="s">
        <v>434</v>
      </c>
      <c r="AT29" s="363" t="s">
        <v>578</v>
      </c>
      <c r="AU29" s="216" t="s">
        <v>56</v>
      </c>
      <c r="AV29" s="69"/>
      <c r="AW29" s="69"/>
      <c r="AX29" s="346"/>
      <c r="AY29" s="216" t="s">
        <v>86</v>
      </c>
      <c r="AZ29" s="68"/>
      <c r="BA29" s="69"/>
      <c r="BB29" s="219"/>
      <c r="BC29" s="356" t="s">
        <v>370</v>
      </c>
      <c r="BD29" s="358" t="s">
        <v>371</v>
      </c>
      <c r="BE29" s="358" t="s">
        <v>372</v>
      </c>
      <c r="BF29" s="415" t="s">
        <v>373</v>
      </c>
      <c r="BG29" s="415" t="s">
        <v>374</v>
      </c>
      <c r="BH29" s="358" t="s">
        <v>375</v>
      </c>
      <c r="BI29" s="358" t="s">
        <v>376</v>
      </c>
      <c r="BK29" s="400" t="s">
        <v>439</v>
      </c>
      <c r="BL29" s="412" t="s">
        <v>577</v>
      </c>
      <c r="BM29" s="232" t="s">
        <v>428</v>
      </c>
      <c r="BN29" s="207"/>
      <c r="BO29" s="174" t="s">
        <v>429</v>
      </c>
      <c r="BP29" s="207"/>
      <c r="BQ29" s="174" t="s">
        <v>430</v>
      </c>
      <c r="BR29" s="207"/>
      <c r="BS29" s="174" t="s">
        <v>431</v>
      </c>
      <c r="BT29" s="207"/>
      <c r="BU29" s="185"/>
      <c r="BW29" s="400" t="s">
        <v>579</v>
      </c>
      <c r="BX29" s="400" t="s">
        <v>581</v>
      </c>
    </row>
    <row r="30" spans="1:76" ht="12" customHeight="1" x14ac:dyDescent="0.15">
      <c r="R30" s="65"/>
      <c r="S30" s="65"/>
      <c r="T30" s="55" t="s">
        <v>80</v>
      </c>
      <c r="U30" s="55"/>
      <c r="V30" s="55"/>
      <c r="W30" s="55" t="s">
        <v>270</v>
      </c>
      <c r="X30" s="55"/>
      <c r="Y30" s="234"/>
      <c r="Z30" s="217"/>
      <c r="AA30" s="54" t="s">
        <v>79</v>
      </c>
      <c r="AB30" s="54"/>
      <c r="AC30" s="54"/>
      <c r="AD30" s="54" t="s">
        <v>354</v>
      </c>
      <c r="AE30" s="54"/>
      <c r="AF30" s="54"/>
      <c r="AG30" s="396" t="s">
        <v>538</v>
      </c>
      <c r="AH30" s="217"/>
      <c r="AI30" s="54" t="s">
        <v>80</v>
      </c>
      <c r="AJ30" s="55"/>
      <c r="AK30" s="55"/>
      <c r="AL30" s="55" t="s">
        <v>62</v>
      </c>
      <c r="AM30" s="55"/>
      <c r="AN30" s="55"/>
      <c r="AO30" s="396" t="s">
        <v>538</v>
      </c>
      <c r="AP30" s="373"/>
      <c r="AQ30" s="376"/>
      <c r="AR30" s="361"/>
      <c r="AS30" s="361"/>
      <c r="AT30" s="364"/>
      <c r="AU30" s="217"/>
      <c r="AV30" s="55" t="s">
        <v>81</v>
      </c>
      <c r="AW30" s="55"/>
      <c r="AX30" s="234"/>
      <c r="AY30" s="217"/>
      <c r="AZ30" s="55" t="s">
        <v>53</v>
      </c>
      <c r="BA30" s="55"/>
      <c r="BB30" s="220"/>
      <c r="BC30" s="357"/>
      <c r="BD30" s="359"/>
      <c r="BE30" s="359"/>
      <c r="BF30" s="416"/>
      <c r="BG30" s="416"/>
      <c r="BH30" s="359"/>
      <c r="BI30" s="359"/>
      <c r="BK30" s="401"/>
      <c r="BL30" s="413"/>
      <c r="BM30" s="417" t="s">
        <v>427</v>
      </c>
      <c r="BN30" s="366" t="s">
        <v>432</v>
      </c>
      <c r="BO30" s="366" t="s">
        <v>427</v>
      </c>
      <c r="BP30" s="366" t="s">
        <v>432</v>
      </c>
      <c r="BQ30" s="366" t="s">
        <v>427</v>
      </c>
      <c r="BR30" s="366" t="s">
        <v>432</v>
      </c>
      <c r="BS30" s="366" t="s">
        <v>427</v>
      </c>
      <c r="BT30" s="366" t="s">
        <v>432</v>
      </c>
      <c r="BU30" s="230"/>
      <c r="BW30" s="401"/>
      <c r="BX30" s="401"/>
    </row>
    <row r="31" spans="1:76" ht="12" customHeight="1" x14ac:dyDescent="0.15">
      <c r="R31" s="71" t="s">
        <v>368</v>
      </c>
      <c r="S31" s="71" t="s">
        <v>272</v>
      </c>
      <c r="T31" s="66" t="s">
        <v>83</v>
      </c>
      <c r="U31" s="66" t="s">
        <v>84</v>
      </c>
      <c r="V31" s="63" t="s">
        <v>437</v>
      </c>
      <c r="W31" s="66" t="s">
        <v>83</v>
      </c>
      <c r="X31" s="66" t="s">
        <v>84</v>
      </c>
      <c r="Y31" s="347" t="s">
        <v>437</v>
      </c>
      <c r="Z31" s="218" t="s">
        <v>272</v>
      </c>
      <c r="AA31" s="66" t="s">
        <v>83</v>
      </c>
      <c r="AB31" s="66" t="s">
        <v>84</v>
      </c>
      <c r="AC31" s="63" t="s">
        <v>437</v>
      </c>
      <c r="AD31" s="66" t="s">
        <v>83</v>
      </c>
      <c r="AE31" s="66" t="s">
        <v>84</v>
      </c>
      <c r="AF31" s="63" t="s">
        <v>437</v>
      </c>
      <c r="AG31" s="397"/>
      <c r="AH31" s="218" t="s">
        <v>272</v>
      </c>
      <c r="AI31" s="66" t="s">
        <v>83</v>
      </c>
      <c r="AJ31" s="66" t="s">
        <v>84</v>
      </c>
      <c r="AK31" s="63" t="s">
        <v>437</v>
      </c>
      <c r="AL31" s="66" t="s">
        <v>83</v>
      </c>
      <c r="AM31" s="66" t="s">
        <v>84</v>
      </c>
      <c r="AN31" s="63" t="s">
        <v>437</v>
      </c>
      <c r="AO31" s="397"/>
      <c r="AP31" s="374"/>
      <c r="AQ31" s="377"/>
      <c r="AR31" s="362"/>
      <c r="AS31" s="362"/>
      <c r="AT31" s="365"/>
      <c r="AU31" s="218" t="s">
        <v>272</v>
      </c>
      <c r="AV31" s="66" t="s">
        <v>83</v>
      </c>
      <c r="AW31" s="66" t="s">
        <v>84</v>
      </c>
      <c r="AX31" s="347" t="s">
        <v>6</v>
      </c>
      <c r="AY31" s="218" t="s">
        <v>272</v>
      </c>
      <c r="AZ31" s="66" t="s">
        <v>83</v>
      </c>
      <c r="BA31" s="66" t="s">
        <v>84</v>
      </c>
      <c r="BB31" s="221" t="s">
        <v>6</v>
      </c>
      <c r="BC31" s="357"/>
      <c r="BD31" s="359"/>
      <c r="BE31" s="359"/>
      <c r="BF31" s="416"/>
      <c r="BG31" s="416"/>
      <c r="BH31" s="359"/>
      <c r="BI31" s="359"/>
      <c r="BK31" s="402"/>
      <c r="BL31" s="414"/>
      <c r="BM31" s="418"/>
      <c r="BN31" s="367"/>
      <c r="BO31" s="368"/>
      <c r="BP31" s="367"/>
      <c r="BQ31" s="368"/>
      <c r="BR31" s="367"/>
      <c r="BS31" s="368"/>
      <c r="BT31" s="367"/>
      <c r="BU31" s="231" t="s">
        <v>425</v>
      </c>
      <c r="BW31" s="402"/>
      <c r="BX31" s="402"/>
    </row>
    <row r="32" spans="1:76" ht="12" customHeight="1" x14ac:dyDescent="0.15">
      <c r="R32" s="191">
        <v>40614</v>
      </c>
      <c r="S32" s="71"/>
      <c r="T32" s="66"/>
      <c r="U32" s="66"/>
      <c r="V32" s="63"/>
      <c r="W32" s="66"/>
      <c r="X32" s="66"/>
      <c r="Y32" s="347"/>
      <c r="Z32" s="218"/>
      <c r="AA32" s="66"/>
      <c r="AB32" s="66"/>
      <c r="AC32" s="64"/>
      <c r="AD32" s="66"/>
      <c r="AE32" s="66"/>
      <c r="AF32" s="64"/>
      <c r="AG32" s="352"/>
      <c r="AH32" s="218"/>
      <c r="AI32" s="66"/>
      <c r="AJ32" s="66"/>
      <c r="AK32" s="64"/>
      <c r="AL32" s="66"/>
      <c r="AM32" s="66"/>
      <c r="AN32" s="63"/>
      <c r="AO32" s="355"/>
      <c r="AP32" s="343"/>
      <c r="AQ32" s="199"/>
      <c r="AR32" s="200"/>
      <c r="AS32" s="200"/>
      <c r="AT32" s="210"/>
      <c r="AU32" s="218"/>
      <c r="AV32" s="66"/>
      <c r="AW32" s="66"/>
      <c r="AX32" s="347"/>
      <c r="AY32" s="217">
        <v>40614</v>
      </c>
      <c r="AZ32" s="66"/>
      <c r="BA32" s="66"/>
      <c r="BB32" s="221"/>
      <c r="BC32" s="196">
        <v>1</v>
      </c>
      <c r="BD32" s="197">
        <v>1</v>
      </c>
      <c r="BE32" s="197">
        <v>1</v>
      </c>
      <c r="BF32" s="197">
        <f>BD32+BE32</f>
        <v>2</v>
      </c>
      <c r="BG32" s="205">
        <v>5000</v>
      </c>
      <c r="BH32" s="205">
        <v>500</v>
      </c>
      <c r="BI32" s="205">
        <v>500</v>
      </c>
      <c r="BK32" s="55"/>
      <c r="BL32" s="234"/>
      <c r="BM32" s="207"/>
      <c r="BN32" s="55"/>
      <c r="BO32" s="55"/>
      <c r="BP32" s="55"/>
      <c r="BQ32" s="55"/>
      <c r="BR32" s="55"/>
      <c r="BS32" s="55"/>
      <c r="BT32" s="55"/>
      <c r="BU32" s="55"/>
      <c r="BW32" s="55"/>
      <c r="BX32" s="55"/>
    </row>
    <row r="33" spans="1:76" ht="9.9499999999999993" customHeight="1" x14ac:dyDescent="0.15">
      <c r="A33" s="9"/>
      <c r="R33" s="191">
        <v>40923</v>
      </c>
      <c r="S33" s="65"/>
      <c r="T33" s="56"/>
      <c r="U33" s="56"/>
      <c r="V33" s="222">
        <f>AC33</f>
        <v>250</v>
      </c>
      <c r="W33" s="56"/>
      <c r="X33" s="56"/>
      <c r="Y33" s="348">
        <f>AF33</f>
        <v>440</v>
      </c>
      <c r="Z33" s="217">
        <v>40939</v>
      </c>
      <c r="AA33" s="56">
        <v>110</v>
      </c>
      <c r="AB33" s="56">
        <v>140</v>
      </c>
      <c r="AC33" s="62">
        <v>250</v>
      </c>
      <c r="AD33" s="56">
        <v>180</v>
      </c>
      <c r="AE33" s="56">
        <v>260</v>
      </c>
      <c r="AF33" s="62">
        <v>440</v>
      </c>
      <c r="AG33" s="353">
        <f>AC33/AF33</f>
        <v>0.56818181818181823</v>
      </c>
      <c r="AH33" s="217"/>
      <c r="AI33" s="56"/>
      <c r="AJ33" s="56"/>
      <c r="AK33" s="62"/>
      <c r="AL33" s="56"/>
      <c r="AM33" s="56"/>
      <c r="AN33" s="62"/>
      <c r="AO33" s="349"/>
      <c r="AP33" s="344">
        <f>44045*0.072</f>
        <v>3171.24</v>
      </c>
      <c r="AQ33" s="161">
        <f>AP33*0.118</f>
        <v>374.20631999999995</v>
      </c>
      <c r="AR33" s="161">
        <f>((AQ33*1*AC33)+(AQ33*0*AK33))/10^3</f>
        <v>93.551579999999987</v>
      </c>
      <c r="AS33" s="161">
        <f>((AQ33*1*AF33)+(AQ33*0*AN33))/10^3</f>
        <v>164.65078079999998</v>
      </c>
      <c r="AT33" s="211">
        <f>SUM(AR33:AS33)</f>
        <v>258.20236079999995</v>
      </c>
      <c r="AU33" s="217"/>
      <c r="AV33" s="56"/>
      <c r="AW33" s="56"/>
      <c r="AX33" s="349"/>
      <c r="AY33" s="217">
        <v>40939</v>
      </c>
      <c r="AZ33" s="181">
        <v>0</v>
      </c>
      <c r="BA33" s="181">
        <v>0</v>
      </c>
      <c r="BB33" s="224">
        <f>AZ33+BA33</f>
        <v>0</v>
      </c>
      <c r="BC33" s="198">
        <f t="shared" ref="BC33:BC64" si="1">1*2.71828^(-0.69315/半I131*(AY33-事故日)/365.25)</f>
        <v>6.3479426819572043E-13</v>
      </c>
      <c r="BD33" s="148">
        <f t="shared" ref="BD33:BD64" si="2">1*2.71828^(-0.69315/半Cs134*(AY33-事故日)/365.25)</f>
        <v>0.74147759826371729</v>
      </c>
      <c r="BE33" s="148">
        <f t="shared" ref="BE33:BE64" si="3">1*2.71828^(-0.69315/半Cs137*(AY33-事故日)/365.25)</f>
        <v>0.97969792857109983</v>
      </c>
      <c r="BF33" s="148">
        <f>BD33+BE33</f>
        <v>1.7211755268348172</v>
      </c>
      <c r="BG33" s="147">
        <f t="shared" ref="BG33:BG64" si="4">2500*2.71828^(-0.69315/半Cs134*(AY33-事故日)/365.25)+2500*2.71828^(-0.69315/半Cs137*(AY33-事故日)/365.25)</f>
        <v>4302.9388170870425</v>
      </c>
      <c r="BH33" s="147">
        <f t="shared" ref="BH33:BH64" si="5">500*2.71828^(-0.69315/半Cs134*(AY33-事故日)/365.25)</f>
        <v>370.73879913185863</v>
      </c>
      <c r="BI33" s="147">
        <f t="shared" ref="BI33:BI64" si="6">500*2.71828^(-0.69315/半Cs137*(AY33-事故日)/365.25)</f>
        <v>489.84896428554993</v>
      </c>
      <c r="BK33" s="55"/>
      <c r="BL33" s="234"/>
      <c r="BM33" s="207"/>
      <c r="BN33" s="55"/>
      <c r="BO33" s="55"/>
      <c r="BP33" s="55"/>
      <c r="BQ33" s="55"/>
      <c r="BR33" s="55"/>
      <c r="BS33" s="55"/>
      <c r="BT33" s="55"/>
      <c r="BU33" s="55"/>
      <c r="BW33" s="147">
        <f ca="1">(AT33+BK33)*BH33/(BH33+BI33)*2.71828^(-0.69315/半Cs134*(NOW()-R33)/365.25)+(AT33+BK33)*BI33/(BH33+BI33)*2.71828^(-0.69315/半Cs137*(NOW()-R33)/365.25)</f>
        <v>130.18351744396227</v>
      </c>
      <c r="BX33" s="147">
        <f ca="1">(AT33)*BH33/(BH33+BI33)*2.71828^(-0.69315/半Cs134*(NOW()-R33)/365.25)+(AT33)*BI33/(BH33+BI33)*2.71828^(-0.69315/半Cs137*(NOW()-R33)/365.25)</f>
        <v>130.18351744396227</v>
      </c>
    </row>
    <row r="34" spans="1:76" ht="9.9499999999999993" customHeight="1" x14ac:dyDescent="0.15">
      <c r="A34" s="9"/>
      <c r="R34" s="191">
        <v>40954</v>
      </c>
      <c r="S34" s="65"/>
      <c r="T34" s="56"/>
      <c r="U34" s="56"/>
      <c r="V34" s="222">
        <f t="shared" ref="V34:V80" si="7">AC34</f>
        <v>1870</v>
      </c>
      <c r="W34" s="56"/>
      <c r="X34" s="56"/>
      <c r="Y34" s="348">
        <f t="shared" ref="Y34:Y80" si="8">AF34</f>
        <v>500</v>
      </c>
      <c r="Z34" s="217">
        <v>40953</v>
      </c>
      <c r="AA34" s="56">
        <v>770</v>
      </c>
      <c r="AB34" s="56">
        <v>1100</v>
      </c>
      <c r="AC34" s="62">
        <v>1870</v>
      </c>
      <c r="AD34" s="56">
        <v>210</v>
      </c>
      <c r="AE34" s="56">
        <v>290</v>
      </c>
      <c r="AF34" s="62">
        <v>500</v>
      </c>
      <c r="AG34" s="353">
        <f t="shared" ref="AG34:AG81" si="9">AC34/AF34</f>
        <v>3.74</v>
      </c>
      <c r="AH34" s="217"/>
      <c r="AI34" s="56"/>
      <c r="AJ34" s="56"/>
      <c r="AK34" s="62"/>
      <c r="AL34" s="56"/>
      <c r="AM34" s="56"/>
      <c r="AN34" s="62"/>
      <c r="AO34" s="349"/>
      <c r="AP34" s="344">
        <f>44045*0.061</f>
        <v>2686.7449999999999</v>
      </c>
      <c r="AQ34" s="161">
        <f>AP34*0.118</f>
        <v>317.03590999999994</v>
      </c>
      <c r="AR34" s="161">
        <f>((AQ34*1*AC34)+(AQ34*0*AK34))/10^3</f>
        <v>592.85715169999992</v>
      </c>
      <c r="AS34" s="161">
        <f>((AQ34*1*AF34)+(AQ34*0*AN34))/10^3</f>
        <v>158.51795499999997</v>
      </c>
      <c r="AT34" s="211">
        <f t="shared" ref="AT34:AT97" si="10">SUM(AR34:AS34)</f>
        <v>751.37510669999983</v>
      </c>
      <c r="AU34" s="217"/>
      <c r="AV34" s="56"/>
      <c r="AW34" s="56"/>
      <c r="AX34" s="349"/>
      <c r="AY34" s="217">
        <v>40956</v>
      </c>
      <c r="AZ34" s="181">
        <v>0</v>
      </c>
      <c r="BA34" s="181">
        <v>0</v>
      </c>
      <c r="BB34" s="224">
        <f>AZ34+BA34</f>
        <v>0</v>
      </c>
      <c r="BC34" s="198">
        <f t="shared" si="1"/>
        <v>1.4608878479319783E-13</v>
      </c>
      <c r="BD34" s="148">
        <f t="shared" si="2"/>
        <v>0.72996689126068004</v>
      </c>
      <c r="BE34" s="148">
        <f t="shared" si="3"/>
        <v>0.97864739135739387</v>
      </c>
      <c r="BF34" s="148">
        <f>BD34+BE34</f>
        <v>1.7086142826180739</v>
      </c>
      <c r="BG34" s="147">
        <f t="shared" si="4"/>
        <v>4271.5357065451844</v>
      </c>
      <c r="BH34" s="147">
        <f t="shared" si="5"/>
        <v>364.98344563034004</v>
      </c>
      <c r="BI34" s="147">
        <f t="shared" si="6"/>
        <v>489.32369567869694</v>
      </c>
      <c r="BK34" s="55"/>
      <c r="BL34" s="234"/>
      <c r="BM34" s="207"/>
      <c r="BN34" s="55"/>
      <c r="BO34" s="55"/>
      <c r="BP34" s="55"/>
      <c r="BQ34" s="55"/>
      <c r="BR34" s="55"/>
      <c r="BS34" s="55"/>
      <c r="BT34" s="55"/>
      <c r="BU34" s="55"/>
      <c r="BW34" s="147">
        <f ca="1">(AT34+BK34)*BH34/(BH34+BI34)*2.71828^(-0.69315/半Cs134*(NOW()-R34)/365.25)+(AT34+BK34)*BI34/(BH34+BI34)*2.71828^(-0.69315/半Cs137*(NOW()-R34)/365.25)</f>
        <v>382.23418584908302</v>
      </c>
      <c r="BX34" s="147">
        <f ca="1">(AT34)*BH34/(BH34+BI34)*2.71828^(-0.69315/半Cs134*(NOW()-R34)/365.25)+(AT34)*BI34/(BH34+BI34)*2.71828^(-0.69315/半Cs137*(NOW()-R34)/365.25)</f>
        <v>382.23418584908302</v>
      </c>
    </row>
    <row r="35" spans="1:76" ht="9.9499999999999993" customHeight="1" x14ac:dyDescent="0.15">
      <c r="A35" s="9"/>
      <c r="R35" s="191">
        <v>40983</v>
      </c>
      <c r="S35" s="65"/>
      <c r="T35" s="56"/>
      <c r="U35" s="56"/>
      <c r="V35" s="222">
        <f t="shared" si="7"/>
        <v>1470</v>
      </c>
      <c r="W35" s="56"/>
      <c r="X35" s="56"/>
      <c r="Y35" s="348">
        <f t="shared" si="8"/>
        <v>660</v>
      </c>
      <c r="Z35" s="217">
        <v>40977</v>
      </c>
      <c r="AA35" s="56">
        <v>630</v>
      </c>
      <c r="AB35" s="56">
        <v>840</v>
      </c>
      <c r="AC35" s="62">
        <v>1470</v>
      </c>
      <c r="AD35" s="56">
        <v>280</v>
      </c>
      <c r="AE35" s="56">
        <v>380</v>
      </c>
      <c r="AF35" s="62">
        <v>660</v>
      </c>
      <c r="AG35" s="353">
        <f t="shared" si="9"/>
        <v>2.2272727272727271</v>
      </c>
      <c r="AH35" s="217"/>
      <c r="AI35" s="56"/>
      <c r="AJ35" s="56"/>
      <c r="AK35" s="62"/>
      <c r="AL35" s="56"/>
      <c r="AM35" s="56"/>
      <c r="AN35" s="62"/>
      <c r="AO35" s="349"/>
      <c r="AP35" s="344">
        <f>44045*0.074</f>
        <v>3259.33</v>
      </c>
      <c r="AQ35" s="161">
        <f>AP35*0.118</f>
        <v>384.60093999999998</v>
      </c>
      <c r="AR35" s="161">
        <f>((AQ35*1*AC35)+(AQ35*0*AK35))/10^3</f>
        <v>565.36338179999996</v>
      </c>
      <c r="AS35" s="161">
        <f>((AQ35*1*AF35)+(AQ35*0*AN35))/10^3</f>
        <v>253.83662039999999</v>
      </c>
      <c r="AT35" s="211">
        <f t="shared" si="10"/>
        <v>819.20000219999997</v>
      </c>
      <c r="AU35" s="217"/>
      <c r="AV35" s="56"/>
      <c r="AW35" s="56"/>
      <c r="AX35" s="349"/>
      <c r="AY35" s="217">
        <v>40977</v>
      </c>
      <c r="AZ35" s="181">
        <v>0</v>
      </c>
      <c r="BA35" s="181">
        <v>0</v>
      </c>
      <c r="BB35" s="224">
        <f>AZ35+BA35</f>
        <v>0</v>
      </c>
      <c r="BC35" s="198">
        <f t="shared" si="1"/>
        <v>2.379464973904778E-14</v>
      </c>
      <c r="BD35" s="148">
        <f t="shared" si="2"/>
        <v>0.71599418807236315</v>
      </c>
      <c r="BE35" s="148">
        <f t="shared" si="3"/>
        <v>0.97735122405592822</v>
      </c>
      <c r="BF35" s="148">
        <f t="shared" ref="BF35:BF98" si="11">BD35+BE35</f>
        <v>1.6933454121282914</v>
      </c>
      <c r="BG35" s="147">
        <f t="shared" si="4"/>
        <v>4233.3635303207284</v>
      </c>
      <c r="BH35" s="147">
        <f t="shared" si="5"/>
        <v>357.99709403618158</v>
      </c>
      <c r="BI35" s="147">
        <f t="shared" si="6"/>
        <v>488.67561202796412</v>
      </c>
      <c r="BK35" s="55"/>
      <c r="BL35" s="234"/>
      <c r="BM35" s="207"/>
      <c r="BN35" s="55"/>
      <c r="BO35" s="55"/>
      <c r="BP35" s="55"/>
      <c r="BQ35" s="55"/>
      <c r="BR35" s="55"/>
      <c r="BS35" s="55"/>
      <c r="BT35" s="55"/>
      <c r="BU35" s="55"/>
      <c r="BW35" s="147">
        <f ca="1">(AT35+BK35)*BH35/(BH35+BI35)*2.71828^(-0.69315/半Cs134*(NOW()-R35)/365.25)+(AT35+BK35)*BI35/(BH35+BI35)*2.71828^(-0.69315/半Cs137*(NOW()-R35)/365.25)</f>
        <v>420.88198106068552</v>
      </c>
      <c r="BX35" s="147">
        <f ca="1">(AT35)*BH35/(BH35+BI35)*2.71828^(-0.69315/半Cs134*(NOW()-R35)/365.25)+(AT35)*BI35/(BH35+BI35)*2.71828^(-0.69315/半Cs137*(NOW()-R35)/365.25)</f>
        <v>420.88198106068552</v>
      </c>
    </row>
    <row r="36" spans="1:76" ht="9.9499999999999993" customHeight="1" x14ac:dyDescent="0.15">
      <c r="A36" s="9"/>
      <c r="R36" s="191">
        <v>41014</v>
      </c>
      <c r="S36" s="65"/>
      <c r="T36" s="56"/>
      <c r="U36" s="56"/>
      <c r="V36" s="222">
        <f t="shared" si="7"/>
        <v>1880</v>
      </c>
      <c r="W36" s="56"/>
      <c r="X36" s="56"/>
      <c r="Y36" s="348">
        <f t="shared" si="8"/>
        <v>430</v>
      </c>
      <c r="Z36" s="217">
        <v>41024</v>
      </c>
      <c r="AA36" s="56">
        <v>780</v>
      </c>
      <c r="AB36" s="56">
        <v>1100</v>
      </c>
      <c r="AC36" s="62">
        <v>1880</v>
      </c>
      <c r="AD36" s="56">
        <v>160</v>
      </c>
      <c r="AE36" s="56">
        <v>270</v>
      </c>
      <c r="AF36" s="62">
        <v>430</v>
      </c>
      <c r="AG36" s="353">
        <f t="shared" si="9"/>
        <v>4.3720930232558137</v>
      </c>
      <c r="AH36" s="217"/>
      <c r="AI36" s="56"/>
      <c r="AJ36" s="56"/>
      <c r="AK36" s="62"/>
      <c r="AL36" s="56"/>
      <c r="AM36" s="56"/>
      <c r="AN36" s="62"/>
      <c r="AO36" s="349"/>
      <c r="AP36" s="344">
        <f>43740*0.077</f>
        <v>3367.98</v>
      </c>
      <c r="AQ36" s="161">
        <f>AP36*0.128</f>
        <v>431.10144000000003</v>
      </c>
      <c r="AR36" s="161">
        <f t="shared" ref="AR36:AR59" si="12">((AQ36*(1-0.338)*AC36)+(AQ36*0.338*AK36))/10^3</f>
        <v>536.53160816639991</v>
      </c>
      <c r="AS36" s="161">
        <f t="shared" ref="AS36:AS59" si="13">((AQ36*(1-0.338)*AF36)+(AQ36*0.338*AN36))/10^3</f>
        <v>122.71733591039998</v>
      </c>
      <c r="AT36" s="211">
        <f t="shared" si="10"/>
        <v>659.24894407679994</v>
      </c>
      <c r="AU36" s="217"/>
      <c r="AV36" s="56"/>
      <c r="AW36" s="56"/>
      <c r="AX36" s="349"/>
      <c r="AY36" s="217">
        <v>41023</v>
      </c>
      <c r="AZ36" s="181">
        <v>0</v>
      </c>
      <c r="BA36" s="181">
        <v>0</v>
      </c>
      <c r="BB36" s="224">
        <f>AZ36+BA36</f>
        <v>0</v>
      </c>
      <c r="BC36" s="198">
        <f t="shared" si="1"/>
        <v>4.4676871686545547E-16</v>
      </c>
      <c r="BD36" s="148">
        <f t="shared" si="2"/>
        <v>0.68631481323514942</v>
      </c>
      <c r="BE36" s="148">
        <f t="shared" si="3"/>
        <v>0.97451799602908984</v>
      </c>
      <c r="BF36" s="148">
        <f t="shared" si="11"/>
        <v>1.6608328092642393</v>
      </c>
      <c r="BG36" s="147">
        <f t="shared" si="4"/>
        <v>4152.0820231605976</v>
      </c>
      <c r="BH36" s="147">
        <f t="shared" si="5"/>
        <v>343.15740661757474</v>
      </c>
      <c r="BI36" s="147">
        <f t="shared" si="6"/>
        <v>487.25899801454494</v>
      </c>
      <c r="BK36" s="139">
        <f>(BM36+BO36+BQ36+BS36)</f>
        <v>1686.5003672790976</v>
      </c>
      <c r="BL36" s="235">
        <f>(BN36+BP36+BR36+BT36)/10</f>
        <v>740</v>
      </c>
      <c r="BM36" s="233">
        <v>1489.7411851432198</v>
      </c>
      <c r="BN36" s="139">
        <v>5243</v>
      </c>
      <c r="BO36" s="139">
        <v>117.67310886913799</v>
      </c>
      <c r="BP36" s="139">
        <v>1197</v>
      </c>
      <c r="BQ36" s="139"/>
      <c r="BR36" s="139"/>
      <c r="BS36" s="139">
        <v>79.086073266739703</v>
      </c>
      <c r="BT36" s="139">
        <v>960</v>
      </c>
      <c r="BU36" s="142">
        <v>41000</v>
      </c>
      <c r="BW36" s="147">
        <f ca="1">(AT36+BK36)*BH36/(BH36+BI36)*2.71828^(-0.69315/半Cs134*(NOW()-R36)/365.25)+(AT36+BK36)*BI36/(BH36+BI36)*2.71828^(-0.69315/半Cs137*(NOW()-R36)/365.25)</f>
        <v>1226.6596998495299</v>
      </c>
      <c r="BX36" s="147">
        <f ca="1">(AT36)*BH36/(BH36+BI36)*2.71828^(-0.69315/半Cs134*(NOW()-R36)/365.25)+(AT36)*BI36/(BH36+BI36)*2.71828^(-0.69315/半Cs137*(NOW()-R36)/365.25)</f>
        <v>344.74021070901841</v>
      </c>
    </row>
    <row r="37" spans="1:76" ht="9.9499999999999993" customHeight="1" x14ac:dyDescent="0.15">
      <c r="A37" s="9"/>
      <c r="R37" s="191">
        <v>41044</v>
      </c>
      <c r="S37" s="65"/>
      <c r="T37" s="56"/>
      <c r="U37" s="56"/>
      <c r="V37" s="222">
        <f t="shared" si="7"/>
        <v>2000</v>
      </c>
      <c r="W37" s="56"/>
      <c r="X37" s="56"/>
      <c r="Y37" s="348">
        <f t="shared" si="8"/>
        <v>880</v>
      </c>
      <c r="Z37" s="217">
        <v>41045</v>
      </c>
      <c r="AA37" s="56">
        <v>800</v>
      </c>
      <c r="AB37" s="56">
        <v>1200</v>
      </c>
      <c r="AC37" s="62">
        <v>2000</v>
      </c>
      <c r="AD37" s="56">
        <v>350</v>
      </c>
      <c r="AE37" s="56">
        <v>530</v>
      </c>
      <c r="AF37" s="62">
        <v>880</v>
      </c>
      <c r="AG37" s="353">
        <f t="shared" si="9"/>
        <v>2.2727272727272729</v>
      </c>
      <c r="AH37" s="217"/>
      <c r="AI37" s="56"/>
      <c r="AJ37" s="56"/>
      <c r="AK37" s="62"/>
      <c r="AL37" s="56"/>
      <c r="AM37" s="56"/>
      <c r="AN37" s="62"/>
      <c r="AO37" s="349"/>
      <c r="AP37" s="344">
        <f>43740*0.086</f>
        <v>3761.64</v>
      </c>
      <c r="AQ37" s="161">
        <f t="shared" ref="AQ37:AQ47" si="14">AP37*0.128</f>
        <v>481.48991999999998</v>
      </c>
      <c r="AR37" s="161">
        <f t="shared" si="12"/>
        <v>637.49265407999985</v>
      </c>
      <c r="AS37" s="161">
        <f t="shared" si="13"/>
        <v>280.49676779519996</v>
      </c>
      <c r="AT37" s="211">
        <f t="shared" si="10"/>
        <v>917.98942187519981</v>
      </c>
      <c r="AU37" s="217"/>
      <c r="AV37" s="56"/>
      <c r="AW37" s="56"/>
      <c r="AX37" s="349"/>
      <c r="AY37" s="217">
        <v>41043</v>
      </c>
      <c r="AZ37" s="61">
        <v>0.99</v>
      </c>
      <c r="BA37" s="61">
        <v>1.2</v>
      </c>
      <c r="BB37" s="224">
        <v>2.19</v>
      </c>
      <c r="BC37" s="198">
        <f t="shared" si="1"/>
        <v>7.9336960051412041E-17</v>
      </c>
      <c r="BD37" s="148">
        <f t="shared" si="2"/>
        <v>0.67379751598409898</v>
      </c>
      <c r="BE37" s="148">
        <f t="shared" si="3"/>
        <v>0.97328872093044583</v>
      </c>
      <c r="BF37" s="148">
        <f t="shared" si="11"/>
        <v>1.6470862369145447</v>
      </c>
      <c r="BG37" s="147">
        <f t="shared" si="4"/>
        <v>4117.7155922863622</v>
      </c>
      <c r="BH37" s="147">
        <f t="shared" si="5"/>
        <v>336.89875799204947</v>
      </c>
      <c r="BI37" s="147">
        <f t="shared" si="6"/>
        <v>486.64436046522292</v>
      </c>
      <c r="BK37" s="139">
        <f t="shared" ref="BK37:BK56" si="15">(BM37+BO37+BQ37+BS37)</f>
        <v>2815.8960239352155</v>
      </c>
      <c r="BL37" s="235">
        <f t="shared" ref="BL37:BL56" si="16">(BN37+BP37+BR37+BT37)/10</f>
        <v>1777.0994444444445</v>
      </c>
      <c r="BM37" s="233">
        <v>1560.8733131330032</v>
      </c>
      <c r="BN37" s="139">
        <v>7264.9944444444445</v>
      </c>
      <c r="BO37" s="139">
        <v>182.32355837745857</v>
      </c>
      <c r="BP37" s="139">
        <v>2939</v>
      </c>
      <c r="BQ37" s="139">
        <v>394.62705453635135</v>
      </c>
      <c r="BR37" s="139">
        <v>2372</v>
      </c>
      <c r="BS37" s="139">
        <v>678.07209788840248</v>
      </c>
      <c r="BT37" s="139">
        <v>5195</v>
      </c>
      <c r="BU37" s="142">
        <v>41030</v>
      </c>
      <c r="BW37" s="147">
        <f ca="1">(AT37+BK37)*BH37/(BH37+BI37)*2.71828^(-0.69315/半Cs134*(NOW()-R37)/365.25)+(AT37+BK37)*BI37/(BH37+BI37)*2.71828^(-0.69315/半Cs137*(NOW()-R37)/365.25)</f>
        <v>1971.1104810325501</v>
      </c>
      <c r="BX37" s="147">
        <f ca="1">(AT37)*BH37/(BH37+BI37)*2.71828^(-0.69315/半Cs134*(NOW()-R37)/365.25)+(AT37)*BI37/(BH37+BI37)*2.71828^(-0.69315/半Cs137*(NOW()-R37)/365.25)</f>
        <v>484.60473605731801</v>
      </c>
    </row>
    <row r="38" spans="1:76" ht="9.9499999999999993" customHeight="1" x14ac:dyDescent="0.15">
      <c r="A38" s="9"/>
      <c r="R38" s="191">
        <v>41075</v>
      </c>
      <c r="S38" s="65"/>
      <c r="T38" s="56"/>
      <c r="U38" s="56"/>
      <c r="V38" s="222">
        <f t="shared" si="7"/>
        <v>1680</v>
      </c>
      <c r="W38" s="56"/>
      <c r="X38" s="56"/>
      <c r="Y38" s="348">
        <f t="shared" si="8"/>
        <v>560</v>
      </c>
      <c r="Z38" s="217">
        <v>41089</v>
      </c>
      <c r="AA38" s="56">
        <v>680</v>
      </c>
      <c r="AB38" s="56">
        <v>1000</v>
      </c>
      <c r="AC38" s="62">
        <v>1680</v>
      </c>
      <c r="AD38" s="56">
        <v>220</v>
      </c>
      <c r="AE38" s="56">
        <v>340</v>
      </c>
      <c r="AF38" s="62">
        <v>560</v>
      </c>
      <c r="AG38" s="353">
        <f t="shared" si="9"/>
        <v>3</v>
      </c>
      <c r="AH38" s="217"/>
      <c r="AI38" s="56"/>
      <c r="AJ38" s="56"/>
      <c r="AK38" s="62"/>
      <c r="AL38" s="56"/>
      <c r="AM38" s="56"/>
      <c r="AN38" s="62"/>
      <c r="AO38" s="349"/>
      <c r="AP38" s="344">
        <f>43740*0.089</f>
        <v>3892.8599999999997</v>
      </c>
      <c r="AQ38" s="161">
        <f t="shared" si="14"/>
        <v>498.28607999999997</v>
      </c>
      <c r="AR38" s="161">
        <f t="shared" si="12"/>
        <v>554.17384673279992</v>
      </c>
      <c r="AS38" s="161">
        <f t="shared" si="13"/>
        <v>184.72461557759996</v>
      </c>
      <c r="AT38" s="211">
        <f t="shared" si="10"/>
        <v>738.89846231039985</v>
      </c>
      <c r="AU38" s="217"/>
      <c r="AV38" s="56"/>
      <c r="AW38" s="56"/>
      <c r="AX38" s="349"/>
      <c r="AY38" s="217">
        <v>41078</v>
      </c>
      <c r="AZ38" s="61">
        <v>2.2999999999999998</v>
      </c>
      <c r="BA38" s="61">
        <v>3.6</v>
      </c>
      <c r="BB38" s="224">
        <v>5.9</v>
      </c>
      <c r="BC38" s="198">
        <f t="shared" si="1"/>
        <v>3.8540110479075733E-18</v>
      </c>
      <c r="BD38" s="148">
        <f t="shared" si="2"/>
        <v>0.6524390747312081</v>
      </c>
      <c r="BE38" s="148">
        <f t="shared" si="3"/>
        <v>0.97114121953556753</v>
      </c>
      <c r="BF38" s="148">
        <f t="shared" si="11"/>
        <v>1.6235802942667756</v>
      </c>
      <c r="BG38" s="147">
        <f t="shared" si="4"/>
        <v>4058.9507356669392</v>
      </c>
      <c r="BH38" s="147">
        <f t="shared" si="5"/>
        <v>326.21953736560403</v>
      </c>
      <c r="BI38" s="147">
        <f t="shared" si="6"/>
        <v>485.57060976778376</v>
      </c>
      <c r="BK38" s="139">
        <f t="shared" si="15"/>
        <v>4380.1894331009207</v>
      </c>
      <c r="BL38" s="235">
        <f t="shared" si="16"/>
        <v>2212.2166666666667</v>
      </c>
      <c r="BM38" s="233">
        <v>2448.7232102780931</v>
      </c>
      <c r="BN38" s="139">
        <v>11490.166666666668</v>
      </c>
      <c r="BO38" s="139">
        <v>160.6331439070228</v>
      </c>
      <c r="BP38" s="139">
        <v>2139</v>
      </c>
      <c r="BQ38" s="139">
        <v>1072.8023822053649</v>
      </c>
      <c r="BR38" s="139">
        <v>2643</v>
      </c>
      <c r="BS38" s="139">
        <v>698.03069671044022</v>
      </c>
      <c r="BT38" s="139">
        <v>5850</v>
      </c>
      <c r="BU38" s="142">
        <v>41061</v>
      </c>
      <c r="BW38" s="147">
        <f ca="1">(AT38+BK38)*BH38/(BH38+BI38)*2.71828^(-0.69315/半Cs134*(NOW()-R38)/365.25)+(AT38+BK38)*BI38/(BH38+BI38)*2.71828^(-0.69315/半Cs137*(NOW()-R38)/365.25)</f>
        <v>2740.2220336328724</v>
      </c>
      <c r="BX38" s="147">
        <f ca="1">(AT38)*BH38/(BH38+BI38)*2.71828^(-0.69315/半Cs134*(NOW()-R38)/365.25)+(AT38)*BI38/(BH38+BI38)*2.71828^(-0.69315/半Cs137*(NOW()-R38)/365.25)</f>
        <v>395.528634867817</v>
      </c>
    </row>
    <row r="39" spans="1:76" ht="9.9499999999999993" customHeight="1" x14ac:dyDescent="0.15">
      <c r="A39" s="9"/>
      <c r="R39" s="191">
        <v>41105</v>
      </c>
      <c r="S39" s="65"/>
      <c r="T39" s="56"/>
      <c r="U39" s="56"/>
      <c r="V39" s="222">
        <f t="shared" si="7"/>
        <v>1470</v>
      </c>
      <c r="W39" s="56"/>
      <c r="X39" s="56"/>
      <c r="Y39" s="348">
        <f t="shared" si="8"/>
        <v>660</v>
      </c>
      <c r="Z39" s="217">
        <v>41102</v>
      </c>
      <c r="AA39" s="56">
        <v>570</v>
      </c>
      <c r="AB39" s="56">
        <v>900</v>
      </c>
      <c r="AC39" s="62">
        <v>1470</v>
      </c>
      <c r="AD39" s="56">
        <v>260</v>
      </c>
      <c r="AE39" s="56">
        <v>400</v>
      </c>
      <c r="AF39" s="62">
        <v>660</v>
      </c>
      <c r="AG39" s="353">
        <f t="shared" si="9"/>
        <v>2.2272727272727271</v>
      </c>
      <c r="AH39" s="217">
        <v>41115</v>
      </c>
      <c r="AI39" s="56">
        <v>840</v>
      </c>
      <c r="AJ39" s="56">
        <v>1300</v>
      </c>
      <c r="AK39" s="62">
        <v>2140</v>
      </c>
      <c r="AL39" s="56">
        <v>220</v>
      </c>
      <c r="AM39" s="56">
        <v>340</v>
      </c>
      <c r="AN39" s="62">
        <v>560</v>
      </c>
      <c r="AO39" s="353">
        <f>AK39/AN39</f>
        <v>3.8214285714285716</v>
      </c>
      <c r="AP39" s="344">
        <f>43740*0.095</f>
        <v>4155.3</v>
      </c>
      <c r="AQ39" s="161">
        <f t="shared" si="14"/>
        <v>531.87840000000006</v>
      </c>
      <c r="AR39" s="161">
        <f>((AQ39*(1-0.338)*AC39)+(AQ39*0.338*AK39))/10^3</f>
        <v>902.31043046399998</v>
      </c>
      <c r="AS39" s="161">
        <f t="shared" si="13"/>
        <v>333.06225408</v>
      </c>
      <c r="AT39" s="211">
        <f t="shared" si="10"/>
        <v>1235.3726845440001</v>
      </c>
      <c r="AU39" s="217"/>
      <c r="AV39" s="56"/>
      <c r="AW39" s="56"/>
      <c r="AX39" s="349"/>
      <c r="AY39" s="217">
        <v>41113</v>
      </c>
      <c r="AZ39" s="61">
        <v>2.2000000000000002</v>
      </c>
      <c r="BA39" s="61">
        <v>3.8</v>
      </c>
      <c r="BB39" s="224">
        <v>6</v>
      </c>
      <c r="BC39" s="198">
        <f t="shared" si="1"/>
        <v>1.8721918696869917E-19</v>
      </c>
      <c r="BD39" s="148">
        <f t="shared" si="2"/>
        <v>0.63175766626922469</v>
      </c>
      <c r="BE39" s="148">
        <f t="shared" si="3"/>
        <v>0.96899845646976057</v>
      </c>
      <c r="BF39" s="148">
        <f t="shared" si="11"/>
        <v>1.6007561227389853</v>
      </c>
      <c r="BG39" s="147">
        <f t="shared" si="4"/>
        <v>4001.8903068474633</v>
      </c>
      <c r="BH39" s="147">
        <f t="shared" si="5"/>
        <v>315.87883313461236</v>
      </c>
      <c r="BI39" s="147">
        <f t="shared" si="6"/>
        <v>484.49922823488026</v>
      </c>
      <c r="BK39" s="139">
        <f t="shared" si="15"/>
        <v>4993.000174628065</v>
      </c>
      <c r="BL39" s="235">
        <f t="shared" si="16"/>
        <v>2646.7333333333336</v>
      </c>
      <c r="BM39" s="233">
        <v>2661.1813716060851</v>
      </c>
      <c r="BN39" s="139">
        <v>12136.333333333334</v>
      </c>
      <c r="BO39" s="139">
        <v>256.44702480239653</v>
      </c>
      <c r="BP39" s="139">
        <v>2996</v>
      </c>
      <c r="BQ39" s="139">
        <v>785.00380766287969</v>
      </c>
      <c r="BR39" s="139">
        <v>3241</v>
      </c>
      <c r="BS39" s="139">
        <v>1290.3679705567035</v>
      </c>
      <c r="BT39" s="139">
        <v>8094</v>
      </c>
      <c r="BU39" s="142">
        <v>41091</v>
      </c>
      <c r="BW39" s="147">
        <f ca="1">(AT39+BK39)*BH39/(BH39+BI39)*2.71828^(-0.69315/半Cs134*(NOW()-R39)/365.25)+(AT39+BK39)*BI39/(BH39+BI39)*2.71828^(-0.69315/半Cs137*(NOW()-R39)/365.25)</f>
        <v>3379.6175474152155</v>
      </c>
      <c r="BX39" s="147">
        <f ca="1">(AT39)*BH39/(BH39+BI39)*2.71828^(-0.69315/半Cs134*(NOW()-R39)/365.25)+(AT39)*BI39/(BH39+BI39)*2.71828^(-0.69315/半Cs137*(NOW()-R39)/365.25)</f>
        <v>670.33353601077397</v>
      </c>
    </row>
    <row r="40" spans="1:76" ht="9.9499999999999993" customHeight="1" x14ac:dyDescent="0.15">
      <c r="A40" s="9"/>
      <c r="R40" s="191">
        <v>41136</v>
      </c>
      <c r="S40" s="65"/>
      <c r="T40" s="56"/>
      <c r="U40" s="56"/>
      <c r="V40" s="222">
        <f t="shared" si="7"/>
        <v>1590</v>
      </c>
      <c r="W40" s="56"/>
      <c r="X40" s="56"/>
      <c r="Y40" s="348">
        <f t="shared" si="8"/>
        <v>420</v>
      </c>
      <c r="Z40" s="217">
        <v>41152</v>
      </c>
      <c r="AA40" s="56">
        <v>610</v>
      </c>
      <c r="AB40" s="56">
        <v>980</v>
      </c>
      <c r="AC40" s="62">
        <v>1590</v>
      </c>
      <c r="AD40" s="56">
        <v>160</v>
      </c>
      <c r="AE40" s="56">
        <v>260</v>
      </c>
      <c r="AF40" s="62">
        <v>420</v>
      </c>
      <c r="AG40" s="353">
        <f t="shared" si="9"/>
        <v>3.7857142857142856</v>
      </c>
      <c r="AH40" s="217">
        <v>41144</v>
      </c>
      <c r="AI40" s="56">
        <v>600</v>
      </c>
      <c r="AJ40" s="56">
        <v>970</v>
      </c>
      <c r="AK40" s="62">
        <v>1570</v>
      </c>
      <c r="AL40" s="56">
        <v>150</v>
      </c>
      <c r="AM40" s="56">
        <v>230</v>
      </c>
      <c r="AN40" s="62">
        <v>380</v>
      </c>
      <c r="AO40" s="353">
        <f t="shared" ref="AO40:AO83" si="17">AK40/AN40</f>
        <v>4.1315789473684212</v>
      </c>
      <c r="AP40" s="344">
        <f>43740*0.098</f>
        <v>4286.5200000000004</v>
      </c>
      <c r="AQ40" s="161">
        <f t="shared" si="14"/>
        <v>548.67456000000004</v>
      </c>
      <c r="AR40" s="161">
        <f t="shared" si="12"/>
        <v>868.68351037440004</v>
      </c>
      <c r="AS40" s="161">
        <f t="shared" si="13"/>
        <v>223.02523514880002</v>
      </c>
      <c r="AT40" s="211">
        <f t="shared" si="10"/>
        <v>1091.7087455232002</v>
      </c>
      <c r="AU40" s="217"/>
      <c r="AV40" s="56"/>
      <c r="AW40" s="56"/>
      <c r="AX40" s="349"/>
      <c r="AY40" s="217">
        <v>41141</v>
      </c>
      <c r="AZ40" s="61">
        <v>1.8</v>
      </c>
      <c r="BA40" s="61">
        <v>3.4</v>
      </c>
      <c r="BB40" s="224">
        <v>5.2</v>
      </c>
      <c r="BC40" s="198">
        <f t="shared" si="1"/>
        <v>1.6653298808612262E-20</v>
      </c>
      <c r="BD40" s="148">
        <f t="shared" si="2"/>
        <v>0.61568555828700955</v>
      </c>
      <c r="BE40" s="148">
        <f t="shared" si="3"/>
        <v>0.96728765058762489</v>
      </c>
      <c r="BF40" s="148">
        <f t="shared" si="11"/>
        <v>1.5829732088746344</v>
      </c>
      <c r="BG40" s="147">
        <f t="shared" si="4"/>
        <v>3957.4330221865862</v>
      </c>
      <c r="BH40" s="147">
        <f t="shared" si="5"/>
        <v>307.8427791435048</v>
      </c>
      <c r="BI40" s="147">
        <f t="shared" si="6"/>
        <v>483.64382529381243</v>
      </c>
      <c r="BK40" s="139">
        <f t="shared" si="15"/>
        <v>3700.8697947783498</v>
      </c>
      <c r="BL40" s="235">
        <f t="shared" si="16"/>
        <v>2207.3666666666663</v>
      </c>
      <c r="BM40" s="233">
        <v>2033.8668115146575</v>
      </c>
      <c r="BN40" s="139">
        <v>10649.666666666666</v>
      </c>
      <c r="BO40" s="139">
        <v>251.67532166953913</v>
      </c>
      <c r="BP40" s="139">
        <v>2933</v>
      </c>
      <c r="BQ40" s="139">
        <v>400.77899519239872</v>
      </c>
      <c r="BR40" s="139">
        <v>2405</v>
      </c>
      <c r="BS40" s="139">
        <v>1014.5486664017544</v>
      </c>
      <c r="BT40" s="139">
        <v>6086</v>
      </c>
      <c r="BU40" s="142">
        <v>41122</v>
      </c>
      <c r="BW40" s="147">
        <f ca="1">(AT40+BK40)*BH40/(BH40+BI40)*2.71828^(-0.69315/半Cs134*(NOW()-R40)/365.25)+(AT40+BK40)*BI40/(BH40+BI40)*2.71828^(-0.69315/半Cs137*(NOW()-R40)/365.25)</f>
        <v>2630.649775587874</v>
      </c>
      <c r="BX40" s="147">
        <f ca="1">(AT40)*BH40/(BH40+BI40)*2.71828^(-0.69315/半Cs134*(NOW()-R40)/365.25)+(AT40)*BI40/(BH40+BI40)*2.71828^(-0.69315/半Cs137*(NOW()-R40)/365.25)</f>
        <v>599.2397082838886</v>
      </c>
    </row>
    <row r="41" spans="1:76" ht="9.9499999999999993" customHeight="1" x14ac:dyDescent="0.15">
      <c r="A41" s="9"/>
      <c r="R41" s="191">
        <v>41167</v>
      </c>
      <c r="S41" s="65"/>
      <c r="T41" s="56"/>
      <c r="U41" s="56"/>
      <c r="V41" s="222">
        <f t="shared" si="7"/>
        <v>1030</v>
      </c>
      <c r="W41" s="56"/>
      <c r="X41" s="56"/>
      <c r="Y41" s="348">
        <f t="shared" si="8"/>
        <v>320</v>
      </c>
      <c r="Z41" s="217">
        <v>41176</v>
      </c>
      <c r="AA41" s="56">
        <v>380</v>
      </c>
      <c r="AB41" s="56">
        <v>650</v>
      </c>
      <c r="AC41" s="62">
        <v>1030</v>
      </c>
      <c r="AD41" s="56">
        <v>120</v>
      </c>
      <c r="AE41" s="56">
        <v>200</v>
      </c>
      <c r="AF41" s="62">
        <v>320</v>
      </c>
      <c r="AG41" s="353">
        <f t="shared" si="9"/>
        <v>3.21875</v>
      </c>
      <c r="AH41" s="217">
        <v>41157</v>
      </c>
      <c r="AI41" s="56">
        <v>510</v>
      </c>
      <c r="AJ41" s="56">
        <v>840</v>
      </c>
      <c r="AK41" s="62">
        <v>1350</v>
      </c>
      <c r="AL41" s="56">
        <v>120</v>
      </c>
      <c r="AM41" s="56">
        <v>190</v>
      </c>
      <c r="AN41" s="62">
        <v>310</v>
      </c>
      <c r="AO41" s="353">
        <f t="shared" si="17"/>
        <v>4.354838709677419</v>
      </c>
      <c r="AP41" s="344">
        <f>43740*0.091</f>
        <v>3980.3399999999997</v>
      </c>
      <c r="AQ41" s="161">
        <f t="shared" si="14"/>
        <v>509.48352</v>
      </c>
      <c r="AR41" s="161">
        <f t="shared" si="12"/>
        <v>579.87376312320009</v>
      </c>
      <c r="AS41" s="161">
        <f t="shared" si="13"/>
        <v>161.31267210239997</v>
      </c>
      <c r="AT41" s="211">
        <f t="shared" si="10"/>
        <v>741.18643522560001</v>
      </c>
      <c r="AU41" s="217"/>
      <c r="AV41" s="56"/>
      <c r="AW41" s="56"/>
      <c r="AX41" s="349"/>
      <c r="AY41" s="217">
        <v>41162</v>
      </c>
      <c r="AZ41" s="61">
        <v>0.78</v>
      </c>
      <c r="BA41" s="61">
        <v>2.8</v>
      </c>
      <c r="BB41" s="224">
        <v>3.58</v>
      </c>
      <c r="BC41" s="198">
        <f t="shared" si="1"/>
        <v>2.7124560773886395E-21</v>
      </c>
      <c r="BD41" s="148">
        <f t="shared" si="2"/>
        <v>0.60390037779968619</v>
      </c>
      <c r="BE41" s="148">
        <f t="shared" si="3"/>
        <v>0.96600652866886683</v>
      </c>
      <c r="BF41" s="148">
        <f t="shared" si="11"/>
        <v>1.5699069064685531</v>
      </c>
      <c r="BG41" s="147">
        <f t="shared" si="4"/>
        <v>3924.7672661713823</v>
      </c>
      <c r="BH41" s="147">
        <f t="shared" si="5"/>
        <v>301.95018889984311</v>
      </c>
      <c r="BI41" s="147">
        <f t="shared" si="6"/>
        <v>483.00326433443342</v>
      </c>
      <c r="BK41" s="139">
        <f t="shared" si="15"/>
        <v>4093.225830023167</v>
      </c>
      <c r="BL41" s="235">
        <f t="shared" si="16"/>
        <v>2678.3333333333335</v>
      </c>
      <c r="BM41" s="233">
        <v>2171.4777717303837</v>
      </c>
      <c r="BN41" s="139">
        <v>11376.333333333334</v>
      </c>
      <c r="BO41" s="139">
        <v>369.6341158726039</v>
      </c>
      <c r="BP41" s="139">
        <v>3841</v>
      </c>
      <c r="BQ41" s="139">
        <v>466.02670723604058</v>
      </c>
      <c r="BR41" s="139">
        <v>3738</v>
      </c>
      <c r="BS41" s="139">
        <v>1086.0872351841383</v>
      </c>
      <c r="BT41" s="139">
        <v>7828</v>
      </c>
      <c r="BU41" s="142">
        <v>41153</v>
      </c>
      <c r="BW41" s="147">
        <f ca="1">(AT41+BK41)*BH41/(BH41+BI41)*2.71828^(-0.69315/半Cs134*(NOW()-R41)/365.25)+(AT41+BK41)*BI41/(BH41+BI41)*2.71828^(-0.69315/半Cs137*(NOW()-R41)/365.25)</f>
        <v>2678.7720861826715</v>
      </c>
      <c r="BX41" s="147">
        <f ca="1">(AT41)*BH41/(BH41+BI41)*2.71828^(-0.69315/半Cs134*(NOW()-R41)/365.25)+(AT41)*BI41/(BH41+BI41)*2.71828^(-0.69315/半Cs137*(NOW()-R41)/365.25)</f>
        <v>410.69512164110211</v>
      </c>
    </row>
    <row r="42" spans="1:76" ht="9.9499999999999993" customHeight="1" x14ac:dyDescent="0.15">
      <c r="A42" s="9"/>
      <c r="R42" s="191">
        <v>41197</v>
      </c>
      <c r="S42" s="65"/>
      <c r="T42" s="56"/>
      <c r="U42" s="56"/>
      <c r="V42" s="222">
        <f t="shared" si="7"/>
        <v>950</v>
      </c>
      <c r="W42" s="56"/>
      <c r="X42" s="56"/>
      <c r="Y42" s="348">
        <f t="shared" si="8"/>
        <v>290</v>
      </c>
      <c r="Z42" s="217">
        <v>41194</v>
      </c>
      <c r="AA42" s="56">
        <v>350</v>
      </c>
      <c r="AB42" s="56">
        <v>600</v>
      </c>
      <c r="AC42" s="62">
        <v>950</v>
      </c>
      <c r="AD42" s="56">
        <v>110</v>
      </c>
      <c r="AE42" s="56">
        <v>180</v>
      </c>
      <c r="AF42" s="62">
        <v>290</v>
      </c>
      <c r="AG42" s="353">
        <f t="shared" si="9"/>
        <v>3.2758620689655173</v>
      </c>
      <c r="AH42" s="217">
        <v>41199</v>
      </c>
      <c r="AI42" s="56">
        <v>530</v>
      </c>
      <c r="AJ42" s="56">
        <v>880</v>
      </c>
      <c r="AK42" s="62">
        <v>1410</v>
      </c>
      <c r="AL42" s="56">
        <v>120</v>
      </c>
      <c r="AM42" s="56">
        <v>200</v>
      </c>
      <c r="AN42" s="62">
        <v>320</v>
      </c>
      <c r="AO42" s="353">
        <f t="shared" si="17"/>
        <v>4.40625</v>
      </c>
      <c r="AP42" s="344">
        <f>43740*0.094</f>
        <v>4111.5600000000004</v>
      </c>
      <c r="AQ42" s="161">
        <f t="shared" si="14"/>
        <v>526.2796800000001</v>
      </c>
      <c r="AR42" s="161">
        <f t="shared" si="12"/>
        <v>581.79166064640003</v>
      </c>
      <c r="AS42" s="161">
        <f t="shared" si="13"/>
        <v>157.95758315520001</v>
      </c>
      <c r="AT42" s="211">
        <f t="shared" si="10"/>
        <v>739.74924380160007</v>
      </c>
      <c r="AU42" s="217"/>
      <c r="AV42" s="56"/>
      <c r="AW42" s="56"/>
      <c r="AX42" s="349"/>
      <c r="AY42" s="217">
        <v>41194</v>
      </c>
      <c r="AZ42" s="181">
        <v>0.5</v>
      </c>
      <c r="BA42" s="181">
        <v>0.6</v>
      </c>
      <c r="BB42" s="224">
        <f>AZ42+BA42</f>
        <v>1.1000000000000001</v>
      </c>
      <c r="BC42" s="198">
        <f t="shared" si="1"/>
        <v>1.7076198481418348E-22</v>
      </c>
      <c r="BD42" s="148">
        <f t="shared" si="2"/>
        <v>0.58637433568340724</v>
      </c>
      <c r="BE42" s="148">
        <f t="shared" si="3"/>
        <v>0.96405760487383363</v>
      </c>
      <c r="BF42" s="148">
        <f t="shared" si="11"/>
        <v>1.5504319405572409</v>
      </c>
      <c r="BG42" s="147">
        <f t="shared" si="4"/>
        <v>3876.0798513931022</v>
      </c>
      <c r="BH42" s="147">
        <f t="shared" si="5"/>
        <v>293.18716784170363</v>
      </c>
      <c r="BI42" s="147">
        <f t="shared" si="6"/>
        <v>482.02880243691681</v>
      </c>
      <c r="BK42" s="139">
        <f t="shared" si="15"/>
        <v>4311.6195454661693</v>
      </c>
      <c r="BL42" s="235">
        <f t="shared" si="16"/>
        <v>2909.7833333333338</v>
      </c>
      <c r="BM42" s="233">
        <v>1930.1625636128829</v>
      </c>
      <c r="BN42" s="139">
        <v>11285.833333333334</v>
      </c>
      <c r="BO42" s="139">
        <v>426.6310829126607</v>
      </c>
      <c r="BP42" s="139">
        <v>5088</v>
      </c>
      <c r="BQ42" s="139">
        <v>530.38455175405386</v>
      </c>
      <c r="BR42" s="139">
        <v>3517</v>
      </c>
      <c r="BS42" s="139">
        <v>1424.4413471865716</v>
      </c>
      <c r="BT42" s="139">
        <v>9207</v>
      </c>
      <c r="BU42" s="142">
        <v>41183</v>
      </c>
      <c r="BW42" s="147">
        <f ca="1">(AT42+BK42)*BH42/(BH42+BI42)*2.71828^(-0.69315/半Cs134*(NOW()-R42)/365.25)+(AT42+BK42)*BI42/(BH42+BI42)*2.71828^(-0.69315/半Cs137*(NOW()-R42)/365.25)</f>
        <v>2833.4952063997093</v>
      </c>
      <c r="BX42" s="147">
        <f ca="1">(AT42)*BH42/(BH42+BI42)*2.71828^(-0.69315/半Cs134*(NOW()-R42)/365.25)+(AT42)*BI42/(BH42+BI42)*2.71828^(-0.69315/半Cs137*(NOW()-R42)/365.25)</f>
        <v>414.95207016027138</v>
      </c>
    </row>
    <row r="43" spans="1:76" ht="9.9499999999999993" customHeight="1" x14ac:dyDescent="0.15">
      <c r="A43" s="9"/>
      <c r="R43" s="191">
        <v>41228</v>
      </c>
      <c r="S43" s="65"/>
      <c r="T43" s="56"/>
      <c r="U43" s="56"/>
      <c r="V43" s="222">
        <f t="shared" si="7"/>
        <v>440</v>
      </c>
      <c r="W43" s="56"/>
      <c r="X43" s="56"/>
      <c r="Y43" s="348">
        <f t="shared" si="8"/>
        <v>360</v>
      </c>
      <c r="Z43" s="217">
        <v>41219</v>
      </c>
      <c r="AA43" s="56">
        <v>160</v>
      </c>
      <c r="AB43" s="56">
        <v>280</v>
      </c>
      <c r="AC43" s="62">
        <v>440</v>
      </c>
      <c r="AD43" s="56">
        <v>130</v>
      </c>
      <c r="AE43" s="56">
        <v>230</v>
      </c>
      <c r="AF43" s="62">
        <v>360</v>
      </c>
      <c r="AG43" s="353">
        <f t="shared" si="9"/>
        <v>1.2222222222222223</v>
      </c>
      <c r="AH43" s="217">
        <v>41221</v>
      </c>
      <c r="AI43" s="56">
        <v>540</v>
      </c>
      <c r="AJ43" s="56">
        <v>910</v>
      </c>
      <c r="AK43" s="62">
        <v>1450</v>
      </c>
      <c r="AL43" s="56">
        <v>120</v>
      </c>
      <c r="AM43" s="56">
        <v>210</v>
      </c>
      <c r="AN43" s="62">
        <v>330</v>
      </c>
      <c r="AO43" s="353">
        <f t="shared" si="17"/>
        <v>4.3939393939393936</v>
      </c>
      <c r="AP43" s="344">
        <f>43740*0.083</f>
        <v>3630.42</v>
      </c>
      <c r="AQ43" s="161">
        <f t="shared" si="14"/>
        <v>464.69376</v>
      </c>
      <c r="AR43" s="161">
        <f t="shared" si="12"/>
        <v>363.10241018879998</v>
      </c>
      <c r="AS43" s="161">
        <f t="shared" si="13"/>
        <v>162.57775887359998</v>
      </c>
      <c r="AT43" s="211">
        <f t="shared" si="10"/>
        <v>525.68016906239995</v>
      </c>
      <c r="AU43" s="217"/>
      <c r="AV43" s="56"/>
      <c r="AW43" s="56"/>
      <c r="AX43" s="349"/>
      <c r="AY43" s="217">
        <v>41222</v>
      </c>
      <c r="AZ43" s="61">
        <v>2.6</v>
      </c>
      <c r="BA43" s="61">
        <v>4.5999999999999996</v>
      </c>
      <c r="BB43" s="224">
        <v>7.2</v>
      </c>
      <c r="BC43" s="198">
        <f t="shared" si="1"/>
        <v>1.5189417304422693E-23</v>
      </c>
      <c r="BD43" s="148">
        <f t="shared" si="2"/>
        <v>0.5714567934923368</v>
      </c>
      <c r="BE43" s="148">
        <f t="shared" si="3"/>
        <v>0.96235552226459531</v>
      </c>
      <c r="BF43" s="148">
        <f t="shared" si="11"/>
        <v>1.5338123157569321</v>
      </c>
      <c r="BG43" s="147">
        <f t="shared" si="4"/>
        <v>3834.53078939233</v>
      </c>
      <c r="BH43" s="147">
        <f t="shared" si="5"/>
        <v>285.72839674616841</v>
      </c>
      <c r="BI43" s="147">
        <f t="shared" si="6"/>
        <v>481.17776113229763</v>
      </c>
      <c r="BK43" s="139">
        <f t="shared" si="15"/>
        <v>3063.760694089895</v>
      </c>
      <c r="BL43" s="235">
        <f t="shared" si="16"/>
        <v>1941.5666666666668</v>
      </c>
      <c r="BM43" s="233">
        <v>1420.3030035471165</v>
      </c>
      <c r="BN43" s="139">
        <v>7438.666666666667</v>
      </c>
      <c r="BO43" s="139">
        <v>455.9735597698641</v>
      </c>
      <c r="BP43" s="139">
        <v>4958</v>
      </c>
      <c r="BQ43" s="139">
        <v>458.63022860051558</v>
      </c>
      <c r="BR43" s="139">
        <v>3254</v>
      </c>
      <c r="BS43" s="139">
        <v>728.85390217239876</v>
      </c>
      <c r="BT43" s="139">
        <v>3765</v>
      </c>
      <c r="BU43" s="142">
        <v>41214</v>
      </c>
      <c r="BW43" s="147">
        <f ca="1">(AT43+BK43)*BH43/(BH43+BI43)*2.71828^(-0.69315/半Cs134*(NOW()-R43)/365.25)+(AT43+BK43)*BI43/(BH43+BI43)*2.71828^(-0.69315/半Cs137*(NOW()-R43)/365.25)</f>
        <v>2035.9660210753095</v>
      </c>
      <c r="BX43" s="147">
        <f ca="1">(AT43)*BH43/(BH43+BI43)*2.71828^(-0.69315/半Cs134*(NOW()-R43)/365.25)+(AT43)*BI43/(BH43+BI43)*2.71828^(-0.69315/半Cs137*(NOW()-R43)/365.25)</f>
        <v>298.1709416502959</v>
      </c>
    </row>
    <row r="44" spans="1:76" ht="9.9499999999999993" customHeight="1" x14ac:dyDescent="0.15">
      <c r="A44" s="9"/>
      <c r="R44" s="191">
        <v>41258</v>
      </c>
      <c r="S44" s="65"/>
      <c r="T44" s="56"/>
      <c r="U44" s="56"/>
      <c r="V44" s="222">
        <f t="shared" si="7"/>
        <v>680</v>
      </c>
      <c r="W44" s="56"/>
      <c r="X44" s="56"/>
      <c r="Y44" s="348">
        <f t="shared" si="8"/>
        <v>176</v>
      </c>
      <c r="Z44" s="217">
        <v>41256</v>
      </c>
      <c r="AA44" s="56">
        <v>250</v>
      </c>
      <c r="AB44" s="56">
        <v>430</v>
      </c>
      <c r="AC44" s="62">
        <v>680</v>
      </c>
      <c r="AD44" s="56">
        <v>66</v>
      </c>
      <c r="AE44" s="56">
        <v>110</v>
      </c>
      <c r="AF44" s="62">
        <v>176</v>
      </c>
      <c r="AG44" s="353">
        <f t="shared" si="9"/>
        <v>3.8636363636363638</v>
      </c>
      <c r="AH44" s="217">
        <v>41247</v>
      </c>
      <c r="AI44" s="56">
        <v>500</v>
      </c>
      <c r="AJ44" s="56">
        <v>870</v>
      </c>
      <c r="AK44" s="62">
        <v>1370</v>
      </c>
      <c r="AL44" s="56">
        <v>98</v>
      </c>
      <c r="AM44" s="56">
        <v>170</v>
      </c>
      <c r="AN44" s="62">
        <v>268</v>
      </c>
      <c r="AO44" s="353">
        <f t="shared" si="17"/>
        <v>5.1119402985074629</v>
      </c>
      <c r="AP44" s="344">
        <f>43740*0.08</f>
        <v>3499.2000000000003</v>
      </c>
      <c r="AQ44" s="161">
        <f t="shared" si="14"/>
        <v>447.89760000000007</v>
      </c>
      <c r="AR44" s="161">
        <f t="shared" si="12"/>
        <v>409.02904627200007</v>
      </c>
      <c r="AS44" s="161">
        <f t="shared" si="13"/>
        <v>92.757801369600017</v>
      </c>
      <c r="AT44" s="211">
        <f t="shared" si="10"/>
        <v>501.7868476416001</v>
      </c>
      <c r="AU44" s="217"/>
      <c r="AV44" s="56"/>
      <c r="AW44" s="56"/>
      <c r="AX44" s="349"/>
      <c r="AY44" s="217">
        <v>41246</v>
      </c>
      <c r="AZ44" s="61">
        <v>1.9</v>
      </c>
      <c r="BA44" s="61">
        <v>4.0999999999999996</v>
      </c>
      <c r="BB44" s="224">
        <v>6</v>
      </c>
      <c r="BC44" s="198">
        <f t="shared" si="1"/>
        <v>1.9090287703656075E-24</v>
      </c>
      <c r="BD44" s="148">
        <f t="shared" si="2"/>
        <v>0.55897275382663281</v>
      </c>
      <c r="BE44" s="148">
        <f t="shared" si="3"/>
        <v>0.96089898632574466</v>
      </c>
      <c r="BF44" s="148">
        <f t="shared" si="11"/>
        <v>1.5198717401523774</v>
      </c>
      <c r="BG44" s="147">
        <f t="shared" si="4"/>
        <v>3799.6793503809436</v>
      </c>
      <c r="BH44" s="147">
        <f t="shared" si="5"/>
        <v>279.48637691331641</v>
      </c>
      <c r="BI44" s="147">
        <f t="shared" si="6"/>
        <v>480.44949316287233</v>
      </c>
      <c r="BK44" s="139">
        <f t="shared" si="15"/>
        <v>3351.3726708430213</v>
      </c>
      <c r="BL44" s="235">
        <f t="shared" si="16"/>
        <v>2146.0666666666666</v>
      </c>
      <c r="BM44" s="233">
        <v>1021.0199931848495</v>
      </c>
      <c r="BN44" s="139">
        <v>8615.6666666666679</v>
      </c>
      <c r="BO44" s="139">
        <v>644.84158648149833</v>
      </c>
      <c r="BP44" s="139">
        <v>5520</v>
      </c>
      <c r="BQ44" s="139">
        <v>423.5724628104839</v>
      </c>
      <c r="BR44" s="139">
        <v>2795</v>
      </c>
      <c r="BS44" s="139">
        <v>1261.9386283661897</v>
      </c>
      <c r="BT44" s="139">
        <v>4530</v>
      </c>
      <c r="BU44" s="142">
        <v>41244</v>
      </c>
      <c r="BW44" s="147">
        <f ca="1">(AT44+BK44)*BH44/(BH44+BI44)*2.71828^(-0.69315/半Cs134*(NOW()-R44)/365.25)+(AT44+BK44)*BI44/(BH44+BI44)*2.71828^(-0.69315/半Cs137*(NOW()-R44)/365.25)</f>
        <v>2207.1210148676437</v>
      </c>
      <c r="BX44" s="147">
        <f ca="1">(AT44)*BH44/(BH44+BI44)*2.71828^(-0.69315/半Cs134*(NOW()-R44)/365.25)+(AT44)*BI44/(BH44+BI44)*2.71828^(-0.69315/半Cs137*(NOW()-R44)/365.25)</f>
        <v>287.42757498125218</v>
      </c>
    </row>
    <row r="45" spans="1:76" ht="9.9499999999999993" customHeight="1" x14ac:dyDescent="0.15">
      <c r="A45" s="9"/>
      <c r="R45" s="191">
        <v>41289</v>
      </c>
      <c r="S45" s="65"/>
      <c r="T45" s="56"/>
      <c r="U45" s="56"/>
      <c r="V45" s="222">
        <f t="shared" si="7"/>
        <v>198</v>
      </c>
      <c r="W45" s="56"/>
      <c r="X45" s="56"/>
      <c r="Y45" s="348">
        <f t="shared" si="8"/>
        <v>64</v>
      </c>
      <c r="Z45" s="217">
        <v>41303</v>
      </c>
      <c r="AA45" s="56">
        <v>68</v>
      </c>
      <c r="AB45" s="56">
        <v>130</v>
      </c>
      <c r="AC45" s="62">
        <v>198</v>
      </c>
      <c r="AD45" s="56">
        <v>22</v>
      </c>
      <c r="AE45" s="56">
        <v>42</v>
      </c>
      <c r="AF45" s="62">
        <v>64</v>
      </c>
      <c r="AG45" s="353">
        <f t="shared" si="9"/>
        <v>3.09375</v>
      </c>
      <c r="AH45" s="217">
        <v>41303</v>
      </c>
      <c r="AI45" s="56">
        <v>180</v>
      </c>
      <c r="AJ45" s="56">
        <v>330</v>
      </c>
      <c r="AK45" s="62">
        <v>510</v>
      </c>
      <c r="AL45" s="56">
        <v>32</v>
      </c>
      <c r="AM45" s="56">
        <v>59</v>
      </c>
      <c r="AN45" s="62">
        <v>91</v>
      </c>
      <c r="AO45" s="353">
        <f t="shared" si="17"/>
        <v>5.604395604395604</v>
      </c>
      <c r="AP45" s="344">
        <f>43740*0.072</f>
        <v>3149.2799999999997</v>
      </c>
      <c r="AQ45" s="161">
        <f t="shared" si="14"/>
        <v>403.10783999999995</v>
      </c>
      <c r="AR45" s="161">
        <f t="shared" si="12"/>
        <v>122.32549269503998</v>
      </c>
      <c r="AS45" s="161">
        <f t="shared" si="13"/>
        <v>29.477663907839997</v>
      </c>
      <c r="AT45" s="211">
        <f t="shared" si="10"/>
        <v>151.80315660287999</v>
      </c>
      <c r="AU45" s="217"/>
      <c r="AV45" s="56"/>
      <c r="AW45" s="56"/>
      <c r="AX45" s="349"/>
      <c r="AY45" s="217">
        <v>41298</v>
      </c>
      <c r="AZ45" s="61">
        <v>1.5</v>
      </c>
      <c r="BA45" s="61">
        <v>2.9</v>
      </c>
      <c r="BB45" s="224">
        <v>4.4000000000000004</v>
      </c>
      <c r="BC45" s="198">
        <f t="shared" si="1"/>
        <v>2.1341933042353262E-26</v>
      </c>
      <c r="BD45" s="148">
        <f t="shared" si="2"/>
        <v>0.53285166233678138</v>
      </c>
      <c r="BE45" s="148">
        <f t="shared" si="3"/>
        <v>0.95775071661063205</v>
      </c>
      <c r="BF45" s="148">
        <f t="shared" si="11"/>
        <v>1.4906023789474134</v>
      </c>
      <c r="BG45" s="147">
        <f t="shared" si="4"/>
        <v>3726.5059473685337</v>
      </c>
      <c r="BH45" s="147">
        <f t="shared" si="5"/>
        <v>266.42583116839069</v>
      </c>
      <c r="BI45" s="147">
        <f t="shared" si="6"/>
        <v>478.87535830531601</v>
      </c>
      <c r="BK45" s="139">
        <f t="shared" si="15"/>
        <v>2751.2865992286652</v>
      </c>
      <c r="BL45" s="235">
        <f t="shared" si="16"/>
        <v>2170.15</v>
      </c>
      <c r="BM45" s="233">
        <v>527.23562249087331</v>
      </c>
      <c r="BN45" s="139">
        <v>6784</v>
      </c>
      <c r="BO45" s="139">
        <v>399.61744810684058</v>
      </c>
      <c r="BP45" s="139">
        <v>4478</v>
      </c>
      <c r="BQ45" s="139">
        <v>449.94273349217036</v>
      </c>
      <c r="BR45" s="139">
        <v>3976</v>
      </c>
      <c r="BS45" s="139">
        <v>1374.4907951387806</v>
      </c>
      <c r="BT45" s="139">
        <v>6463.5</v>
      </c>
      <c r="BU45" s="142">
        <v>41275</v>
      </c>
      <c r="BW45" s="147">
        <f ca="1">(AT45+BK45)*BH45/(BH45+BI45)*2.71828^(-0.69315/半Cs134*(NOW()-R45)/365.25)+(AT45+BK45)*BI45/(BH45+BI45)*2.71828^(-0.69315/半Cs137*(NOW()-R45)/365.25)</f>
        <v>1691.4807855107692</v>
      </c>
      <c r="BX45" s="147">
        <f ca="1">(AT45)*BH45/(BH45+BI45)*2.71828^(-0.69315/半Cs134*(NOW()-R45)/365.25)+(AT45)*BI45/(BH45+BI45)*2.71828^(-0.69315/半Cs137*(NOW()-R45)/365.25)</f>
        <v>88.447875942473374</v>
      </c>
    </row>
    <row r="46" spans="1:76" ht="9.9499999999999993" customHeight="1" x14ac:dyDescent="0.15">
      <c r="A46" s="9"/>
      <c r="R46" s="191">
        <v>41320</v>
      </c>
      <c r="S46" s="65"/>
      <c r="T46" s="56"/>
      <c r="U46" s="56"/>
      <c r="V46" s="222">
        <f t="shared" si="7"/>
        <v>280</v>
      </c>
      <c r="W46" s="56"/>
      <c r="X46" s="56"/>
      <c r="Y46" s="348">
        <f t="shared" si="8"/>
        <v>67</v>
      </c>
      <c r="Z46" s="217">
        <v>41311</v>
      </c>
      <c r="AA46" s="56">
        <v>100</v>
      </c>
      <c r="AB46" s="56">
        <v>180</v>
      </c>
      <c r="AC46" s="62">
        <v>280</v>
      </c>
      <c r="AD46" s="56">
        <v>23</v>
      </c>
      <c r="AE46" s="56">
        <v>44</v>
      </c>
      <c r="AF46" s="62">
        <v>67</v>
      </c>
      <c r="AG46" s="353">
        <f t="shared" si="9"/>
        <v>4.1791044776119399</v>
      </c>
      <c r="AH46" s="217">
        <v>41311</v>
      </c>
      <c r="AI46" s="56">
        <v>220</v>
      </c>
      <c r="AJ46" s="56">
        <v>400</v>
      </c>
      <c r="AK46" s="62">
        <v>620</v>
      </c>
      <c r="AL46" s="56">
        <v>37</v>
      </c>
      <c r="AM46" s="56">
        <v>70</v>
      </c>
      <c r="AN46" s="62">
        <v>107</v>
      </c>
      <c r="AO46" s="353">
        <f t="shared" si="17"/>
        <v>5.7943925233644862</v>
      </c>
      <c r="AP46" s="344">
        <f>43740*0.061</f>
        <v>2668.14</v>
      </c>
      <c r="AQ46" s="161">
        <f t="shared" si="14"/>
        <v>341.52191999999997</v>
      </c>
      <c r="AR46" s="161">
        <f t="shared" si="12"/>
        <v>134.87383664639998</v>
      </c>
      <c r="AS46" s="161">
        <f t="shared" si="13"/>
        <v>27.499344998399998</v>
      </c>
      <c r="AT46" s="211">
        <f t="shared" si="10"/>
        <v>162.37318164479998</v>
      </c>
      <c r="AU46" s="217"/>
      <c r="AV46" s="56"/>
      <c r="AW46" s="56"/>
      <c r="AX46" s="349"/>
      <c r="AY46" s="217">
        <v>41323</v>
      </c>
      <c r="AZ46" s="61">
        <v>1.7</v>
      </c>
      <c r="BA46" s="61">
        <v>3.2</v>
      </c>
      <c r="BB46" s="224">
        <v>4.9000000000000004</v>
      </c>
      <c r="BC46" s="198">
        <f t="shared" si="1"/>
        <v>2.4602245775636117E-27</v>
      </c>
      <c r="BD46" s="148">
        <f t="shared" si="2"/>
        <v>0.52073151962138764</v>
      </c>
      <c r="BE46" s="148">
        <f t="shared" si="3"/>
        <v>0.95624079912683113</v>
      </c>
      <c r="BF46" s="148">
        <f t="shared" si="11"/>
        <v>1.4769723187482189</v>
      </c>
      <c r="BG46" s="147">
        <f t="shared" si="4"/>
        <v>3692.4307968705471</v>
      </c>
      <c r="BH46" s="147">
        <f t="shared" si="5"/>
        <v>260.36575981069382</v>
      </c>
      <c r="BI46" s="147">
        <f t="shared" si="6"/>
        <v>478.12039956341556</v>
      </c>
      <c r="BK46" s="139">
        <f t="shared" si="15"/>
        <v>3610.3408128693718</v>
      </c>
      <c r="BL46" s="235">
        <f t="shared" si="16"/>
        <v>2680.2</v>
      </c>
      <c r="BM46" s="233">
        <v>827.48837435294149</v>
      </c>
      <c r="BN46" s="139">
        <v>10163</v>
      </c>
      <c r="BO46" s="139">
        <v>398.17740575884096</v>
      </c>
      <c r="BP46" s="139">
        <v>4372</v>
      </c>
      <c r="BQ46" s="139">
        <v>664.01765734245896</v>
      </c>
      <c r="BR46" s="139">
        <v>4538</v>
      </c>
      <c r="BS46" s="139">
        <v>1720.6573754151307</v>
      </c>
      <c r="BT46" s="139">
        <v>7729</v>
      </c>
      <c r="BU46" s="142">
        <v>41306</v>
      </c>
      <c r="BW46" s="147">
        <f ca="1">(AT46+BK46)*BH46/(BH46+BI46)*2.71828^(-0.69315/半Cs134*(NOW()-R46)/365.25)+(AT46+BK46)*BI46/(BH46+BI46)*2.71828^(-0.69315/半Cs137*(NOW()-R46)/365.25)</f>
        <v>2219.9769555620719</v>
      </c>
      <c r="BX46" s="147">
        <f ca="1">(AT46)*BH46/(BH46+BI46)*2.71828^(-0.69315/半Cs134*(NOW()-R46)/365.25)+(AT46)*BI46/(BH46+BI46)*2.71828^(-0.69315/半Cs137*(NOW()-R46)/365.25)</f>
        <v>95.545202201093147</v>
      </c>
    </row>
    <row r="47" spans="1:76" ht="9.9499999999999993" customHeight="1" x14ac:dyDescent="0.15">
      <c r="A47" s="9"/>
      <c r="R47" s="191">
        <v>41348</v>
      </c>
      <c r="S47" s="65"/>
      <c r="T47" s="56"/>
      <c r="U47" s="56"/>
      <c r="V47" s="222">
        <f t="shared" si="7"/>
        <v>550</v>
      </c>
      <c r="W47" s="56"/>
      <c r="X47" s="56"/>
      <c r="Y47" s="348">
        <f t="shared" si="8"/>
        <v>145</v>
      </c>
      <c r="Z47" s="217">
        <v>41348</v>
      </c>
      <c r="AA47" s="56">
        <v>200</v>
      </c>
      <c r="AB47" s="56">
        <v>350</v>
      </c>
      <c r="AC47" s="62">
        <v>550</v>
      </c>
      <c r="AD47" s="56">
        <v>52</v>
      </c>
      <c r="AE47" s="56">
        <v>93</v>
      </c>
      <c r="AF47" s="62">
        <v>145</v>
      </c>
      <c r="AG47" s="353">
        <f t="shared" si="9"/>
        <v>3.7931034482758621</v>
      </c>
      <c r="AH47" s="217">
        <v>41341</v>
      </c>
      <c r="AI47" s="56">
        <v>280</v>
      </c>
      <c r="AJ47" s="56">
        <v>560</v>
      </c>
      <c r="AK47" s="62">
        <v>840</v>
      </c>
      <c r="AL47" s="56">
        <v>62</v>
      </c>
      <c r="AM47" s="56">
        <v>100</v>
      </c>
      <c r="AN47" s="62">
        <v>162</v>
      </c>
      <c r="AO47" s="353">
        <f t="shared" si="17"/>
        <v>5.1851851851851851</v>
      </c>
      <c r="AP47" s="344">
        <f>43740*0.074</f>
        <v>3236.7599999999998</v>
      </c>
      <c r="AQ47" s="161">
        <f t="shared" si="14"/>
        <v>414.30527999999998</v>
      </c>
      <c r="AR47" s="161">
        <f t="shared" si="12"/>
        <v>268.47810754559998</v>
      </c>
      <c r="AS47" s="161">
        <f t="shared" si="13"/>
        <v>62.45486373888</v>
      </c>
      <c r="AT47" s="211">
        <f t="shared" si="10"/>
        <v>330.93297128448</v>
      </c>
      <c r="AU47" s="217"/>
      <c r="AV47" s="56"/>
      <c r="AW47" s="56"/>
      <c r="AX47" s="349"/>
      <c r="AY47" s="217">
        <v>41337</v>
      </c>
      <c r="AZ47" s="61">
        <v>1.3</v>
      </c>
      <c r="BA47" s="61">
        <v>3.1</v>
      </c>
      <c r="BB47" s="224">
        <v>4.4000000000000004</v>
      </c>
      <c r="BC47" s="198">
        <f t="shared" si="1"/>
        <v>7.337527004921315E-28</v>
      </c>
      <c r="BD47" s="148">
        <f t="shared" si="2"/>
        <v>0.51406506284877262</v>
      </c>
      <c r="BE47" s="148">
        <f t="shared" si="3"/>
        <v>0.9553962853447564</v>
      </c>
      <c r="BF47" s="148">
        <f t="shared" si="11"/>
        <v>1.469461348193529</v>
      </c>
      <c r="BG47" s="147">
        <f t="shared" si="4"/>
        <v>3673.6533704838221</v>
      </c>
      <c r="BH47" s="147">
        <f t="shared" si="5"/>
        <v>257.03253142438632</v>
      </c>
      <c r="BI47" s="147">
        <f t="shared" si="6"/>
        <v>477.6981426723782</v>
      </c>
      <c r="BK47" s="139">
        <f t="shared" si="15"/>
        <v>4135.3491010064481</v>
      </c>
      <c r="BL47" s="235">
        <f t="shared" si="16"/>
        <v>2860.95</v>
      </c>
      <c r="BM47" s="233">
        <v>953.96364979225814</v>
      </c>
      <c r="BN47" s="139">
        <v>9804.5</v>
      </c>
      <c r="BO47" s="139">
        <v>579.74886780254906</v>
      </c>
      <c r="BP47" s="139">
        <v>5391</v>
      </c>
      <c r="BQ47" s="139">
        <v>436.04515927043576</v>
      </c>
      <c r="BR47" s="139">
        <v>5022</v>
      </c>
      <c r="BS47" s="139">
        <v>2165.5914241412047</v>
      </c>
      <c r="BT47" s="139">
        <v>8392</v>
      </c>
      <c r="BU47" s="142">
        <v>41334</v>
      </c>
      <c r="BW47" s="147">
        <f ca="1">(AT47+BK47)*BH47/(BH47+BI47)*2.71828^(-0.69315/半Cs134*(NOW()-R47)/365.25)+(AT47+BK47)*BI47/(BH47+BI47)*2.71828^(-0.69315/半Cs137*(NOW()-R47)/365.25)</f>
        <v>2645.7816897834055</v>
      </c>
      <c r="BX47" s="147">
        <f ca="1">(AT47)*BH47/(BH47+BI47)*2.71828^(-0.69315/半Cs134*(NOW()-R47)/365.25)+(AT47)*BI47/(BH47+BI47)*2.71828^(-0.69315/半Cs137*(NOW()-R47)/365.25)</f>
        <v>196.04144606141674</v>
      </c>
    </row>
    <row r="48" spans="1:76" ht="9.9499999999999993" customHeight="1" x14ac:dyDescent="0.15">
      <c r="A48" s="9"/>
      <c r="R48" s="191">
        <v>41379</v>
      </c>
      <c r="S48" s="65"/>
      <c r="T48" s="56"/>
      <c r="U48" s="56"/>
      <c r="V48" s="222">
        <f t="shared" si="7"/>
        <v>760</v>
      </c>
      <c r="W48" s="56"/>
      <c r="X48" s="56"/>
      <c r="Y48" s="348">
        <f t="shared" si="8"/>
        <v>201</v>
      </c>
      <c r="Z48" s="217">
        <v>41375</v>
      </c>
      <c r="AA48" s="56">
        <v>250</v>
      </c>
      <c r="AB48" s="56">
        <v>510</v>
      </c>
      <c r="AC48" s="62">
        <v>760</v>
      </c>
      <c r="AD48" s="56">
        <v>71</v>
      </c>
      <c r="AE48" s="56">
        <v>130</v>
      </c>
      <c r="AF48" s="62">
        <v>201</v>
      </c>
      <c r="AG48" s="353">
        <f t="shared" si="9"/>
        <v>3.7810945273631842</v>
      </c>
      <c r="AH48" s="217">
        <v>41383</v>
      </c>
      <c r="AI48" s="56">
        <v>530</v>
      </c>
      <c r="AJ48" s="56">
        <v>1000</v>
      </c>
      <c r="AK48" s="62">
        <v>1530</v>
      </c>
      <c r="AL48" s="56">
        <v>140</v>
      </c>
      <c r="AM48" s="56">
        <v>260</v>
      </c>
      <c r="AN48" s="62">
        <v>400</v>
      </c>
      <c r="AO48" s="353">
        <f t="shared" si="17"/>
        <v>3.8250000000000002</v>
      </c>
      <c r="AP48" s="344">
        <f>43740*0.077</f>
        <v>3367.98</v>
      </c>
      <c r="AQ48" s="161">
        <f>AP48*0.143</f>
        <v>481.62113999999997</v>
      </c>
      <c r="AR48" s="161">
        <f t="shared" si="12"/>
        <v>491.3787842964</v>
      </c>
      <c r="AS48" s="161">
        <f t="shared" si="13"/>
        <v>129.20065025867999</v>
      </c>
      <c r="AT48" s="211">
        <f t="shared" si="10"/>
        <v>620.57943455507996</v>
      </c>
      <c r="AU48" s="217">
        <v>41390</v>
      </c>
      <c r="AV48" s="56">
        <v>330</v>
      </c>
      <c r="AW48" s="56">
        <v>640</v>
      </c>
      <c r="AX48" s="349">
        <v>970</v>
      </c>
      <c r="AY48" s="217">
        <v>41380</v>
      </c>
      <c r="AZ48" s="56">
        <v>1.5</v>
      </c>
      <c r="BA48" s="56">
        <v>3.3</v>
      </c>
      <c r="BB48" s="225">
        <v>4.8</v>
      </c>
      <c r="BC48" s="198">
        <f t="shared" si="1"/>
        <v>1.7854357735737373E-29</v>
      </c>
      <c r="BD48" s="148">
        <f t="shared" si="2"/>
        <v>0.49411843798379906</v>
      </c>
      <c r="BE48" s="148">
        <f t="shared" si="3"/>
        <v>0.95280708215092402</v>
      </c>
      <c r="BF48" s="148">
        <f t="shared" si="11"/>
        <v>1.4469255201347231</v>
      </c>
      <c r="BG48" s="147">
        <f t="shared" si="4"/>
        <v>3617.3138003368076</v>
      </c>
      <c r="BH48" s="147">
        <f t="shared" si="5"/>
        <v>247.05921899189954</v>
      </c>
      <c r="BI48" s="147">
        <f t="shared" si="6"/>
        <v>476.40354107546199</v>
      </c>
      <c r="BK48" s="139">
        <f t="shared" si="15"/>
        <v>4145.0955830350085</v>
      </c>
      <c r="BL48" s="235">
        <f t="shared" si="16"/>
        <v>2421.7833333333333</v>
      </c>
      <c r="BM48" s="233">
        <v>2296.7254308330785</v>
      </c>
      <c r="BN48" s="139">
        <v>9062.8333333333321</v>
      </c>
      <c r="BO48" s="139">
        <v>425.64521209748716</v>
      </c>
      <c r="BP48" s="139">
        <v>5259</v>
      </c>
      <c r="BQ48" s="139">
        <v>436.5071001078889</v>
      </c>
      <c r="BR48" s="139">
        <v>4632</v>
      </c>
      <c r="BS48" s="139">
        <v>986.21783999655349</v>
      </c>
      <c r="BT48" s="139">
        <v>5264</v>
      </c>
      <c r="BU48" s="142">
        <v>41365</v>
      </c>
      <c r="BW48" s="147">
        <f ca="1">(AT48+BK48)*BH48/(BH48+BI48)*2.71828^(-0.69315/半Cs134*(NOW()-R48)/365.25)+(AT48+BK48)*BI48/(BH48+BI48)*2.71828^(-0.69315/半Cs137*(NOW()-R48)/365.25)</f>
        <v>2863.154858118447</v>
      </c>
      <c r="BX48" s="147">
        <f ca="1">(AT48)*BH48/(BH48+BI48)*2.71828^(-0.69315/半Cs134*(NOW()-R48)/365.25)+(AT48)*BI48/(BH48+BI48)*2.71828^(-0.69315/半Cs137*(NOW()-R48)/365.25)</f>
        <v>372.83596055890467</v>
      </c>
    </row>
    <row r="49" spans="1:76" ht="9.9499999999999993" customHeight="1" x14ac:dyDescent="0.15">
      <c r="A49" s="9"/>
      <c r="R49" s="191">
        <v>41409</v>
      </c>
      <c r="S49" s="65"/>
      <c r="T49" s="56"/>
      <c r="U49" s="56"/>
      <c r="V49" s="222">
        <f t="shared" si="7"/>
        <v>930</v>
      </c>
      <c r="W49" s="56"/>
      <c r="X49" s="56"/>
      <c r="Y49" s="348">
        <f t="shared" si="8"/>
        <v>213</v>
      </c>
      <c r="Z49" s="217">
        <v>41408</v>
      </c>
      <c r="AA49" s="56">
        <v>320</v>
      </c>
      <c r="AB49" s="56">
        <v>610</v>
      </c>
      <c r="AC49" s="62">
        <v>930</v>
      </c>
      <c r="AD49" s="56">
        <v>73</v>
      </c>
      <c r="AE49" s="56">
        <v>140</v>
      </c>
      <c r="AF49" s="62">
        <v>213</v>
      </c>
      <c r="AG49" s="353">
        <f t="shared" si="9"/>
        <v>4.3661971830985919</v>
      </c>
      <c r="AH49" s="217">
        <v>41417</v>
      </c>
      <c r="AI49" s="56">
        <v>560</v>
      </c>
      <c r="AJ49" s="56">
        <v>1200</v>
      </c>
      <c r="AK49" s="62">
        <v>1760</v>
      </c>
      <c r="AL49" s="56">
        <v>160</v>
      </c>
      <c r="AM49" s="56">
        <v>320</v>
      </c>
      <c r="AN49" s="62">
        <v>480</v>
      </c>
      <c r="AO49" s="353">
        <f t="shared" si="17"/>
        <v>3.6666666666666665</v>
      </c>
      <c r="AP49" s="344">
        <f>44496*0.086</f>
        <v>3826.6559999999995</v>
      </c>
      <c r="AQ49" s="161">
        <f t="shared" ref="AQ49:AQ59" si="18">AP49*0.143</f>
        <v>547.21180799999991</v>
      </c>
      <c r="AR49" s="161">
        <f t="shared" si="12"/>
        <v>662.4217820563199</v>
      </c>
      <c r="AS49" s="161">
        <f t="shared" si="13"/>
        <v>165.93979192876799</v>
      </c>
      <c r="AT49" s="211">
        <f t="shared" si="10"/>
        <v>828.36157398508794</v>
      </c>
      <c r="AU49" s="217">
        <v>41418</v>
      </c>
      <c r="AV49" s="56">
        <v>320</v>
      </c>
      <c r="AW49" s="56">
        <v>670</v>
      </c>
      <c r="AX49" s="349">
        <v>990</v>
      </c>
      <c r="AY49" s="217">
        <v>41415</v>
      </c>
      <c r="AZ49" s="56">
        <v>1.4</v>
      </c>
      <c r="BA49" s="56">
        <v>3.2</v>
      </c>
      <c r="BB49" s="225">
        <v>4.5999999999999996</v>
      </c>
      <c r="BC49" s="198">
        <f t="shared" si="1"/>
        <v>8.6732453477212852E-31</v>
      </c>
      <c r="BD49" s="148">
        <f t="shared" si="2"/>
        <v>0.47845557283619838</v>
      </c>
      <c r="BE49" s="148">
        <f t="shared" si="3"/>
        <v>0.95070477222585603</v>
      </c>
      <c r="BF49" s="148">
        <f t="shared" si="11"/>
        <v>1.4291603450620545</v>
      </c>
      <c r="BG49" s="147">
        <f t="shared" si="4"/>
        <v>3572.9008626551358</v>
      </c>
      <c r="BH49" s="147">
        <f t="shared" si="5"/>
        <v>239.22778641809919</v>
      </c>
      <c r="BI49" s="147">
        <f t="shared" si="6"/>
        <v>475.352386112928</v>
      </c>
      <c r="BK49" s="139">
        <f t="shared" si="15"/>
        <v>4407.3915313710868</v>
      </c>
      <c r="BL49" s="235">
        <f t="shared" si="16"/>
        <v>2327.7983333333332</v>
      </c>
      <c r="BM49" s="233">
        <v>1938.8918661518974</v>
      </c>
      <c r="BN49" s="139">
        <v>7823.6500000000005</v>
      </c>
      <c r="BO49" s="139">
        <v>422.81039051305191</v>
      </c>
      <c r="BP49" s="139">
        <v>4993</v>
      </c>
      <c r="BQ49" s="139">
        <v>537.31043637399557</v>
      </c>
      <c r="BR49" s="139">
        <v>3981.333333333333</v>
      </c>
      <c r="BS49" s="139">
        <v>1508.3788383321414</v>
      </c>
      <c r="BT49" s="139">
        <v>6480</v>
      </c>
      <c r="BU49" s="142">
        <v>41395</v>
      </c>
      <c r="BW49" s="147">
        <f ca="1">(AT49+BK49)*BH49/(BH49+BI49)*2.71828^(-0.69315/半Cs134*(NOW()-R49)/365.25)+(AT49+BK49)*BI49/(BH49+BI49)*2.71828^(-0.69315/半Cs137*(NOW()-R49)/365.25)</f>
        <v>3182.8472597245263</v>
      </c>
      <c r="BX49" s="147">
        <f ca="1">(AT49)*BH49/(BH49+BI49)*2.71828^(-0.69315/半Cs134*(NOW()-R49)/365.25)+(AT49)*BI49/(BH49+BI49)*2.71828^(-0.69315/半Cs137*(NOW()-R49)/365.25)</f>
        <v>503.56621344928288</v>
      </c>
    </row>
    <row r="50" spans="1:76" ht="9.9499999999999993" customHeight="1" x14ac:dyDescent="0.15">
      <c r="A50" s="9"/>
      <c r="R50" s="191">
        <v>41440</v>
      </c>
      <c r="S50" s="65"/>
      <c r="T50" s="56"/>
      <c r="U50" s="56"/>
      <c r="V50" s="222">
        <f t="shared" si="7"/>
        <v>1100</v>
      </c>
      <c r="W50" s="56"/>
      <c r="X50" s="56"/>
      <c r="Y50" s="348">
        <f t="shared" si="8"/>
        <v>208</v>
      </c>
      <c r="Z50" s="217">
        <v>41436</v>
      </c>
      <c r="AA50" s="56">
        <v>350</v>
      </c>
      <c r="AB50" s="56">
        <v>750</v>
      </c>
      <c r="AC50" s="62">
        <v>1100</v>
      </c>
      <c r="AD50" s="56">
        <v>68</v>
      </c>
      <c r="AE50" s="56">
        <v>140</v>
      </c>
      <c r="AF50" s="62">
        <v>208</v>
      </c>
      <c r="AG50" s="353">
        <f t="shared" si="9"/>
        <v>5.2884615384615383</v>
      </c>
      <c r="AH50" s="217">
        <v>41439</v>
      </c>
      <c r="AI50" s="56">
        <v>420</v>
      </c>
      <c r="AJ50" s="56">
        <v>850</v>
      </c>
      <c r="AK50" s="62">
        <v>1270</v>
      </c>
      <c r="AL50" s="56">
        <v>120</v>
      </c>
      <c r="AM50" s="56">
        <v>260</v>
      </c>
      <c r="AN50" s="62">
        <v>380</v>
      </c>
      <c r="AO50" s="353">
        <f t="shared" si="17"/>
        <v>3.3421052631578947</v>
      </c>
      <c r="AP50" s="344">
        <f>44496*0.089</f>
        <v>3960.1439999999998</v>
      </c>
      <c r="AQ50" s="161">
        <f t="shared" si="18"/>
        <v>566.30059199999994</v>
      </c>
      <c r="AR50" s="161">
        <f t="shared" si="12"/>
        <v>655.47028321632001</v>
      </c>
      <c r="AS50" s="161">
        <f t="shared" si="13"/>
        <v>150.71297435251199</v>
      </c>
      <c r="AT50" s="211">
        <f t="shared" si="10"/>
        <v>806.183257568832</v>
      </c>
      <c r="AU50" s="217">
        <v>41446</v>
      </c>
      <c r="AV50" s="56">
        <v>290</v>
      </c>
      <c r="AW50" s="56">
        <v>590</v>
      </c>
      <c r="AX50" s="349">
        <v>880</v>
      </c>
      <c r="AY50" s="217">
        <v>41443</v>
      </c>
      <c r="AZ50" s="56">
        <v>1.3</v>
      </c>
      <c r="BA50" s="56">
        <v>3.3</v>
      </c>
      <c r="BB50" s="225">
        <v>4.5999999999999996</v>
      </c>
      <c r="BC50" s="198">
        <f t="shared" si="1"/>
        <v>7.7149222125484961E-32</v>
      </c>
      <c r="BD50" s="148">
        <f t="shared" si="2"/>
        <v>0.46628351693266323</v>
      </c>
      <c r="BE50" s="148">
        <f t="shared" si="3"/>
        <v>0.94902626458155681</v>
      </c>
      <c r="BF50" s="148">
        <f t="shared" si="11"/>
        <v>1.4153097815142202</v>
      </c>
      <c r="BG50" s="147">
        <f t="shared" si="4"/>
        <v>3538.2744537855501</v>
      </c>
      <c r="BH50" s="147">
        <f t="shared" si="5"/>
        <v>233.14175846633162</v>
      </c>
      <c r="BI50" s="147">
        <f t="shared" si="6"/>
        <v>474.5131322907784</v>
      </c>
      <c r="BK50" s="139">
        <f t="shared" si="15"/>
        <v>3169.5802940981898</v>
      </c>
      <c r="BL50" s="235">
        <f t="shared" si="16"/>
        <v>1907.4091660161332</v>
      </c>
      <c r="BM50" s="233">
        <v>1433.1305261364498</v>
      </c>
      <c r="BN50" s="139">
        <v>6535.1722222222234</v>
      </c>
      <c r="BO50" s="139">
        <v>226.13710598442896</v>
      </c>
      <c r="BP50" s="139">
        <v>3851</v>
      </c>
      <c r="BQ50" s="139">
        <v>355.31221605172709</v>
      </c>
      <c r="BR50" s="139">
        <v>3140.7999999999997</v>
      </c>
      <c r="BS50" s="139">
        <v>1155.000445925584</v>
      </c>
      <c r="BT50" s="139">
        <v>5547.11943793911</v>
      </c>
      <c r="BU50" s="142">
        <v>41426</v>
      </c>
      <c r="BW50" s="147">
        <f ca="1">(AT50+BK50)*BH50/(BH50+BI50)*2.71828^(-0.69315/半Cs134*(NOW()-R50)/365.25)+(AT50+BK50)*BI50/(BH50+BI50)*2.71828^(-0.69315/半Cs137*(NOW()-R50)/365.25)</f>
        <v>2441.3833527826396</v>
      </c>
      <c r="BX50" s="147">
        <f ca="1">(AT50)*BH50/(BH50+BI50)*2.71828^(-0.69315/半Cs134*(NOW()-R50)/365.25)+(AT50)*BI50/(BH50+BI50)*2.71828^(-0.69315/半Cs137*(NOW()-R50)/365.25)</f>
        <v>495.05016048938978</v>
      </c>
    </row>
    <row r="51" spans="1:76" ht="9.9499999999999993" customHeight="1" x14ac:dyDescent="0.15">
      <c r="A51" s="9"/>
      <c r="R51" s="191">
        <v>41470</v>
      </c>
      <c r="S51" s="65"/>
      <c r="T51" s="56"/>
      <c r="U51" s="56"/>
      <c r="V51" s="222">
        <f t="shared" si="7"/>
        <v>860</v>
      </c>
      <c r="W51" s="56"/>
      <c r="X51" s="56"/>
      <c r="Y51" s="348">
        <f t="shared" si="8"/>
        <v>281</v>
      </c>
      <c r="Z51" s="217">
        <v>41464</v>
      </c>
      <c r="AA51" s="56">
        <v>280</v>
      </c>
      <c r="AB51" s="56">
        <v>580</v>
      </c>
      <c r="AC51" s="62">
        <v>860</v>
      </c>
      <c r="AD51" s="56">
        <v>91</v>
      </c>
      <c r="AE51" s="56">
        <v>190</v>
      </c>
      <c r="AF51" s="62">
        <v>281</v>
      </c>
      <c r="AG51" s="353">
        <f t="shared" si="9"/>
        <v>3.0604982206405693</v>
      </c>
      <c r="AH51" s="217">
        <v>41473</v>
      </c>
      <c r="AI51" s="56">
        <v>340</v>
      </c>
      <c r="AJ51" s="56">
        <v>750</v>
      </c>
      <c r="AK51" s="62">
        <v>1090</v>
      </c>
      <c r="AL51" s="56">
        <v>100</v>
      </c>
      <c r="AM51" s="56">
        <v>230</v>
      </c>
      <c r="AN51" s="62">
        <v>330</v>
      </c>
      <c r="AO51" s="353">
        <f t="shared" si="17"/>
        <v>3.3030303030303032</v>
      </c>
      <c r="AP51" s="344">
        <f>44496*0.095</f>
        <v>4227.12</v>
      </c>
      <c r="AQ51" s="161">
        <f t="shared" si="18"/>
        <v>604.47815999999989</v>
      </c>
      <c r="AR51" s="161">
        <f t="shared" si="12"/>
        <v>566.84334975839988</v>
      </c>
      <c r="AS51" s="161">
        <f t="shared" si="13"/>
        <v>179.86973024591995</v>
      </c>
      <c r="AT51" s="211">
        <f t="shared" si="10"/>
        <v>746.71308000431986</v>
      </c>
      <c r="AU51" s="217">
        <v>41480</v>
      </c>
      <c r="AV51" s="56">
        <v>250</v>
      </c>
      <c r="AW51" s="56">
        <v>530</v>
      </c>
      <c r="AX51" s="349">
        <v>780</v>
      </c>
      <c r="AY51" s="217">
        <v>41481</v>
      </c>
      <c r="AZ51" s="56">
        <v>7.2</v>
      </c>
      <c r="BA51" s="56">
        <v>16</v>
      </c>
      <c r="BB51" s="225">
        <v>23.2</v>
      </c>
      <c r="BC51" s="198">
        <f t="shared" si="1"/>
        <v>2.8918640417684005E-33</v>
      </c>
      <c r="BD51" s="148">
        <f t="shared" si="2"/>
        <v>0.45025809127545258</v>
      </c>
      <c r="BE51" s="148">
        <f t="shared" si="3"/>
        <v>0.94675302896967983</v>
      </c>
      <c r="BF51" s="148">
        <f t="shared" si="11"/>
        <v>1.3970111202451325</v>
      </c>
      <c r="BG51" s="147">
        <f t="shared" si="4"/>
        <v>3492.527800612831</v>
      </c>
      <c r="BH51" s="147">
        <f t="shared" si="5"/>
        <v>225.12904563772628</v>
      </c>
      <c r="BI51" s="147">
        <f t="shared" si="6"/>
        <v>473.3765144848399</v>
      </c>
      <c r="BK51" s="139">
        <f t="shared" si="15"/>
        <v>2818.816769232466</v>
      </c>
      <c r="BL51" s="235">
        <f t="shared" si="16"/>
        <v>1564.2486104605778</v>
      </c>
      <c r="BM51" s="233">
        <v>852.45874155922797</v>
      </c>
      <c r="BN51" s="139">
        <v>3908.9000000000005</v>
      </c>
      <c r="BO51" s="139">
        <v>411.23302062686139</v>
      </c>
      <c r="BP51" s="139">
        <v>3851</v>
      </c>
      <c r="BQ51" s="139">
        <v>327.63676883778959</v>
      </c>
      <c r="BR51" s="139">
        <v>2335.4666666666667</v>
      </c>
      <c r="BS51" s="139">
        <v>1227.4882382085868</v>
      </c>
      <c r="BT51" s="139">
        <v>5547.11943793911</v>
      </c>
      <c r="BU51" s="142">
        <v>41456</v>
      </c>
      <c r="BW51" s="147">
        <f ca="1">(AT51+BK51)*BH51/(BH51+BI51)*2.71828^(-0.69315/半Cs134*(NOW()-R51)/365.25)+(AT51+BK51)*BI51/(BH51+BI51)*2.71828^(-0.69315/半Cs137*(NOW()-R51)/365.25)</f>
        <v>2216.1199577844768</v>
      </c>
      <c r="BX51" s="147">
        <f ca="1">(AT51)*BH51/(BH51+BI51)*2.71828^(-0.69315/半Cs134*(NOW()-R51)/365.25)+(AT51)*BI51/(BH51+BI51)*2.71828^(-0.69315/半Cs137*(NOW()-R51)/365.25)</f>
        <v>464.11215984925968</v>
      </c>
    </row>
    <row r="52" spans="1:76" ht="9.9499999999999993" customHeight="1" x14ac:dyDescent="0.15">
      <c r="A52" s="9"/>
      <c r="R52" s="191">
        <v>41501</v>
      </c>
      <c r="S52" s="65"/>
      <c r="T52" s="56"/>
      <c r="U52" s="56"/>
      <c r="V52" s="222">
        <f t="shared" si="7"/>
        <v>720</v>
      </c>
      <c r="W52" s="56"/>
      <c r="X52" s="56"/>
      <c r="Y52" s="348">
        <f t="shared" si="8"/>
        <v>360</v>
      </c>
      <c r="Z52" s="217">
        <v>41493</v>
      </c>
      <c r="AA52" s="56">
        <v>230</v>
      </c>
      <c r="AB52" s="56">
        <v>490</v>
      </c>
      <c r="AC52" s="62">
        <v>720</v>
      </c>
      <c r="AD52" s="56">
        <v>110</v>
      </c>
      <c r="AE52" s="56">
        <v>250</v>
      </c>
      <c r="AF52" s="62">
        <v>360</v>
      </c>
      <c r="AG52" s="353">
        <f t="shared" si="9"/>
        <v>2</v>
      </c>
      <c r="AH52" s="217">
        <v>41494</v>
      </c>
      <c r="AI52" s="56">
        <v>390</v>
      </c>
      <c r="AJ52" s="56">
        <v>830</v>
      </c>
      <c r="AK52" s="62">
        <v>1220</v>
      </c>
      <c r="AL52" s="56">
        <v>130</v>
      </c>
      <c r="AM52" s="56">
        <v>280</v>
      </c>
      <c r="AN52" s="62">
        <v>410</v>
      </c>
      <c r="AO52" s="353">
        <f t="shared" si="17"/>
        <v>2.975609756097561</v>
      </c>
      <c r="AP52" s="344">
        <f>44496*0.098</f>
        <v>4360.6080000000002</v>
      </c>
      <c r="AQ52" s="161">
        <f t="shared" si="18"/>
        <v>623.56694399999992</v>
      </c>
      <c r="AR52" s="161">
        <f t="shared" si="12"/>
        <v>554.35101321599996</v>
      </c>
      <c r="AS52" s="161">
        <f t="shared" si="13"/>
        <v>235.02238119359995</v>
      </c>
      <c r="AT52" s="211">
        <f t="shared" si="10"/>
        <v>789.37339440959988</v>
      </c>
      <c r="AU52" s="217">
        <v>41511</v>
      </c>
      <c r="AV52" s="56">
        <v>220</v>
      </c>
      <c r="AW52" s="56">
        <v>450</v>
      </c>
      <c r="AX52" s="349">
        <v>670</v>
      </c>
      <c r="AY52" s="217">
        <v>41494</v>
      </c>
      <c r="AZ52" s="56">
        <v>6.1</v>
      </c>
      <c r="BA52" s="56">
        <v>15</v>
      </c>
      <c r="BB52" s="225">
        <v>21.1</v>
      </c>
      <c r="BC52" s="198">
        <f t="shared" si="1"/>
        <v>9.403362771255122E-34</v>
      </c>
      <c r="BD52" s="148">
        <f t="shared" si="2"/>
        <v>0.44490311588653347</v>
      </c>
      <c r="BE52" s="148">
        <f t="shared" si="3"/>
        <v>0.94597659380867416</v>
      </c>
      <c r="BF52" s="148">
        <f t="shared" si="11"/>
        <v>1.3908797096952077</v>
      </c>
      <c r="BG52" s="147">
        <f t="shared" si="4"/>
        <v>3477.1992742380189</v>
      </c>
      <c r="BH52" s="147">
        <f t="shared" si="5"/>
        <v>222.45155794326675</v>
      </c>
      <c r="BI52" s="147">
        <f t="shared" si="6"/>
        <v>472.98829690433706</v>
      </c>
      <c r="BK52" s="139">
        <f t="shared" si="15"/>
        <v>2369.9085309622333</v>
      </c>
      <c r="BL52" s="235">
        <f t="shared" si="16"/>
        <v>1905.3752771272443</v>
      </c>
      <c r="BM52" s="233">
        <v>423.93008324334278</v>
      </c>
      <c r="BN52" s="139">
        <v>6514.8333333333348</v>
      </c>
      <c r="BO52" s="139">
        <v>294.06902916495972</v>
      </c>
      <c r="BP52" s="139">
        <v>3851</v>
      </c>
      <c r="BQ52" s="139">
        <v>336.3212378980889</v>
      </c>
      <c r="BR52" s="139">
        <v>3140.7999999999997</v>
      </c>
      <c r="BS52" s="139">
        <v>1315.5881806558418</v>
      </c>
      <c r="BT52" s="139">
        <v>5547.11943793911</v>
      </c>
      <c r="BU52" s="142">
        <v>41487</v>
      </c>
      <c r="BW52" s="147">
        <f ca="1">(AT52+BK52)*BH52/(BH52+BI52)*2.71828^(-0.69315/半Cs134*(NOW()-R52)/365.25)+(AT52+BK52)*BI52/(BH52+BI52)*2.71828^(-0.69315/半Cs137*(NOW()-R52)/365.25)</f>
        <v>1976.3539901491931</v>
      </c>
      <c r="BX52" s="147">
        <f ca="1">(AT52)*BH52/(BH52+BI52)*2.71828^(-0.69315/半Cs134*(NOW()-R52)/365.25)+(AT52)*BI52/(BH52+BI52)*2.71828^(-0.69315/半Cs137*(NOW()-R52)/365.25)</f>
        <v>493.80881308191925</v>
      </c>
    </row>
    <row r="53" spans="1:76" ht="9.9499999999999993" customHeight="1" thickBot="1" x14ac:dyDescent="0.2">
      <c r="A53" s="9"/>
      <c r="B53" s="9" t="s">
        <v>519</v>
      </c>
      <c r="E53" s="59"/>
      <c r="F53" s="9"/>
      <c r="N53" s="9" t="s">
        <v>580</v>
      </c>
      <c r="R53" s="191">
        <v>41532</v>
      </c>
      <c r="S53" s="65"/>
      <c r="T53" s="56"/>
      <c r="U53" s="56"/>
      <c r="V53" s="222">
        <f t="shared" si="7"/>
        <v>500</v>
      </c>
      <c r="W53" s="56"/>
      <c r="X53" s="56"/>
      <c r="Y53" s="348">
        <f t="shared" si="8"/>
        <v>217</v>
      </c>
      <c r="Z53" s="217">
        <v>41543</v>
      </c>
      <c r="AA53" s="56">
        <v>150</v>
      </c>
      <c r="AB53" s="56">
        <v>350</v>
      </c>
      <c r="AC53" s="62">
        <v>500</v>
      </c>
      <c r="AD53" s="56">
        <v>67</v>
      </c>
      <c r="AE53" s="56">
        <v>150</v>
      </c>
      <c r="AF53" s="62">
        <v>217</v>
      </c>
      <c r="AG53" s="353">
        <f t="shared" si="9"/>
        <v>2.3041474654377878</v>
      </c>
      <c r="AH53" s="217">
        <v>41527</v>
      </c>
      <c r="AI53" s="56">
        <v>240</v>
      </c>
      <c r="AJ53" s="56">
        <v>520</v>
      </c>
      <c r="AK53" s="62">
        <v>760</v>
      </c>
      <c r="AL53" s="56">
        <v>75</v>
      </c>
      <c r="AM53" s="56">
        <v>160</v>
      </c>
      <c r="AN53" s="62">
        <v>235</v>
      </c>
      <c r="AO53" s="353">
        <f t="shared" si="17"/>
        <v>3.2340425531914891</v>
      </c>
      <c r="AP53" s="344">
        <f>44496*0.091</f>
        <v>4049.136</v>
      </c>
      <c r="AQ53" s="161">
        <f t="shared" si="18"/>
        <v>579.02644799999996</v>
      </c>
      <c r="AR53" s="161">
        <f t="shared" si="12"/>
        <v>340.39806825023993</v>
      </c>
      <c r="AS53" s="161">
        <f t="shared" si="13"/>
        <v>129.17153612563197</v>
      </c>
      <c r="AT53" s="211">
        <f t="shared" si="10"/>
        <v>469.5696043758719</v>
      </c>
      <c r="AU53" s="217">
        <v>41537</v>
      </c>
      <c r="AV53" s="56">
        <v>160</v>
      </c>
      <c r="AW53" s="56">
        <v>370</v>
      </c>
      <c r="AX53" s="349">
        <v>530</v>
      </c>
      <c r="AY53" s="217">
        <v>41536</v>
      </c>
      <c r="AZ53" s="56">
        <v>5.3</v>
      </c>
      <c r="BA53" s="56">
        <v>14</v>
      </c>
      <c r="BB53" s="225">
        <v>19.3</v>
      </c>
      <c r="BC53" s="198">
        <f t="shared" si="1"/>
        <v>2.4946410850378472E-35</v>
      </c>
      <c r="BD53" s="148">
        <f t="shared" si="2"/>
        <v>0.42803385093386326</v>
      </c>
      <c r="BE53" s="148">
        <f t="shared" si="3"/>
        <v>0.94347246012803454</v>
      </c>
      <c r="BF53" s="148">
        <f t="shared" si="11"/>
        <v>1.3715063110618977</v>
      </c>
      <c r="BG53" s="147">
        <f t="shared" si="4"/>
        <v>3428.7657776547449</v>
      </c>
      <c r="BH53" s="147">
        <f t="shared" si="5"/>
        <v>214.01692546693164</v>
      </c>
      <c r="BI53" s="147">
        <f t="shared" si="6"/>
        <v>471.73623006401726</v>
      </c>
      <c r="BK53" s="139">
        <f t="shared" si="15"/>
        <v>2148.0443814059886</v>
      </c>
      <c r="BL53" s="235">
        <f t="shared" si="16"/>
        <v>1905.3752771272443</v>
      </c>
      <c r="BM53" s="233">
        <v>426.78438251811951</v>
      </c>
      <c r="BN53" s="139">
        <v>6514.8333333333348</v>
      </c>
      <c r="BO53" s="139">
        <v>320.94780887008051</v>
      </c>
      <c r="BP53" s="139">
        <v>3851</v>
      </c>
      <c r="BQ53" s="139">
        <v>247.62745466222691</v>
      </c>
      <c r="BR53" s="139">
        <v>3140.7999999999997</v>
      </c>
      <c r="BS53" s="139">
        <v>1152.6847353555618</v>
      </c>
      <c r="BT53" s="139">
        <v>5547.11943793911</v>
      </c>
      <c r="BU53" s="142">
        <v>41518</v>
      </c>
      <c r="BW53" s="147">
        <f ca="1">(AT53+BK53)*BH53/(BH53+BI53)*2.71828^(-0.69315/半Cs134*(NOW()-R53)/365.25)+(AT53+BK53)*BI53/(BH53+BI53)*2.71828^(-0.69315/半Cs137*(NOW()-R53)/365.25)</f>
        <v>1658.5361126185664</v>
      </c>
      <c r="BX53" s="147">
        <f ca="1">(AT53)*BH53/(BH53+BI53)*2.71828^(-0.69315/半Cs134*(NOW()-R53)/365.25)+(AT53)*BI53/(BH53+BI53)*2.71828^(-0.69315/半Cs137*(NOW()-R53)/365.25)</f>
        <v>297.52215203448941</v>
      </c>
    </row>
    <row r="54" spans="1:76" ht="9.9499999999999993" customHeight="1" thickTop="1" x14ac:dyDescent="0.15">
      <c r="A54" s="9"/>
      <c r="B54" s="9"/>
      <c r="C54" s="403" t="s">
        <v>441</v>
      </c>
      <c r="D54" s="404"/>
      <c r="E54" s="404"/>
      <c r="F54" s="404"/>
      <c r="G54" s="404"/>
      <c r="H54" s="404"/>
      <c r="I54" s="404"/>
      <c r="K54" s="405">
        <f ca="1">SUM(BW33:BW119)/1000</f>
        <v>56.889357269335243</v>
      </c>
      <c r="L54" s="406"/>
      <c r="M54" s="237"/>
      <c r="N54" s="405">
        <f ca="1">SUM(BX33:BX119)/1000</f>
        <v>19.416868730974581</v>
      </c>
      <c r="O54" s="406"/>
      <c r="R54" s="191">
        <v>41562</v>
      </c>
      <c r="S54" s="65"/>
      <c r="T54" s="56"/>
      <c r="U54" s="56"/>
      <c r="V54" s="222">
        <f t="shared" si="7"/>
        <v>670</v>
      </c>
      <c r="W54" s="56"/>
      <c r="X54" s="56"/>
      <c r="Y54" s="348">
        <f t="shared" si="8"/>
        <v>275</v>
      </c>
      <c r="Z54" s="217">
        <v>41549</v>
      </c>
      <c r="AA54" s="56">
        <v>210</v>
      </c>
      <c r="AB54" s="56">
        <v>460</v>
      </c>
      <c r="AC54" s="62">
        <v>670</v>
      </c>
      <c r="AD54" s="56">
        <v>85</v>
      </c>
      <c r="AE54" s="56">
        <v>190</v>
      </c>
      <c r="AF54" s="62">
        <v>275</v>
      </c>
      <c r="AG54" s="353">
        <f t="shared" si="9"/>
        <v>2.4363636363636365</v>
      </c>
      <c r="AH54" s="217">
        <v>41576</v>
      </c>
      <c r="AI54" s="56">
        <v>170</v>
      </c>
      <c r="AJ54" s="56">
        <v>410</v>
      </c>
      <c r="AK54" s="62">
        <v>580</v>
      </c>
      <c r="AL54" s="56">
        <v>37</v>
      </c>
      <c r="AM54" s="56">
        <v>89</v>
      </c>
      <c r="AN54" s="62">
        <v>126</v>
      </c>
      <c r="AO54" s="353">
        <f t="shared" si="17"/>
        <v>4.6031746031746028</v>
      </c>
      <c r="AP54" s="344">
        <f>44496*0.094</f>
        <v>4182.6239999999998</v>
      </c>
      <c r="AQ54" s="161">
        <f t="shared" si="18"/>
        <v>598.11523199999988</v>
      </c>
      <c r="AR54" s="161">
        <f t="shared" si="12"/>
        <v>382.54254008255992</v>
      </c>
      <c r="AS54" s="161">
        <f t="shared" si="13"/>
        <v>134.35940948601598</v>
      </c>
      <c r="AT54" s="211">
        <f t="shared" si="10"/>
        <v>516.9019495685759</v>
      </c>
      <c r="AU54" s="217">
        <v>41558</v>
      </c>
      <c r="AV54" s="56">
        <v>190</v>
      </c>
      <c r="AW54" s="56">
        <v>410</v>
      </c>
      <c r="AX54" s="349">
        <v>600</v>
      </c>
      <c r="AY54" s="217">
        <v>41571</v>
      </c>
      <c r="AZ54" s="56">
        <v>4</v>
      </c>
      <c r="BA54" s="56">
        <v>9.1999999999999993</v>
      </c>
      <c r="BB54" s="225">
        <v>13.2</v>
      </c>
      <c r="BC54" s="198">
        <f t="shared" si="1"/>
        <v>1.2118405212488203E-36</v>
      </c>
      <c r="BD54" s="148">
        <f t="shared" si="2"/>
        <v>0.41446577500222781</v>
      </c>
      <c r="BE54" s="148">
        <f t="shared" si="3"/>
        <v>0.9413907464694018</v>
      </c>
      <c r="BF54" s="148">
        <f t="shared" si="11"/>
        <v>1.3558565214716296</v>
      </c>
      <c r="BG54" s="147">
        <f t="shared" si="4"/>
        <v>3389.6413036790736</v>
      </c>
      <c r="BH54" s="147">
        <f t="shared" si="5"/>
        <v>207.23288750111391</v>
      </c>
      <c r="BI54" s="147">
        <f t="shared" si="6"/>
        <v>470.69537323470092</v>
      </c>
      <c r="BK54" s="139">
        <f t="shared" si="15"/>
        <v>1518.6652618459859</v>
      </c>
      <c r="BL54" s="235">
        <f t="shared" si="16"/>
        <v>1520.2752771272444</v>
      </c>
      <c r="BM54" s="233">
        <v>271.37438249328295</v>
      </c>
      <c r="BN54" s="139">
        <v>6514.8333333333348</v>
      </c>
      <c r="BO54" s="139"/>
      <c r="BP54" s="139"/>
      <c r="BQ54" s="139">
        <v>184.34614254368066</v>
      </c>
      <c r="BR54" s="139">
        <v>3140.7999999999997</v>
      </c>
      <c r="BS54" s="139">
        <v>1062.9447368090223</v>
      </c>
      <c r="BT54" s="139">
        <v>5547.11943793911</v>
      </c>
      <c r="BU54" s="142">
        <v>41548</v>
      </c>
      <c r="BW54" s="147">
        <f ca="1">(AT54+BK54)*BH54/(BH54+BI54)*2.71828^(-0.69315/半Cs134*(NOW()-R54)/365.25)+(AT54+BK54)*BI54/(BH54+BI54)*2.71828^(-0.69315/半Cs137*(NOW()-R54)/365.25)</f>
        <v>1303.887517931737</v>
      </c>
      <c r="BX54" s="147">
        <f ca="1">(AT54)*BH54/(BH54+BI54)*2.71828^(-0.69315/半Cs134*(NOW()-R54)/365.25)+(AT54)*BI54/(BH54+BI54)*2.71828^(-0.69315/半Cs137*(NOW()-R54)/365.25)</f>
        <v>331.10279840314433</v>
      </c>
    </row>
    <row r="55" spans="1:76" ht="9.9499999999999993" customHeight="1" thickBot="1" x14ac:dyDescent="0.2">
      <c r="A55" s="9"/>
      <c r="B55" s="9"/>
      <c r="C55" s="404"/>
      <c r="D55" s="404"/>
      <c r="E55" s="404"/>
      <c r="F55" s="404"/>
      <c r="G55" s="404"/>
      <c r="H55" s="404"/>
      <c r="I55" s="404"/>
      <c r="K55" s="407"/>
      <c r="L55" s="408"/>
      <c r="N55" s="407"/>
      <c r="O55" s="408"/>
      <c r="P55" s="237" t="s">
        <v>582</v>
      </c>
      <c r="R55" s="191">
        <v>41593</v>
      </c>
      <c r="S55" s="65"/>
      <c r="T55" s="56"/>
      <c r="U55" s="56"/>
      <c r="V55" s="222">
        <f t="shared" si="7"/>
        <v>380</v>
      </c>
      <c r="W55" s="56"/>
      <c r="X55" s="56"/>
      <c r="Y55" s="348">
        <f t="shared" si="8"/>
        <v>123</v>
      </c>
      <c r="Z55" s="217">
        <v>41590</v>
      </c>
      <c r="AA55" s="56">
        <v>120</v>
      </c>
      <c r="AB55" s="56">
        <v>260</v>
      </c>
      <c r="AC55" s="62">
        <v>380</v>
      </c>
      <c r="AD55" s="56">
        <v>35</v>
      </c>
      <c r="AE55" s="56">
        <v>88</v>
      </c>
      <c r="AF55" s="62">
        <v>123</v>
      </c>
      <c r="AG55" s="353">
        <f t="shared" si="9"/>
        <v>3.089430894308943</v>
      </c>
      <c r="AH55" s="217">
        <v>41600</v>
      </c>
      <c r="AI55" s="56">
        <v>330</v>
      </c>
      <c r="AJ55" s="56">
        <v>790</v>
      </c>
      <c r="AK55" s="62">
        <v>1120</v>
      </c>
      <c r="AL55" s="56">
        <v>190</v>
      </c>
      <c r="AM55" s="56">
        <v>440</v>
      </c>
      <c r="AN55" s="62">
        <v>630</v>
      </c>
      <c r="AO55" s="353">
        <f t="shared" si="17"/>
        <v>1.7777777777777777</v>
      </c>
      <c r="AP55" s="344">
        <f>44496*0.083</f>
        <v>3693.1680000000001</v>
      </c>
      <c r="AQ55" s="161">
        <f t="shared" si="18"/>
        <v>528.12302399999999</v>
      </c>
      <c r="AR55" s="161">
        <f t="shared" si="12"/>
        <v>332.78087988288001</v>
      </c>
      <c r="AS55" s="161">
        <f t="shared" si="13"/>
        <v>155.46146208278401</v>
      </c>
      <c r="AT55" s="211">
        <f t="shared" si="10"/>
        <v>488.24234196566402</v>
      </c>
      <c r="AU55" s="217">
        <v>41592</v>
      </c>
      <c r="AV55" s="56">
        <v>150</v>
      </c>
      <c r="AW55" s="56">
        <v>360</v>
      </c>
      <c r="AX55" s="349">
        <v>510</v>
      </c>
      <c r="AY55" s="217">
        <v>41591</v>
      </c>
      <c r="AZ55" s="56">
        <v>2</v>
      </c>
      <c r="BA55" s="56">
        <v>6.7</v>
      </c>
      <c r="BB55" s="225">
        <v>8.6999999999999993</v>
      </c>
      <c r="BC55" s="198">
        <f t="shared" si="1"/>
        <v>2.1519801945299382E-37</v>
      </c>
      <c r="BD55" s="148">
        <f t="shared" si="2"/>
        <v>0.40690657446328737</v>
      </c>
      <c r="BE55" s="148">
        <f t="shared" si="3"/>
        <v>0.94020325869858146</v>
      </c>
      <c r="BF55" s="148">
        <f t="shared" si="11"/>
        <v>1.3471098331618689</v>
      </c>
      <c r="BG55" s="147">
        <f t="shared" si="4"/>
        <v>3367.7745829046721</v>
      </c>
      <c r="BH55" s="147">
        <f t="shared" si="5"/>
        <v>203.45328723164369</v>
      </c>
      <c r="BI55" s="147">
        <f t="shared" si="6"/>
        <v>470.1016293492907</v>
      </c>
      <c r="BK55" s="139">
        <f t="shared" si="15"/>
        <v>888.01865351989841</v>
      </c>
      <c r="BL55" s="235">
        <f t="shared" si="16"/>
        <v>554.71194379391102</v>
      </c>
      <c r="BM55" s="207"/>
      <c r="BN55" s="55"/>
      <c r="BO55" s="55"/>
      <c r="BP55" s="55"/>
      <c r="BQ55" s="55"/>
      <c r="BR55" s="55"/>
      <c r="BS55" s="139">
        <v>888.01865351989841</v>
      </c>
      <c r="BT55" s="139">
        <v>5547.11943793911</v>
      </c>
      <c r="BU55" s="142"/>
      <c r="BW55" s="147">
        <f ca="1">(AT55+BK55)*BH55/(BH55+BI55)*2.71828^(-0.69315/半Cs134*(NOW()-R55)/365.25)+(AT55+BK55)*BI55/(BH55+BI55)*2.71828^(-0.69315/半Cs137*(NOW()-R55)/365.25)</f>
        <v>888.41114987705851</v>
      </c>
      <c r="BX55" s="147">
        <f ca="1">(AT55)*BH55/(BH55+BI55)*2.71828^(-0.69315/半Cs134*(NOW()-R55)/365.25)+(AT55)*BI55/(BH55+BI55)*2.71828^(-0.69315/半Cs137*(NOW()-R55)/365.25)</f>
        <v>315.17273385441518</v>
      </c>
    </row>
    <row r="56" spans="1:76" ht="9.9499999999999993" customHeight="1" thickTop="1" x14ac:dyDescent="0.15">
      <c r="A56" s="9"/>
      <c r="C56" s="404"/>
      <c r="D56" s="404"/>
      <c r="E56" s="404"/>
      <c r="F56" s="404"/>
      <c r="G56" s="404"/>
      <c r="H56" s="404"/>
      <c r="I56" s="404"/>
      <c r="R56" s="191">
        <v>41623</v>
      </c>
      <c r="S56" s="65"/>
      <c r="T56" s="56"/>
      <c r="U56" s="56"/>
      <c r="V56" s="222">
        <f t="shared" si="7"/>
        <v>326</v>
      </c>
      <c r="W56" s="56"/>
      <c r="X56" s="56"/>
      <c r="Y56" s="348">
        <f t="shared" si="8"/>
        <v>106</v>
      </c>
      <c r="Z56" s="217">
        <v>41633</v>
      </c>
      <c r="AA56" s="56">
        <v>96</v>
      </c>
      <c r="AB56" s="56">
        <v>230</v>
      </c>
      <c r="AC56" s="62">
        <v>326</v>
      </c>
      <c r="AD56" s="56">
        <v>29</v>
      </c>
      <c r="AE56" s="56">
        <v>77</v>
      </c>
      <c r="AF56" s="62">
        <v>106</v>
      </c>
      <c r="AG56" s="353">
        <f t="shared" si="9"/>
        <v>3.0754716981132075</v>
      </c>
      <c r="AH56" s="217">
        <v>41627</v>
      </c>
      <c r="AI56" s="56">
        <v>190</v>
      </c>
      <c r="AJ56" s="56">
        <v>460</v>
      </c>
      <c r="AK56" s="62">
        <v>650</v>
      </c>
      <c r="AL56" s="56">
        <v>46</v>
      </c>
      <c r="AM56" s="56">
        <v>120</v>
      </c>
      <c r="AN56" s="62">
        <v>166</v>
      </c>
      <c r="AO56" s="353">
        <f t="shared" si="17"/>
        <v>3.9156626506024095</v>
      </c>
      <c r="AP56" s="344">
        <f>44496*0.08</f>
        <v>3559.6800000000003</v>
      </c>
      <c r="AQ56" s="161">
        <f t="shared" si="18"/>
        <v>509.03424000000001</v>
      </c>
      <c r="AR56" s="161">
        <f t="shared" si="12"/>
        <v>221.69051993087999</v>
      </c>
      <c r="AS56" s="161">
        <f t="shared" si="13"/>
        <v>64.280843827199988</v>
      </c>
      <c r="AT56" s="211">
        <f t="shared" si="10"/>
        <v>285.97136375807997</v>
      </c>
      <c r="AU56" s="217">
        <v>41634</v>
      </c>
      <c r="AV56" s="56">
        <v>270</v>
      </c>
      <c r="AW56" s="56">
        <v>630</v>
      </c>
      <c r="AX56" s="349">
        <v>900</v>
      </c>
      <c r="AY56" s="217">
        <v>41627</v>
      </c>
      <c r="AZ56" s="56">
        <v>2.1</v>
      </c>
      <c r="BA56" s="56">
        <v>4.9000000000000004</v>
      </c>
      <c r="BB56" s="225">
        <v>7</v>
      </c>
      <c r="BC56" s="198">
        <f t="shared" si="1"/>
        <v>9.5883815965465173E-39</v>
      </c>
      <c r="BD56" s="148">
        <f t="shared" si="2"/>
        <v>0.39364574923443191</v>
      </c>
      <c r="BE56" s="148">
        <f t="shared" si="3"/>
        <v>0.93806955419748117</v>
      </c>
      <c r="BF56" s="148">
        <f t="shared" si="11"/>
        <v>1.3317153034319131</v>
      </c>
      <c r="BG56" s="147">
        <f t="shared" si="4"/>
        <v>3329.2882585797829</v>
      </c>
      <c r="BH56" s="147">
        <f t="shared" si="5"/>
        <v>196.82287461721594</v>
      </c>
      <c r="BI56" s="147">
        <f t="shared" si="6"/>
        <v>469.03477709874056</v>
      </c>
      <c r="BK56" s="139">
        <f t="shared" si="15"/>
        <v>367.54813467177286</v>
      </c>
      <c r="BL56" s="235">
        <f t="shared" si="16"/>
        <v>554.71194379391102</v>
      </c>
      <c r="BM56" s="207"/>
      <c r="BN56" s="55"/>
      <c r="BO56" s="55"/>
      <c r="BP56" s="55"/>
      <c r="BQ56" s="55"/>
      <c r="BR56" s="55"/>
      <c r="BS56" s="139">
        <v>367.54813467177286</v>
      </c>
      <c r="BT56" s="139">
        <v>5547.11943793911</v>
      </c>
      <c r="BU56" s="142"/>
      <c r="BW56" s="147">
        <f ca="1">(AT56+BK56)*BH56/(BH56+BI56)*2.71828^(-0.69315/半Cs134*(NOW()-R56)/365.25)+(AT56+BK56)*BI56/(BH56+BI56)*2.71828^(-0.69315/半Cs137*(NOW()-R56)/365.25)</f>
        <v>426.44624967450181</v>
      </c>
      <c r="BX56" s="147">
        <f ca="1">(AT56)*BH56/(BH56+BI56)*2.71828^(-0.69315/半Cs134*(NOW()-R56)/365.25)+(AT56)*BI56/(BH56+BI56)*2.71828^(-0.69315/半Cs137*(NOW()-R56)/365.25)</f>
        <v>186.60715691258889</v>
      </c>
    </row>
    <row r="57" spans="1:76" ht="9.9499999999999993" customHeight="1" x14ac:dyDescent="0.15">
      <c r="A57" s="9"/>
      <c r="R57" s="191">
        <v>41654</v>
      </c>
      <c r="S57" s="65"/>
      <c r="T57" s="56"/>
      <c r="U57" s="56"/>
      <c r="V57" s="222">
        <f t="shared" si="7"/>
        <v>264</v>
      </c>
      <c r="W57" s="56"/>
      <c r="X57" s="56"/>
      <c r="Y57" s="348">
        <f t="shared" si="8"/>
        <v>85</v>
      </c>
      <c r="Z57" s="217">
        <v>41647</v>
      </c>
      <c r="AA57" s="56">
        <v>74</v>
      </c>
      <c r="AB57" s="56">
        <v>190</v>
      </c>
      <c r="AC57" s="62">
        <v>264</v>
      </c>
      <c r="AD57" s="56">
        <v>23</v>
      </c>
      <c r="AE57" s="56">
        <v>62</v>
      </c>
      <c r="AF57" s="62">
        <v>85</v>
      </c>
      <c r="AG57" s="353">
        <f t="shared" si="9"/>
        <v>3.1058823529411765</v>
      </c>
      <c r="AH57" s="217">
        <v>41648</v>
      </c>
      <c r="AI57" s="56">
        <v>110</v>
      </c>
      <c r="AJ57" s="56">
        <v>260</v>
      </c>
      <c r="AK57" s="62">
        <v>370</v>
      </c>
      <c r="AL57" s="56">
        <v>19</v>
      </c>
      <c r="AM57" s="56">
        <v>54</v>
      </c>
      <c r="AN57" s="62">
        <v>73</v>
      </c>
      <c r="AO57" s="353">
        <f t="shared" si="17"/>
        <v>5.0684931506849313</v>
      </c>
      <c r="AP57" s="344">
        <f>44496*0.072</f>
        <v>3203.7119999999995</v>
      </c>
      <c r="AQ57" s="161">
        <f t="shared" si="18"/>
        <v>458.13081599999987</v>
      </c>
      <c r="AR57" s="161">
        <f t="shared" si="12"/>
        <v>137.36044629964798</v>
      </c>
      <c r="AS57" s="161">
        <f t="shared" si="13"/>
        <v>37.082940770303992</v>
      </c>
      <c r="AT57" s="211">
        <f t="shared" si="10"/>
        <v>174.44338706995197</v>
      </c>
      <c r="AU57" s="217">
        <v>41663</v>
      </c>
      <c r="AV57" s="56">
        <v>220</v>
      </c>
      <c r="AW57" s="56">
        <v>540</v>
      </c>
      <c r="AX57" s="349">
        <v>760</v>
      </c>
      <c r="AY57" s="217">
        <v>41662</v>
      </c>
      <c r="AZ57" s="56">
        <v>2.6</v>
      </c>
      <c r="BA57" s="56">
        <v>7.8</v>
      </c>
      <c r="BB57" s="225">
        <v>10.4</v>
      </c>
      <c r="BC57" s="198">
        <f t="shared" si="1"/>
        <v>4.6578200854553958E-40</v>
      </c>
      <c r="BD57" s="148">
        <f t="shared" si="2"/>
        <v>0.3811677281523948</v>
      </c>
      <c r="BE57" s="148">
        <f t="shared" si="3"/>
        <v>0.93599976171678134</v>
      </c>
      <c r="BF57" s="148">
        <f t="shared" si="11"/>
        <v>1.3171674898691761</v>
      </c>
      <c r="BG57" s="147">
        <f t="shared" si="4"/>
        <v>3292.9187246729402</v>
      </c>
      <c r="BH57" s="147">
        <f t="shared" si="5"/>
        <v>190.58386407619741</v>
      </c>
      <c r="BI57" s="147">
        <f t="shared" si="6"/>
        <v>467.99988085839067</v>
      </c>
      <c r="BK57" s="139"/>
      <c r="BL57" s="235"/>
      <c r="BM57" s="207"/>
      <c r="BN57" s="55"/>
      <c r="BO57" s="55"/>
      <c r="BP57" s="55"/>
      <c r="BQ57" s="55"/>
      <c r="BR57" s="55"/>
      <c r="BS57" s="55"/>
      <c r="BT57" s="55"/>
      <c r="BU57" s="142"/>
      <c r="BW57" s="147">
        <f ca="1">(AT57+BK57)*BH57/(BH57+BI57)*2.71828^(-0.69315/半Cs134*(NOW()-R57)/365.25)+(AT57+BK57)*BI57/(BH57+BI57)*2.71828^(-0.69315/半Cs137*(NOW()-R57)/365.25)</f>
        <v>115.03543312272892</v>
      </c>
      <c r="BX57" s="147">
        <f ca="1">(AT57)*BH57/(BH57+BI57)*2.71828^(-0.69315/半Cs134*(NOW()-R57)/365.25)+(AT57)*BI57/(BH57+BI57)*2.71828^(-0.69315/半Cs137*(NOW()-R57)/365.25)</f>
        <v>115.03543312272892</v>
      </c>
    </row>
    <row r="58" spans="1:76" ht="9.9499999999999993" customHeight="1" x14ac:dyDescent="0.15">
      <c r="A58" s="9"/>
      <c r="R58" s="191">
        <v>41685</v>
      </c>
      <c r="S58" s="65"/>
      <c r="T58" s="56"/>
      <c r="U58" s="56"/>
      <c r="V58" s="222">
        <f t="shared" si="7"/>
        <v>203</v>
      </c>
      <c r="W58" s="56"/>
      <c r="X58" s="56"/>
      <c r="Y58" s="348">
        <f t="shared" si="8"/>
        <v>41</v>
      </c>
      <c r="Z58" s="217">
        <v>41675</v>
      </c>
      <c r="AA58" s="56">
        <v>63</v>
      </c>
      <c r="AB58" s="56">
        <v>140</v>
      </c>
      <c r="AC58" s="62">
        <v>203</v>
      </c>
      <c r="AD58" s="56">
        <v>11</v>
      </c>
      <c r="AE58" s="56">
        <v>30</v>
      </c>
      <c r="AF58" s="62">
        <v>41</v>
      </c>
      <c r="AG58" s="353">
        <f t="shared" si="9"/>
        <v>4.9512195121951219</v>
      </c>
      <c r="AH58" s="217">
        <v>41684</v>
      </c>
      <c r="AI58" s="56">
        <v>82</v>
      </c>
      <c r="AJ58" s="56">
        <v>230</v>
      </c>
      <c r="AK58" s="62">
        <v>312</v>
      </c>
      <c r="AL58" s="56">
        <v>13</v>
      </c>
      <c r="AM58" s="56">
        <v>36</v>
      </c>
      <c r="AN58" s="62">
        <v>49</v>
      </c>
      <c r="AO58" s="353">
        <f t="shared" si="17"/>
        <v>6.3673469387755102</v>
      </c>
      <c r="AP58" s="344">
        <f>44496*0.061</f>
        <v>2714.2559999999999</v>
      </c>
      <c r="AQ58" s="161">
        <f t="shared" si="18"/>
        <v>388.13860799999992</v>
      </c>
      <c r="AR58" s="161">
        <f t="shared" si="12"/>
        <v>93.091940019935976</v>
      </c>
      <c r="AS58" s="161">
        <f t="shared" si="13"/>
        <v>16.963209724031994</v>
      </c>
      <c r="AT58" s="211">
        <f t="shared" si="10"/>
        <v>110.05514974396797</v>
      </c>
      <c r="AU58" s="217">
        <v>41684</v>
      </c>
      <c r="AV58" s="56">
        <v>200</v>
      </c>
      <c r="AW58" s="56">
        <v>490</v>
      </c>
      <c r="AX58" s="349">
        <v>690</v>
      </c>
      <c r="AY58" s="217">
        <v>41690</v>
      </c>
      <c r="AZ58" s="56">
        <v>2.2999999999999998</v>
      </c>
      <c r="BA58" s="61">
        <v>5.3</v>
      </c>
      <c r="BB58" s="225">
        <v>7.6</v>
      </c>
      <c r="BC58" s="198">
        <f t="shared" si="1"/>
        <v>4.1431688138253196E-41</v>
      </c>
      <c r="BD58" s="148">
        <f t="shared" si="2"/>
        <v>0.37147070473140764</v>
      </c>
      <c r="BE58" s="148">
        <f t="shared" si="3"/>
        <v>0.93434721636200668</v>
      </c>
      <c r="BF58" s="148">
        <f t="shared" si="11"/>
        <v>1.3058179210934142</v>
      </c>
      <c r="BG58" s="147">
        <f t="shared" si="4"/>
        <v>3264.544802733536</v>
      </c>
      <c r="BH58" s="147">
        <f t="shared" si="5"/>
        <v>185.73535236570382</v>
      </c>
      <c r="BI58" s="147">
        <f t="shared" si="6"/>
        <v>467.17360818100332</v>
      </c>
      <c r="BK58" s="139"/>
      <c r="BL58" s="235"/>
      <c r="BM58" s="207"/>
      <c r="BN58" s="55"/>
      <c r="BO58" s="55"/>
      <c r="BP58" s="55"/>
      <c r="BQ58" s="55"/>
      <c r="BR58" s="55"/>
      <c r="BS58" s="55"/>
      <c r="BT58" s="55"/>
      <c r="BU58" s="142"/>
      <c r="BW58" s="147">
        <f ca="1">(AT58+BK58)*BH58/(BH58+BI58)*2.71828^(-0.69315/半Cs134*(NOW()-R58)/365.25)+(AT58+BK58)*BI58/(BH58+BI58)*2.71828^(-0.69315/半Cs137*(NOW()-R58)/365.25)</f>
        <v>73.231023442691068</v>
      </c>
      <c r="BX58" s="147">
        <f ca="1">(AT58)*BH58/(BH58+BI58)*2.71828^(-0.69315/半Cs134*(NOW()-R58)/365.25)+(AT58)*BI58/(BH58+BI58)*2.71828^(-0.69315/半Cs137*(NOW()-R58)/365.25)</f>
        <v>73.231023442691068</v>
      </c>
    </row>
    <row r="59" spans="1:76" ht="9.9499999999999993" customHeight="1" x14ac:dyDescent="0.15">
      <c r="A59" s="9"/>
      <c r="R59" s="191">
        <v>41713</v>
      </c>
      <c r="S59" s="65"/>
      <c r="T59" s="56"/>
      <c r="U59" s="56"/>
      <c r="V59" s="222">
        <f t="shared" si="7"/>
        <v>290</v>
      </c>
      <c r="W59" s="56"/>
      <c r="X59" s="56"/>
      <c r="Y59" s="348">
        <f t="shared" si="8"/>
        <v>57</v>
      </c>
      <c r="Z59" s="217">
        <v>41717</v>
      </c>
      <c r="AA59" s="56">
        <v>80</v>
      </c>
      <c r="AB59" s="56">
        <v>210</v>
      </c>
      <c r="AC59" s="62">
        <v>290</v>
      </c>
      <c r="AD59" s="56">
        <v>16</v>
      </c>
      <c r="AE59" s="56">
        <v>41</v>
      </c>
      <c r="AF59" s="62">
        <v>57</v>
      </c>
      <c r="AG59" s="353">
        <f t="shared" si="9"/>
        <v>5.0877192982456139</v>
      </c>
      <c r="AH59" s="217">
        <v>41710</v>
      </c>
      <c r="AI59" s="56">
        <v>100</v>
      </c>
      <c r="AJ59" s="56">
        <v>250</v>
      </c>
      <c r="AK59" s="62">
        <v>350</v>
      </c>
      <c r="AL59" s="56">
        <v>18</v>
      </c>
      <c r="AM59" s="56">
        <v>40</v>
      </c>
      <c r="AN59" s="62">
        <v>58</v>
      </c>
      <c r="AO59" s="353">
        <f t="shared" si="17"/>
        <v>6.0344827586206895</v>
      </c>
      <c r="AP59" s="344">
        <f>44496*0.074</f>
        <v>3292.7039999999997</v>
      </c>
      <c r="AQ59" s="161">
        <f t="shared" si="18"/>
        <v>470.85667199999995</v>
      </c>
      <c r="AR59" s="161">
        <f t="shared" si="12"/>
        <v>146.09740818815999</v>
      </c>
      <c r="AS59" s="161">
        <f t="shared" si="13"/>
        <v>26.997979859135995</v>
      </c>
      <c r="AT59" s="211">
        <f t="shared" si="10"/>
        <v>173.09538804729598</v>
      </c>
      <c r="AU59" s="217">
        <v>41712</v>
      </c>
      <c r="AV59" s="56">
        <v>160</v>
      </c>
      <c r="AW59" s="56">
        <v>430</v>
      </c>
      <c r="AX59" s="349">
        <v>590</v>
      </c>
      <c r="AY59" s="217">
        <v>41711</v>
      </c>
      <c r="AZ59" s="61">
        <v>3.5</v>
      </c>
      <c r="BA59" s="61">
        <v>8.6999999999999993</v>
      </c>
      <c r="BB59" s="225">
        <v>12.2</v>
      </c>
      <c r="BC59" s="198">
        <f t="shared" si="1"/>
        <v>6.7483106847849191E-42</v>
      </c>
      <c r="BD59" s="148">
        <f t="shared" si="2"/>
        <v>0.36436017689444949</v>
      </c>
      <c r="BE59" s="148">
        <f t="shared" si="3"/>
        <v>0.93310972232609657</v>
      </c>
      <c r="BF59" s="148">
        <f t="shared" si="11"/>
        <v>1.297469899220546</v>
      </c>
      <c r="BG59" s="147">
        <f t="shared" si="4"/>
        <v>3243.674748051365</v>
      </c>
      <c r="BH59" s="147">
        <f t="shared" si="5"/>
        <v>182.18008844722473</v>
      </c>
      <c r="BI59" s="147">
        <f t="shared" si="6"/>
        <v>466.55486116304826</v>
      </c>
      <c r="BK59" s="139"/>
      <c r="BL59" s="235"/>
      <c r="BM59" s="207"/>
      <c r="BN59" s="55"/>
      <c r="BO59" s="55"/>
      <c r="BP59" s="55"/>
      <c r="BQ59" s="55"/>
      <c r="BR59" s="55"/>
      <c r="BS59" s="55"/>
      <c r="BT59" s="55"/>
      <c r="BU59" s="142"/>
      <c r="BW59" s="147">
        <f ca="1">(AT59+BK59)*BH59/(BH59+BI59)*2.71828^(-0.69315/半Cs134*(NOW()-R59)/365.25)+(AT59+BK59)*BI59/(BH59+BI59)*2.71828^(-0.69315/半Cs137*(NOW()-R59)/365.25)</f>
        <v>116.01239977544773</v>
      </c>
      <c r="BX59" s="147">
        <f ca="1">(AT59)*BH59/(BH59+BI59)*2.71828^(-0.69315/半Cs134*(NOW()-R59)/365.25)+(AT59)*BI59/(BH59+BI59)*2.71828^(-0.69315/半Cs137*(NOW()-R59)/365.25)</f>
        <v>116.01239977544773</v>
      </c>
    </row>
    <row r="60" spans="1:76" ht="9.9499999999999993" customHeight="1" x14ac:dyDescent="0.15">
      <c r="A60" s="9"/>
      <c r="R60" s="191">
        <v>41744</v>
      </c>
      <c r="S60" s="65"/>
      <c r="T60" s="56"/>
      <c r="U60" s="56"/>
      <c r="V60" s="222">
        <f t="shared" si="7"/>
        <v>410</v>
      </c>
      <c r="W60" s="56"/>
      <c r="X60" s="56"/>
      <c r="Y60" s="348">
        <f t="shared" si="8"/>
        <v>155</v>
      </c>
      <c r="Z60" s="217">
        <v>41745</v>
      </c>
      <c r="AA60" s="56">
        <v>120</v>
      </c>
      <c r="AB60" s="56">
        <v>290</v>
      </c>
      <c r="AC60" s="62">
        <v>410</v>
      </c>
      <c r="AD60" s="56">
        <v>45</v>
      </c>
      <c r="AE60" s="56">
        <v>110</v>
      </c>
      <c r="AF60" s="62">
        <v>155</v>
      </c>
      <c r="AG60" s="353">
        <f t="shared" si="9"/>
        <v>2.6451612903225805</v>
      </c>
      <c r="AH60" s="217">
        <v>41744</v>
      </c>
      <c r="AI60" s="56">
        <v>190</v>
      </c>
      <c r="AJ60" s="56">
        <v>510</v>
      </c>
      <c r="AK60" s="62">
        <v>700</v>
      </c>
      <c r="AL60" s="56">
        <v>54</v>
      </c>
      <c r="AM60" s="56">
        <v>130</v>
      </c>
      <c r="AN60" s="62">
        <v>184</v>
      </c>
      <c r="AO60" s="353">
        <f t="shared" si="17"/>
        <v>3.8043478260869565</v>
      </c>
      <c r="AP60" s="344">
        <f>44275*0.077</f>
        <v>3409.1750000000002</v>
      </c>
      <c r="AQ60" s="161">
        <f>AP60*0.146</f>
        <v>497.73955000000001</v>
      </c>
      <c r="AR60" s="161">
        <f t="shared" ref="AR60:AR71" si="19">((AQ60*(1-0.344)*AC60)+(AQ60*0.344*AK60))/10^3</f>
        <v>253.72771300800002</v>
      </c>
      <c r="AS60" s="161">
        <f t="shared" ref="AS60:AS71" si="20">((AQ60*(1-0.344)*AF60)+(AQ60*0.344*AN60))/10^3</f>
        <v>82.115080000800006</v>
      </c>
      <c r="AT60" s="211">
        <f t="shared" si="10"/>
        <v>335.84279300880002</v>
      </c>
      <c r="AU60" s="217">
        <v>41746</v>
      </c>
      <c r="AV60" s="56">
        <v>150</v>
      </c>
      <c r="AW60" s="56">
        <v>410</v>
      </c>
      <c r="AX60" s="349">
        <v>560</v>
      </c>
      <c r="AY60" s="217">
        <v>41753</v>
      </c>
      <c r="AZ60" s="56">
        <v>1.9</v>
      </c>
      <c r="BA60" s="56">
        <v>4.4000000000000004</v>
      </c>
      <c r="BB60" s="225">
        <v>6.3</v>
      </c>
      <c r="BC60" s="198">
        <f t="shared" si="1"/>
        <v>1.7902758298686095E-43</v>
      </c>
      <c r="BD60" s="148">
        <f t="shared" si="2"/>
        <v>0.35054483566001804</v>
      </c>
      <c r="BE60" s="148">
        <f t="shared" si="3"/>
        <v>0.93063964907195673</v>
      </c>
      <c r="BF60" s="148">
        <f t="shared" si="11"/>
        <v>1.2811844847319747</v>
      </c>
      <c r="BG60" s="147">
        <f t="shared" si="4"/>
        <v>3202.9612118299369</v>
      </c>
      <c r="BH60" s="147">
        <f t="shared" si="5"/>
        <v>175.27241783000903</v>
      </c>
      <c r="BI60" s="147">
        <f t="shared" si="6"/>
        <v>465.31982453597834</v>
      </c>
      <c r="BK60" s="55"/>
      <c r="BL60" s="234"/>
      <c r="BM60" s="207"/>
      <c r="BN60" s="55"/>
      <c r="BO60" s="55"/>
      <c r="BP60" s="55"/>
      <c r="BQ60" s="55"/>
      <c r="BR60" s="55"/>
      <c r="BS60" s="55"/>
      <c r="BT60" s="55"/>
      <c r="BU60" s="55"/>
      <c r="BW60" s="147">
        <f ca="1">(AT60+BK60)*BH60/(BH60+BI60)*2.71828^(-0.69315/半Cs134*(NOW()-R60)/365.25)+(AT60+BK60)*BI60/(BH60+BI60)*2.71828^(-0.69315/半Cs137*(NOW()-R60)/365.25)</f>
        <v>227.66316954954772</v>
      </c>
      <c r="BX60" s="147">
        <f ca="1">(AT60)*BH60/(BH60+BI60)*2.71828^(-0.69315/半Cs134*(NOW()-R60)/365.25)+(AT60)*BI60/(BH60+BI60)*2.71828^(-0.69315/半Cs137*(NOW()-R60)/365.25)</f>
        <v>227.66316954954772</v>
      </c>
    </row>
    <row r="61" spans="1:76" ht="9.9499999999999993" customHeight="1" x14ac:dyDescent="0.15">
      <c r="A61" s="9"/>
      <c r="R61" s="191">
        <v>41774</v>
      </c>
      <c r="S61" s="65"/>
      <c r="T61" s="56"/>
      <c r="U61" s="56"/>
      <c r="V61" s="222">
        <f t="shared" si="7"/>
        <v>710</v>
      </c>
      <c r="W61" s="56"/>
      <c r="X61" s="56"/>
      <c r="Y61" s="348">
        <f t="shared" si="8"/>
        <v>175</v>
      </c>
      <c r="Z61" s="217">
        <v>41774</v>
      </c>
      <c r="AA61" s="56">
        <v>200</v>
      </c>
      <c r="AB61" s="56">
        <v>510</v>
      </c>
      <c r="AC61" s="62">
        <v>710</v>
      </c>
      <c r="AD61" s="56">
        <v>45</v>
      </c>
      <c r="AE61" s="56">
        <v>130</v>
      </c>
      <c r="AF61" s="62">
        <v>175</v>
      </c>
      <c r="AG61" s="353">
        <f t="shared" si="9"/>
        <v>4.0571428571428569</v>
      </c>
      <c r="AH61" s="217">
        <v>41773</v>
      </c>
      <c r="AI61" s="56">
        <v>260</v>
      </c>
      <c r="AJ61" s="56">
        <v>710</v>
      </c>
      <c r="AK61" s="62">
        <v>970</v>
      </c>
      <c r="AL61" s="56">
        <v>64</v>
      </c>
      <c r="AM61" s="56">
        <v>180</v>
      </c>
      <c r="AN61" s="62">
        <v>244</v>
      </c>
      <c r="AO61" s="353">
        <f t="shared" si="17"/>
        <v>3.9754098360655736</v>
      </c>
      <c r="AP61" s="344">
        <f>44275*0.086</f>
        <v>3807.6499999999996</v>
      </c>
      <c r="AQ61" s="161">
        <f t="shared" ref="AQ61:AQ71" si="21">AP61*0.146</f>
        <v>555.91689999999994</v>
      </c>
      <c r="AR61" s="161">
        <f t="shared" si="19"/>
        <v>444.42220653599998</v>
      </c>
      <c r="AS61" s="161">
        <f t="shared" si="20"/>
        <v>110.48070103839999</v>
      </c>
      <c r="AT61" s="211">
        <f t="shared" si="10"/>
        <v>554.90290757439993</v>
      </c>
      <c r="AU61" s="217">
        <v>41772</v>
      </c>
      <c r="AV61" s="56">
        <v>140</v>
      </c>
      <c r="AW61" s="56">
        <v>390</v>
      </c>
      <c r="AX61" s="349">
        <v>530</v>
      </c>
      <c r="AY61" s="217">
        <v>41772</v>
      </c>
      <c r="AZ61" s="56">
        <v>1.6</v>
      </c>
      <c r="BA61" s="56">
        <v>4.5999999999999996</v>
      </c>
      <c r="BB61" s="225">
        <v>6.2</v>
      </c>
      <c r="BC61" s="198">
        <f t="shared" si="1"/>
        <v>3.4661161205400698E-44</v>
      </c>
      <c r="BD61" s="148">
        <f t="shared" si="2"/>
        <v>0.34446833397061566</v>
      </c>
      <c r="BE61" s="148">
        <f t="shared" si="3"/>
        <v>0.92952438405707694</v>
      </c>
      <c r="BF61" s="148">
        <f t="shared" si="11"/>
        <v>1.2739927180276926</v>
      </c>
      <c r="BG61" s="147">
        <f t="shared" si="4"/>
        <v>3184.9817950692313</v>
      </c>
      <c r="BH61" s="147">
        <f t="shared" si="5"/>
        <v>172.23416698530784</v>
      </c>
      <c r="BI61" s="147">
        <f t="shared" si="6"/>
        <v>464.76219202853849</v>
      </c>
      <c r="BK61" s="55"/>
      <c r="BL61" s="234"/>
      <c r="BM61" s="207"/>
      <c r="BN61" s="55"/>
      <c r="BO61" s="55"/>
      <c r="BP61" s="55"/>
      <c r="BQ61" s="55"/>
      <c r="BR61" s="55"/>
      <c r="BS61" s="55"/>
      <c r="BT61" s="55"/>
      <c r="BU61" s="55"/>
      <c r="BW61" s="147">
        <f ca="1">(AT61+BK61)*BH61/(BH61+BI61)*2.71828^(-0.69315/半Cs134*(NOW()-R61)/365.25)+(AT61+BK61)*BI61/(BH61+BI61)*2.71828^(-0.69315/半Cs137*(NOW()-R61)/365.25)</f>
        <v>378.76187672904297</v>
      </c>
      <c r="BX61" s="147">
        <f ca="1">(AT61)*BH61/(BH61+BI61)*2.71828^(-0.69315/半Cs134*(NOW()-R61)/365.25)+(AT61)*BI61/(BH61+BI61)*2.71828^(-0.69315/半Cs137*(NOW()-R61)/365.25)</f>
        <v>378.76187672904297</v>
      </c>
    </row>
    <row r="62" spans="1:76" ht="9.9499999999999993" customHeight="1" x14ac:dyDescent="0.15">
      <c r="A62" s="9"/>
      <c r="R62" s="191">
        <v>41805</v>
      </c>
      <c r="S62" s="65"/>
      <c r="T62" s="56"/>
      <c r="U62" s="56"/>
      <c r="V62" s="222">
        <f t="shared" si="7"/>
        <v>540</v>
      </c>
      <c r="W62" s="56"/>
      <c r="X62" s="56"/>
      <c r="Y62" s="348">
        <f t="shared" si="8"/>
        <v>150</v>
      </c>
      <c r="Z62" s="217">
        <v>41795</v>
      </c>
      <c r="AA62" s="56">
        <v>140</v>
      </c>
      <c r="AB62" s="56">
        <v>400</v>
      </c>
      <c r="AC62" s="62">
        <v>540</v>
      </c>
      <c r="AD62" s="56">
        <v>40</v>
      </c>
      <c r="AE62" s="56">
        <v>110</v>
      </c>
      <c r="AF62" s="62">
        <v>150</v>
      </c>
      <c r="AG62" s="353">
        <f t="shared" si="9"/>
        <v>3.6</v>
      </c>
      <c r="AH62" s="217">
        <v>41801</v>
      </c>
      <c r="AI62" s="56">
        <v>220</v>
      </c>
      <c r="AJ62" s="56">
        <v>580</v>
      </c>
      <c r="AK62" s="62">
        <v>800</v>
      </c>
      <c r="AL62" s="56">
        <v>56</v>
      </c>
      <c r="AM62" s="56">
        <v>180</v>
      </c>
      <c r="AN62" s="62">
        <v>236</v>
      </c>
      <c r="AO62" s="353">
        <f t="shared" si="17"/>
        <v>3.3898305084745761</v>
      </c>
      <c r="AP62" s="344">
        <f>44275*0.089</f>
        <v>3940.4749999999999</v>
      </c>
      <c r="AQ62" s="161">
        <f t="shared" si="21"/>
        <v>575.30934999999999</v>
      </c>
      <c r="AR62" s="161">
        <f t="shared" si="19"/>
        <v>362.12271726399996</v>
      </c>
      <c r="AS62" s="161">
        <f t="shared" si="20"/>
        <v>103.3163543104</v>
      </c>
      <c r="AT62" s="211">
        <f t="shared" si="10"/>
        <v>465.43907157439997</v>
      </c>
      <c r="AU62" s="217">
        <v>41800</v>
      </c>
      <c r="AV62" s="56">
        <v>110</v>
      </c>
      <c r="AW62" s="56">
        <v>310</v>
      </c>
      <c r="AX62" s="349">
        <v>420</v>
      </c>
      <c r="AY62" s="217">
        <v>41800</v>
      </c>
      <c r="AZ62" s="56">
        <v>3.7</v>
      </c>
      <c r="BA62" s="56">
        <v>10</v>
      </c>
      <c r="BB62" s="225">
        <v>13.7</v>
      </c>
      <c r="BC62" s="198">
        <f t="shared" si="1"/>
        <v>3.0831384536646337E-45</v>
      </c>
      <c r="BD62" s="148">
        <f t="shared" si="2"/>
        <v>0.33570495434639402</v>
      </c>
      <c r="BE62" s="148">
        <f t="shared" si="3"/>
        <v>0.92788327124289671</v>
      </c>
      <c r="BF62" s="148">
        <f t="shared" si="11"/>
        <v>1.2635882255892907</v>
      </c>
      <c r="BG62" s="147">
        <f t="shared" si="4"/>
        <v>3158.9705639732265</v>
      </c>
      <c r="BH62" s="147">
        <f t="shared" si="5"/>
        <v>167.852477173197</v>
      </c>
      <c r="BI62" s="147">
        <f t="shared" si="6"/>
        <v>463.94163562144837</v>
      </c>
      <c r="BK62" s="55"/>
      <c r="BL62" s="234"/>
      <c r="BM62" s="207"/>
      <c r="BN62" s="55"/>
      <c r="BO62" s="55"/>
      <c r="BP62" s="55"/>
      <c r="BQ62" s="55"/>
      <c r="BR62" s="55"/>
      <c r="BS62" s="55"/>
      <c r="BT62" s="55"/>
      <c r="BU62" s="55"/>
      <c r="BW62" s="147">
        <f ca="1">(AT62+BK62)*BH62/(BH62+BI62)*2.71828^(-0.69315/半Cs134*(NOW()-R62)/365.25)+(AT62+BK62)*BI62/(BH62+BI62)*2.71828^(-0.69315/半Cs137*(NOW()-R62)/365.25)</f>
        <v>320.4226803225967</v>
      </c>
      <c r="BX62" s="147">
        <f ca="1">(AT62)*BH62/(BH62+BI62)*2.71828^(-0.69315/半Cs134*(NOW()-R62)/365.25)+(AT62)*BI62/(BH62+BI62)*2.71828^(-0.69315/半Cs137*(NOW()-R62)/365.25)</f>
        <v>320.4226803225967</v>
      </c>
    </row>
    <row r="63" spans="1:76" ht="9.9499999999999993" customHeight="1" x14ac:dyDescent="0.15">
      <c r="A63" s="9"/>
      <c r="R63" s="191">
        <v>41835</v>
      </c>
      <c r="S63" s="65"/>
      <c r="T63" s="56"/>
      <c r="U63" s="56"/>
      <c r="V63" s="222">
        <f t="shared" si="7"/>
        <v>216</v>
      </c>
      <c r="W63" s="56"/>
      <c r="X63" s="56"/>
      <c r="Y63" s="348">
        <f t="shared" si="8"/>
        <v>190</v>
      </c>
      <c r="Z63" s="217">
        <v>41844</v>
      </c>
      <c r="AA63" s="56">
        <v>56</v>
      </c>
      <c r="AB63" s="56">
        <v>160</v>
      </c>
      <c r="AC63" s="62">
        <v>216</v>
      </c>
      <c r="AD63" s="56">
        <v>50</v>
      </c>
      <c r="AE63" s="56">
        <v>140</v>
      </c>
      <c r="AF63" s="62">
        <v>190</v>
      </c>
      <c r="AG63" s="353">
        <f t="shared" si="9"/>
        <v>1.1368421052631579</v>
      </c>
      <c r="AH63" s="217">
        <v>41822</v>
      </c>
      <c r="AI63" s="56">
        <v>150</v>
      </c>
      <c r="AJ63" s="56">
        <v>430</v>
      </c>
      <c r="AK63" s="62">
        <v>580</v>
      </c>
      <c r="AL63" s="56">
        <v>60</v>
      </c>
      <c r="AM63" s="56">
        <v>180</v>
      </c>
      <c r="AN63" s="62">
        <v>240</v>
      </c>
      <c r="AO63" s="353">
        <f t="shared" si="17"/>
        <v>2.4166666666666665</v>
      </c>
      <c r="AP63" s="344">
        <f>44275*0.095</f>
        <v>4206.125</v>
      </c>
      <c r="AQ63" s="161">
        <f t="shared" si="21"/>
        <v>614.09424999999999</v>
      </c>
      <c r="AR63" s="161">
        <f t="shared" si="19"/>
        <v>209.53878360799996</v>
      </c>
      <c r="AS63" s="161">
        <f t="shared" si="20"/>
        <v>127.2403286</v>
      </c>
      <c r="AT63" s="211">
        <f t="shared" si="10"/>
        <v>336.77911220799996</v>
      </c>
      <c r="AU63" s="217">
        <v>41821</v>
      </c>
      <c r="AV63" s="56">
        <v>91</v>
      </c>
      <c r="AW63" s="56">
        <v>270</v>
      </c>
      <c r="AX63" s="349">
        <v>361</v>
      </c>
      <c r="AY63" s="217">
        <v>41821</v>
      </c>
      <c r="AZ63" s="56">
        <v>2.9</v>
      </c>
      <c r="BA63" s="56">
        <v>8.4</v>
      </c>
      <c r="BB63" s="225">
        <v>11.3</v>
      </c>
      <c r="BC63" s="198">
        <f t="shared" si="1"/>
        <v>5.0217543876341566E-46</v>
      </c>
      <c r="BD63" s="148">
        <f t="shared" si="2"/>
        <v>0.32927903867530312</v>
      </c>
      <c r="BE63" s="148">
        <f t="shared" si="3"/>
        <v>0.92665433836433064</v>
      </c>
      <c r="BF63" s="148">
        <f t="shared" si="11"/>
        <v>1.2559333770396337</v>
      </c>
      <c r="BG63" s="147">
        <f t="shared" si="4"/>
        <v>3139.8334425990843</v>
      </c>
      <c r="BH63" s="147">
        <f t="shared" si="5"/>
        <v>164.63951933765156</v>
      </c>
      <c r="BI63" s="147">
        <f t="shared" si="6"/>
        <v>463.32716918216533</v>
      </c>
      <c r="BK63" s="55"/>
      <c r="BL63" s="234"/>
      <c r="BM63" s="207"/>
      <c r="BN63" s="55"/>
      <c r="BO63" s="55"/>
      <c r="BP63" s="55"/>
      <c r="BQ63" s="55"/>
      <c r="BR63" s="55"/>
      <c r="BS63" s="55"/>
      <c r="BT63" s="55"/>
      <c r="BU63" s="55"/>
      <c r="BW63" s="147">
        <f ca="1">(AT63+BK63)*BH63/(BH63+BI63)*2.71828^(-0.69315/半Cs134*(NOW()-R63)/365.25)+(AT63+BK63)*BI63/(BH63+BI63)*2.71828^(-0.69315/半Cs137*(NOW()-R63)/365.25)</f>
        <v>233.50427684832593</v>
      </c>
      <c r="BX63" s="147">
        <f ca="1">(AT63)*BH63/(BH63+BI63)*2.71828^(-0.69315/半Cs134*(NOW()-R63)/365.25)+(AT63)*BI63/(BH63+BI63)*2.71828^(-0.69315/半Cs137*(NOW()-R63)/365.25)</f>
        <v>233.50427684832593</v>
      </c>
    </row>
    <row r="64" spans="1:76" ht="9.9499999999999993" customHeight="1" x14ac:dyDescent="0.15">
      <c r="A64" s="9"/>
      <c r="R64" s="191">
        <v>41866</v>
      </c>
      <c r="S64" s="65"/>
      <c r="T64" s="56"/>
      <c r="U64" s="56"/>
      <c r="V64" s="222">
        <f t="shared" si="7"/>
        <v>400</v>
      </c>
      <c r="W64" s="56"/>
      <c r="X64" s="56"/>
      <c r="Y64" s="348">
        <f t="shared" si="8"/>
        <v>182</v>
      </c>
      <c r="Z64" s="217">
        <v>41858</v>
      </c>
      <c r="AA64" s="56">
        <v>100</v>
      </c>
      <c r="AB64" s="56">
        <v>300</v>
      </c>
      <c r="AC64" s="62">
        <v>400</v>
      </c>
      <c r="AD64" s="56">
        <v>42</v>
      </c>
      <c r="AE64" s="56">
        <v>140</v>
      </c>
      <c r="AF64" s="62">
        <v>182</v>
      </c>
      <c r="AG64" s="353">
        <f t="shared" si="9"/>
        <v>2.197802197802198</v>
      </c>
      <c r="AH64" s="217">
        <v>41857</v>
      </c>
      <c r="AI64" s="56">
        <v>150</v>
      </c>
      <c r="AJ64" s="56">
        <v>430</v>
      </c>
      <c r="AK64" s="62">
        <v>580</v>
      </c>
      <c r="AL64" s="56">
        <v>52</v>
      </c>
      <c r="AM64" s="56">
        <v>160</v>
      </c>
      <c r="AN64" s="62">
        <v>212</v>
      </c>
      <c r="AO64" s="353">
        <f t="shared" si="17"/>
        <v>2.7358490566037736</v>
      </c>
      <c r="AP64" s="344">
        <f>44275*0.098</f>
        <v>4338.95</v>
      </c>
      <c r="AQ64" s="161">
        <f t="shared" si="21"/>
        <v>633.48669999999993</v>
      </c>
      <c r="AR64" s="161">
        <f t="shared" si="19"/>
        <v>292.62017646399994</v>
      </c>
      <c r="AS64" s="161">
        <f t="shared" si="20"/>
        <v>121.83216214399997</v>
      </c>
      <c r="AT64" s="211">
        <f t="shared" si="10"/>
        <v>414.45233860799988</v>
      </c>
      <c r="AU64" s="217">
        <v>41856</v>
      </c>
      <c r="AV64" s="56">
        <v>110</v>
      </c>
      <c r="AW64" s="56">
        <v>320</v>
      </c>
      <c r="AX64" s="349">
        <v>430</v>
      </c>
      <c r="AY64" s="217">
        <v>41856</v>
      </c>
      <c r="AZ64" s="56">
        <v>1.4</v>
      </c>
      <c r="BA64" s="56">
        <v>5.0999999999999996</v>
      </c>
      <c r="BB64" s="225">
        <v>6.5</v>
      </c>
      <c r="BC64" s="198">
        <f t="shared" si="1"/>
        <v>2.4394553153131447E-47</v>
      </c>
      <c r="BD64" s="148">
        <f t="shared" si="2"/>
        <v>0.31884135252105372</v>
      </c>
      <c r="BE64" s="148">
        <f t="shared" si="3"/>
        <v>0.9246097328516879</v>
      </c>
      <c r="BF64" s="148">
        <f t="shared" si="11"/>
        <v>1.2434510853727416</v>
      </c>
      <c r="BG64" s="147">
        <f t="shared" si="4"/>
        <v>3108.6277134318539</v>
      </c>
      <c r="BH64" s="147">
        <f t="shared" si="5"/>
        <v>159.42067626052688</v>
      </c>
      <c r="BI64" s="147">
        <f t="shared" si="6"/>
        <v>462.30486642584395</v>
      </c>
      <c r="BK64" s="55"/>
      <c r="BL64" s="234"/>
      <c r="BM64" s="207"/>
      <c r="BN64" s="55"/>
      <c r="BO64" s="55"/>
      <c r="BP64" s="55"/>
      <c r="BQ64" s="55"/>
      <c r="BR64" s="55"/>
      <c r="BS64" s="55"/>
      <c r="BT64" s="55"/>
      <c r="BU64" s="55"/>
      <c r="BW64" s="147">
        <f ca="1">(AT64+BK64)*BH64/(BH64+BI64)*2.71828^(-0.69315/半Cs134*(NOW()-R64)/365.25)+(AT64+BK64)*BI64/(BH64+BI64)*2.71828^(-0.69315/半Cs137*(NOW()-R64)/365.25)</f>
        <v>290.10944069582911</v>
      </c>
      <c r="BX64" s="147">
        <f ca="1">(AT64)*BH64/(BH64+BI64)*2.71828^(-0.69315/半Cs134*(NOW()-R64)/365.25)+(AT64)*BI64/(BH64+BI64)*2.71828^(-0.69315/半Cs137*(NOW()-R64)/365.25)</f>
        <v>290.10944069582911</v>
      </c>
    </row>
    <row r="65" spans="1:76" ht="9.9499999999999993" customHeight="1" x14ac:dyDescent="0.15">
      <c r="A65" s="9"/>
      <c r="R65" s="191">
        <v>41897</v>
      </c>
      <c r="S65" s="65"/>
      <c r="T65" s="56"/>
      <c r="U65" s="56"/>
      <c r="V65" s="222">
        <f t="shared" si="7"/>
        <v>420</v>
      </c>
      <c r="W65" s="56"/>
      <c r="X65" s="56"/>
      <c r="Y65" s="348">
        <f t="shared" si="8"/>
        <v>126</v>
      </c>
      <c r="Z65" s="217">
        <v>41886</v>
      </c>
      <c r="AA65" s="56">
        <v>110</v>
      </c>
      <c r="AB65" s="56">
        <v>310</v>
      </c>
      <c r="AC65" s="62">
        <v>420</v>
      </c>
      <c r="AD65" s="56">
        <v>30</v>
      </c>
      <c r="AE65" s="56">
        <v>96</v>
      </c>
      <c r="AF65" s="62">
        <v>126</v>
      </c>
      <c r="AG65" s="353">
        <f t="shared" si="9"/>
        <v>3.3333333333333335</v>
      </c>
      <c r="AH65" s="217">
        <v>41885</v>
      </c>
      <c r="AI65" s="56">
        <v>130</v>
      </c>
      <c r="AJ65" s="56">
        <v>370</v>
      </c>
      <c r="AK65" s="62">
        <v>500</v>
      </c>
      <c r="AL65" s="56">
        <v>38</v>
      </c>
      <c r="AM65" s="56">
        <v>120</v>
      </c>
      <c r="AN65" s="62">
        <v>158</v>
      </c>
      <c r="AO65" s="353">
        <f t="shared" si="17"/>
        <v>3.1645569620253164</v>
      </c>
      <c r="AP65" s="344">
        <f>44275*0.091</f>
        <v>4029.0250000000001</v>
      </c>
      <c r="AQ65" s="161">
        <f t="shared" si="21"/>
        <v>588.23765000000003</v>
      </c>
      <c r="AR65" s="161">
        <f t="shared" si="19"/>
        <v>263.248113128</v>
      </c>
      <c r="AS65" s="161">
        <f t="shared" si="20"/>
        <v>80.593263951200001</v>
      </c>
      <c r="AT65" s="211">
        <f t="shared" si="10"/>
        <v>343.84137707920002</v>
      </c>
      <c r="AU65" s="217">
        <v>41884</v>
      </c>
      <c r="AV65" s="56">
        <v>120</v>
      </c>
      <c r="AW65" s="56">
        <v>390</v>
      </c>
      <c r="AX65" s="349">
        <v>510</v>
      </c>
      <c r="AY65" s="217">
        <v>41884</v>
      </c>
      <c r="AZ65" s="56">
        <v>3.8</v>
      </c>
      <c r="BA65" s="56">
        <v>13</v>
      </c>
      <c r="BB65" s="225">
        <v>16.8</v>
      </c>
      <c r="BC65" s="198">
        <f t="shared" ref="BC65:BC96" si="22">1*2.71828^(-0.69315/半I131*(AY65-事故日)/365.25)</f>
        <v>2.1699153251295062E-48</v>
      </c>
      <c r="BD65" s="148">
        <f t="shared" ref="BD65:BD96" si="23">1*2.71828^(-0.69315/半Cs134*(AY65-事故日)/365.25)</f>
        <v>0.3107299311319382</v>
      </c>
      <c r="BE65" s="148">
        <f t="shared" ref="BE65:BE96" si="24">1*2.71828^(-0.69315/半Cs137*(AY65-事故日)/365.25)</f>
        <v>0.92297729705255815</v>
      </c>
      <c r="BF65" s="148">
        <f t="shared" si="11"/>
        <v>1.2337072281844963</v>
      </c>
      <c r="BG65" s="147">
        <f t="shared" ref="BG65:BG96" si="25">2500*2.71828^(-0.69315/半Cs134*(AY65-事故日)/365.25)+2500*2.71828^(-0.69315/半Cs137*(AY65-事故日)/365.25)</f>
        <v>3084.2680704612412</v>
      </c>
      <c r="BH65" s="147">
        <f t="shared" ref="BH65:BH96" si="26">500*2.71828^(-0.69315/半Cs134*(AY65-事故日)/365.25)</f>
        <v>155.3649655659691</v>
      </c>
      <c r="BI65" s="147">
        <f t="shared" ref="BI65:BI96" si="27">500*2.71828^(-0.69315/半Cs137*(AY65-事故日)/365.25)</f>
        <v>461.48864852627906</v>
      </c>
      <c r="BK65" s="55"/>
      <c r="BL65" s="234"/>
      <c r="BM65" s="207"/>
      <c r="BN65" s="55"/>
      <c r="BO65" s="55"/>
      <c r="BP65" s="55"/>
      <c r="BQ65" s="55"/>
      <c r="BR65" s="55"/>
      <c r="BS65" s="55"/>
      <c r="BT65" s="55"/>
      <c r="BU65" s="55"/>
      <c r="BW65" s="147">
        <f ca="1">(AT65+BK65)*BH65/(BH65+BI65)*2.71828^(-0.69315/半Cs134*(NOW()-R65)/365.25)+(AT65+BK65)*BI65/(BH65+BI65)*2.71828^(-0.69315/半Cs137*(NOW()-R65)/365.25)</f>
        <v>242.66783445643784</v>
      </c>
      <c r="BX65" s="147">
        <f ca="1">(AT65)*BH65/(BH65+BI65)*2.71828^(-0.69315/半Cs134*(NOW()-R65)/365.25)+(AT65)*BI65/(BH65+BI65)*2.71828^(-0.69315/半Cs137*(NOW()-R65)/365.25)</f>
        <v>242.66783445643784</v>
      </c>
    </row>
    <row r="66" spans="1:76" ht="9.9499999999999993" customHeight="1" x14ac:dyDescent="0.15">
      <c r="A66" s="9"/>
      <c r="R66" s="191">
        <v>41927</v>
      </c>
      <c r="S66" s="65"/>
      <c r="T66" s="56"/>
      <c r="U66" s="56"/>
      <c r="V66" s="222">
        <f t="shared" si="7"/>
        <v>321</v>
      </c>
      <c r="W66" s="56"/>
      <c r="X66" s="56"/>
      <c r="Y66" s="348">
        <f t="shared" si="8"/>
        <v>130</v>
      </c>
      <c r="Z66" s="217">
        <v>41921</v>
      </c>
      <c r="AA66" s="56">
        <v>81</v>
      </c>
      <c r="AB66" s="56">
        <v>240</v>
      </c>
      <c r="AC66" s="62">
        <v>321</v>
      </c>
      <c r="AD66" s="56">
        <v>32</v>
      </c>
      <c r="AE66" s="56">
        <v>98</v>
      </c>
      <c r="AF66" s="62">
        <v>130</v>
      </c>
      <c r="AG66" s="353">
        <f t="shared" si="9"/>
        <v>2.4692307692307693</v>
      </c>
      <c r="AH66" s="217">
        <v>41920</v>
      </c>
      <c r="AI66" s="56">
        <v>150</v>
      </c>
      <c r="AJ66" s="56">
        <v>440</v>
      </c>
      <c r="AK66" s="62">
        <v>590</v>
      </c>
      <c r="AL66" s="56">
        <v>38</v>
      </c>
      <c r="AM66" s="56">
        <v>140</v>
      </c>
      <c r="AN66" s="62">
        <v>178</v>
      </c>
      <c r="AO66" s="353">
        <f t="shared" si="17"/>
        <v>3.3146067415730336</v>
      </c>
      <c r="AP66" s="344">
        <f>44275*0.094</f>
        <v>4161.8500000000004</v>
      </c>
      <c r="AQ66" s="161">
        <f t="shared" si="21"/>
        <v>607.63009999999997</v>
      </c>
      <c r="AR66" s="161">
        <f t="shared" si="19"/>
        <v>251.27692103359999</v>
      </c>
      <c r="AS66" s="161">
        <f t="shared" si="20"/>
        <v>89.025101211199996</v>
      </c>
      <c r="AT66" s="211">
        <f t="shared" si="10"/>
        <v>340.30202224480001</v>
      </c>
      <c r="AU66" s="217">
        <v>41919</v>
      </c>
      <c r="AV66" s="56">
        <v>130</v>
      </c>
      <c r="AW66" s="56">
        <v>430</v>
      </c>
      <c r="AX66" s="349">
        <v>560</v>
      </c>
      <c r="AY66" s="217">
        <v>41919</v>
      </c>
      <c r="AZ66" s="56">
        <v>3.8</v>
      </c>
      <c r="BA66" s="56">
        <v>12</v>
      </c>
      <c r="BB66" s="225">
        <v>15.8</v>
      </c>
      <c r="BC66" s="198">
        <f t="shared" si="22"/>
        <v>1.0540960519099332E-49</v>
      </c>
      <c r="BD66" s="148">
        <f t="shared" si="23"/>
        <v>0.30088022580925944</v>
      </c>
      <c r="BE66" s="148">
        <f t="shared" si="24"/>
        <v>0.92094080470425854</v>
      </c>
      <c r="BF66" s="148">
        <f t="shared" si="11"/>
        <v>1.221821030513518</v>
      </c>
      <c r="BG66" s="147">
        <f t="shared" si="25"/>
        <v>3054.5525762837951</v>
      </c>
      <c r="BH66" s="147">
        <f t="shared" si="26"/>
        <v>150.44011290462973</v>
      </c>
      <c r="BI66" s="147">
        <f t="shared" si="27"/>
        <v>460.47040235212927</v>
      </c>
      <c r="BK66" s="55"/>
      <c r="BL66" s="234"/>
      <c r="BM66" s="207"/>
      <c r="BN66" s="55"/>
      <c r="BO66" s="55"/>
      <c r="BP66" s="55"/>
      <c r="BQ66" s="55"/>
      <c r="BR66" s="55"/>
      <c r="BS66" s="55"/>
      <c r="BT66" s="55"/>
      <c r="BU66" s="55"/>
      <c r="BW66" s="147">
        <f ca="1">(AT66+BK66)*BH66/(BH66+BI66)*2.71828^(-0.69315/半Cs134*(NOW()-R66)/365.25)+(AT66+BK66)*BI66/(BH66+BI66)*2.71828^(-0.69315/半Cs137*(NOW()-R66)/365.25)</f>
        <v>242.36664755832302</v>
      </c>
      <c r="BX66" s="147">
        <f ca="1">(AT66)*BH66/(BH66+BI66)*2.71828^(-0.69315/半Cs134*(NOW()-R66)/365.25)+(AT66)*BI66/(BH66+BI66)*2.71828^(-0.69315/半Cs137*(NOW()-R66)/365.25)</f>
        <v>242.36664755832302</v>
      </c>
    </row>
    <row r="67" spans="1:76" ht="9.9499999999999993" customHeight="1" x14ac:dyDescent="0.15">
      <c r="A67" s="9"/>
      <c r="R67" s="191">
        <v>41958</v>
      </c>
      <c r="S67" s="65"/>
      <c r="T67" s="56"/>
      <c r="U67" s="56"/>
      <c r="V67" s="222">
        <f t="shared" si="7"/>
        <v>348</v>
      </c>
      <c r="W67" s="56"/>
      <c r="X67" s="56"/>
      <c r="Y67" s="348">
        <f t="shared" si="8"/>
        <v>91</v>
      </c>
      <c r="Z67" s="217">
        <v>41956</v>
      </c>
      <c r="AA67" s="56">
        <v>78</v>
      </c>
      <c r="AB67" s="56">
        <v>270</v>
      </c>
      <c r="AC67" s="62">
        <v>348</v>
      </c>
      <c r="AD67" s="56">
        <v>23</v>
      </c>
      <c r="AE67" s="56">
        <v>68</v>
      </c>
      <c r="AF67" s="62">
        <v>91</v>
      </c>
      <c r="AG67" s="353">
        <f t="shared" si="9"/>
        <v>3.8241758241758244</v>
      </c>
      <c r="AH67" s="217">
        <v>41969</v>
      </c>
      <c r="AI67" s="56">
        <v>150</v>
      </c>
      <c r="AJ67" s="56">
        <v>440</v>
      </c>
      <c r="AK67" s="62">
        <v>590</v>
      </c>
      <c r="AL67" s="56">
        <v>38</v>
      </c>
      <c r="AM67" s="56">
        <v>140</v>
      </c>
      <c r="AN67" s="62">
        <v>178</v>
      </c>
      <c r="AO67" s="353">
        <f t="shared" si="17"/>
        <v>3.3146067415730336</v>
      </c>
      <c r="AP67" s="344">
        <f>44275*0.083</f>
        <v>3674.8250000000003</v>
      </c>
      <c r="AQ67" s="161">
        <f t="shared" si="21"/>
        <v>536.52445</v>
      </c>
      <c r="AR67" s="161">
        <f t="shared" si="19"/>
        <v>231.3750960136</v>
      </c>
      <c r="AS67" s="161">
        <f t="shared" si="20"/>
        <v>64.880828689599994</v>
      </c>
      <c r="AT67" s="211">
        <f t="shared" si="10"/>
        <v>296.25592470319998</v>
      </c>
      <c r="AU67" s="217">
        <v>41954</v>
      </c>
      <c r="AV67" s="56">
        <v>130</v>
      </c>
      <c r="AW67" s="56">
        <v>420</v>
      </c>
      <c r="AX67" s="349">
        <v>550</v>
      </c>
      <c r="AY67" s="217">
        <v>41950</v>
      </c>
      <c r="AZ67" s="56">
        <v>1.6</v>
      </c>
      <c r="BA67" s="56">
        <v>4.4000000000000004</v>
      </c>
      <c r="BB67" s="225">
        <v>6</v>
      </c>
      <c r="BC67" s="198">
        <f t="shared" si="22"/>
        <v>7.23500817842418E-51</v>
      </c>
      <c r="BD67" s="148">
        <f t="shared" si="23"/>
        <v>0.2924172559309236</v>
      </c>
      <c r="BE67" s="148">
        <f t="shared" si="24"/>
        <v>0.91914080709712054</v>
      </c>
      <c r="BF67" s="148">
        <f t="shared" si="11"/>
        <v>1.2115580630280443</v>
      </c>
      <c r="BG67" s="147">
        <f t="shared" si="25"/>
        <v>3028.8951575701103</v>
      </c>
      <c r="BH67" s="147">
        <f t="shared" si="26"/>
        <v>146.2086279654618</v>
      </c>
      <c r="BI67" s="147">
        <f t="shared" si="27"/>
        <v>459.57040354856025</v>
      </c>
      <c r="BK67" s="55"/>
      <c r="BL67" s="234"/>
      <c r="BM67" s="207"/>
      <c r="BN67" s="55"/>
      <c r="BO67" s="55"/>
      <c r="BP67" s="55"/>
      <c r="BQ67" s="55"/>
      <c r="BR67" s="55"/>
      <c r="BS67" s="55"/>
      <c r="BT67" s="55"/>
      <c r="BU67" s="55"/>
      <c r="BW67" s="147">
        <f ca="1">(AT67+BK67)*BH67/(BH67+BI67)*2.71828^(-0.69315/半Cs134*(NOW()-R67)/365.25)+(AT67+BK67)*BI67/(BH67+BI67)*2.71828^(-0.69315/半Cs137*(NOW()-R67)/365.25)</f>
        <v>212.78388506012254</v>
      </c>
      <c r="BX67" s="147">
        <f ca="1">(AT67)*BH67/(BH67+BI67)*2.71828^(-0.69315/半Cs134*(NOW()-R67)/365.25)+(AT67)*BI67/(BH67+BI67)*2.71828^(-0.69315/半Cs137*(NOW()-R67)/365.25)</f>
        <v>212.78388506012254</v>
      </c>
    </row>
    <row r="68" spans="1:76" ht="9.9499999999999993" customHeight="1" x14ac:dyDescent="0.15">
      <c r="A68" s="9"/>
      <c r="R68" s="191">
        <v>41988</v>
      </c>
      <c r="S68" s="65"/>
      <c r="T68" s="56"/>
      <c r="U68" s="56"/>
      <c r="V68" s="222">
        <f t="shared" si="7"/>
        <v>184</v>
      </c>
      <c r="W68" s="56"/>
      <c r="X68" s="56"/>
      <c r="Y68" s="348">
        <f t="shared" si="8"/>
        <v>62</v>
      </c>
      <c r="Z68" s="217">
        <v>41977</v>
      </c>
      <c r="AA68" s="56">
        <v>44</v>
      </c>
      <c r="AB68" s="56">
        <v>140</v>
      </c>
      <c r="AC68" s="62">
        <v>184</v>
      </c>
      <c r="AD68" s="56">
        <v>14</v>
      </c>
      <c r="AE68" s="56">
        <v>48</v>
      </c>
      <c r="AF68" s="62">
        <v>62</v>
      </c>
      <c r="AG68" s="353">
        <f t="shared" si="9"/>
        <v>2.967741935483871</v>
      </c>
      <c r="AH68" s="217">
        <v>41976</v>
      </c>
      <c r="AI68" s="56">
        <v>75</v>
      </c>
      <c r="AJ68" s="56">
        <v>230</v>
      </c>
      <c r="AK68" s="62">
        <v>305</v>
      </c>
      <c r="AL68" s="56">
        <v>16</v>
      </c>
      <c r="AM68" s="56">
        <v>59</v>
      </c>
      <c r="AN68" s="62">
        <v>75</v>
      </c>
      <c r="AO68" s="353">
        <f t="shared" si="17"/>
        <v>4.0666666666666664</v>
      </c>
      <c r="AP68" s="344">
        <f>44275*0.08</f>
        <v>3542</v>
      </c>
      <c r="AQ68" s="161">
        <f t="shared" si="21"/>
        <v>517.13199999999995</v>
      </c>
      <c r="AR68" s="161">
        <f t="shared" si="19"/>
        <v>116.67739036799999</v>
      </c>
      <c r="AS68" s="161">
        <f t="shared" si="20"/>
        <v>34.374798303999995</v>
      </c>
      <c r="AT68" s="211">
        <f t="shared" si="10"/>
        <v>151.052188672</v>
      </c>
      <c r="AU68" s="217">
        <v>41975</v>
      </c>
      <c r="AV68" s="56">
        <v>98</v>
      </c>
      <c r="AW68" s="56">
        <v>330</v>
      </c>
      <c r="AX68" s="349">
        <v>428</v>
      </c>
      <c r="AY68" s="217">
        <v>41975</v>
      </c>
      <c r="AZ68" s="56">
        <v>2.9</v>
      </c>
      <c r="BA68" s="56">
        <v>9.3000000000000007</v>
      </c>
      <c r="BB68" s="225">
        <v>12.2</v>
      </c>
      <c r="BC68" s="198">
        <f t="shared" si="22"/>
        <v>8.3402683834257269E-52</v>
      </c>
      <c r="BD68" s="148">
        <f t="shared" si="23"/>
        <v>0.28576598856171986</v>
      </c>
      <c r="BE68" s="148">
        <f t="shared" si="24"/>
        <v>0.9176917590821817</v>
      </c>
      <c r="BF68" s="148">
        <f t="shared" si="11"/>
        <v>1.2034577476439017</v>
      </c>
      <c r="BG68" s="147">
        <f t="shared" si="25"/>
        <v>3008.6443691097538</v>
      </c>
      <c r="BH68" s="147">
        <f t="shared" si="26"/>
        <v>142.88299428085992</v>
      </c>
      <c r="BI68" s="147">
        <f t="shared" si="27"/>
        <v>458.84587954109082</v>
      </c>
      <c r="BK68" s="55"/>
      <c r="BL68" s="234"/>
      <c r="BM68" s="207"/>
      <c r="BN68" s="55"/>
      <c r="BO68" s="55"/>
      <c r="BP68" s="55"/>
      <c r="BQ68" s="55"/>
      <c r="BR68" s="55"/>
      <c r="BS68" s="55"/>
      <c r="BT68" s="55"/>
      <c r="BU68" s="55"/>
      <c r="BW68" s="147">
        <f ca="1">(AT68+BK68)*BH68/(BH68+BI68)*2.71828^(-0.69315/半Cs134*(NOW()-R68)/365.25)+(AT68+BK68)*BI68/(BH68+BI68)*2.71828^(-0.69315/半Cs137*(NOW()-R68)/365.25)</f>
        <v>109.28545417802857</v>
      </c>
      <c r="BX68" s="147">
        <f ca="1">(AT68)*BH68/(BH68+BI68)*2.71828^(-0.69315/半Cs134*(NOW()-R68)/365.25)+(AT68)*BI68/(BH68+BI68)*2.71828^(-0.69315/半Cs137*(NOW()-R68)/365.25)</f>
        <v>109.28545417802857</v>
      </c>
    </row>
    <row r="69" spans="1:76" ht="9.9499999999999993" customHeight="1" x14ac:dyDescent="0.15">
      <c r="A69" s="9"/>
      <c r="R69" s="191">
        <v>42019</v>
      </c>
      <c r="S69" s="65"/>
      <c r="T69" s="56"/>
      <c r="U69" s="56"/>
      <c r="V69" s="222">
        <f t="shared" si="7"/>
        <v>183</v>
      </c>
      <c r="W69" s="56"/>
      <c r="X69" s="56"/>
      <c r="Y69" s="348">
        <f t="shared" si="8"/>
        <v>47</v>
      </c>
      <c r="Z69" s="217">
        <v>42026</v>
      </c>
      <c r="AA69" s="56">
        <v>43</v>
      </c>
      <c r="AB69" s="56">
        <v>140</v>
      </c>
      <c r="AC69" s="62">
        <v>183</v>
      </c>
      <c r="AD69" s="56">
        <v>11</v>
      </c>
      <c r="AE69" s="56">
        <v>36</v>
      </c>
      <c r="AF69" s="62">
        <v>47</v>
      </c>
      <c r="AG69" s="353">
        <f t="shared" si="9"/>
        <v>3.8936170212765959</v>
      </c>
      <c r="AH69" s="217">
        <v>42027</v>
      </c>
      <c r="AI69" s="56">
        <v>110</v>
      </c>
      <c r="AJ69" s="56">
        <v>400</v>
      </c>
      <c r="AK69" s="62">
        <v>510</v>
      </c>
      <c r="AL69" s="56">
        <v>32</v>
      </c>
      <c r="AM69" s="56">
        <v>120</v>
      </c>
      <c r="AN69" s="62">
        <v>152</v>
      </c>
      <c r="AO69" s="353">
        <f t="shared" si="17"/>
        <v>3.3552631578947367</v>
      </c>
      <c r="AP69" s="344">
        <f>44275*0.072</f>
        <v>3187.7999999999997</v>
      </c>
      <c r="AQ69" s="161">
        <f t="shared" si="21"/>
        <v>465.41879999999992</v>
      </c>
      <c r="AR69" s="161">
        <f t="shared" si="19"/>
        <v>137.52567037439997</v>
      </c>
      <c r="AS69" s="161">
        <f t="shared" si="20"/>
        <v>38.685610655999987</v>
      </c>
      <c r="AT69" s="211">
        <f t="shared" si="10"/>
        <v>176.21128103039996</v>
      </c>
      <c r="AU69" s="217">
        <v>42026</v>
      </c>
      <c r="AV69" s="56">
        <v>87</v>
      </c>
      <c r="AW69" s="56">
        <v>280</v>
      </c>
      <c r="AX69" s="349">
        <v>367</v>
      </c>
      <c r="AY69" s="217">
        <v>42026</v>
      </c>
      <c r="AZ69" s="56">
        <v>1.1000000000000001</v>
      </c>
      <c r="BA69" s="56">
        <v>7.4</v>
      </c>
      <c r="BB69" s="225">
        <v>8.5</v>
      </c>
      <c r="BC69" s="198">
        <f t="shared" si="22"/>
        <v>1.016556836975234E-53</v>
      </c>
      <c r="BD69" s="148">
        <f t="shared" si="23"/>
        <v>0.27266282016969706</v>
      </c>
      <c r="BE69" s="148">
        <f t="shared" si="24"/>
        <v>0.91474278091304506</v>
      </c>
      <c r="BF69" s="148">
        <f t="shared" si="11"/>
        <v>1.1874056010827421</v>
      </c>
      <c r="BG69" s="147">
        <f t="shared" si="25"/>
        <v>2968.5140027068555</v>
      </c>
      <c r="BH69" s="147">
        <f t="shared" si="26"/>
        <v>136.33141008484853</v>
      </c>
      <c r="BI69" s="147">
        <f t="shared" si="27"/>
        <v>457.37139045652253</v>
      </c>
      <c r="BK69" s="55"/>
      <c r="BL69" s="234"/>
      <c r="BM69" s="207"/>
      <c r="BN69" s="55"/>
      <c r="BO69" s="55"/>
      <c r="BP69" s="55"/>
      <c r="BQ69" s="55"/>
      <c r="BR69" s="55"/>
      <c r="BS69" s="55"/>
      <c r="BT69" s="55"/>
      <c r="BU69" s="55"/>
      <c r="BW69" s="147">
        <f ca="1">(AT69+BK69)*BH69/(BH69+BI69)*2.71828^(-0.69315/半Cs134*(NOW()-R69)/365.25)+(AT69+BK69)*BI69/(BH69+BI69)*2.71828^(-0.69315/半Cs137*(NOW()-R69)/365.25)</f>
        <v>128.91470722587283</v>
      </c>
      <c r="BX69" s="147">
        <f ca="1">(AT69)*BH69/(BH69+BI69)*2.71828^(-0.69315/半Cs134*(NOW()-R69)/365.25)+(AT69)*BI69/(BH69+BI69)*2.71828^(-0.69315/半Cs137*(NOW()-R69)/365.25)</f>
        <v>128.91470722587283</v>
      </c>
    </row>
    <row r="70" spans="1:76" ht="9.9499999999999993" customHeight="1" x14ac:dyDescent="0.15">
      <c r="A70" s="9"/>
      <c r="R70" s="191">
        <v>42050</v>
      </c>
      <c r="S70" s="65"/>
      <c r="T70" s="56"/>
      <c r="U70" s="56"/>
      <c r="V70" s="222">
        <f t="shared" si="7"/>
        <v>250</v>
      </c>
      <c r="W70" s="56"/>
      <c r="X70" s="56"/>
      <c r="Y70" s="348">
        <f t="shared" si="8"/>
        <v>64</v>
      </c>
      <c r="Z70" s="217">
        <v>42039</v>
      </c>
      <c r="AA70" s="56">
        <v>60</v>
      </c>
      <c r="AB70" s="56">
        <v>190</v>
      </c>
      <c r="AC70" s="62">
        <v>250</v>
      </c>
      <c r="AD70" s="56">
        <v>15</v>
      </c>
      <c r="AE70" s="56">
        <v>49</v>
      </c>
      <c r="AF70" s="62">
        <v>64</v>
      </c>
      <c r="AG70" s="353">
        <f t="shared" si="9"/>
        <v>3.90625</v>
      </c>
      <c r="AH70" s="217">
        <v>42040</v>
      </c>
      <c r="AI70" s="56">
        <v>45</v>
      </c>
      <c r="AJ70" s="56">
        <v>150</v>
      </c>
      <c r="AK70" s="62">
        <v>195</v>
      </c>
      <c r="AL70" s="56">
        <v>4.9000000000000004</v>
      </c>
      <c r="AM70" s="56">
        <v>23</v>
      </c>
      <c r="AN70" s="62">
        <v>27.9</v>
      </c>
      <c r="AO70" s="353">
        <f t="shared" si="17"/>
        <v>6.989247311827957</v>
      </c>
      <c r="AP70" s="344">
        <f>44275*0.061</f>
        <v>2700.7750000000001</v>
      </c>
      <c r="AQ70" s="161">
        <f t="shared" si="21"/>
        <v>394.31315000000001</v>
      </c>
      <c r="AR70" s="161">
        <f t="shared" si="19"/>
        <v>91.117882702000003</v>
      </c>
      <c r="AS70" s="161">
        <f t="shared" si="20"/>
        <v>20.339303178040002</v>
      </c>
      <c r="AT70" s="211">
        <f t="shared" si="10"/>
        <v>111.45718588004</v>
      </c>
      <c r="AU70" s="217">
        <v>42061</v>
      </c>
      <c r="AV70" s="56">
        <v>61</v>
      </c>
      <c r="AW70" s="56">
        <v>230</v>
      </c>
      <c r="AX70" s="349">
        <v>291</v>
      </c>
      <c r="AY70" s="217">
        <v>42061</v>
      </c>
      <c r="AZ70" s="56">
        <v>1.6</v>
      </c>
      <c r="BA70" s="56">
        <v>5.9</v>
      </c>
      <c r="BB70" s="225">
        <v>7.5</v>
      </c>
      <c r="BC70" s="198">
        <f t="shared" si="22"/>
        <v>4.9382044358513896E-55</v>
      </c>
      <c r="BD70" s="148">
        <f t="shared" si="23"/>
        <v>0.26401978915772245</v>
      </c>
      <c r="BE70" s="148">
        <f t="shared" si="24"/>
        <v>0.91272445751555664</v>
      </c>
      <c r="BF70" s="148">
        <f t="shared" si="11"/>
        <v>1.1767442466732791</v>
      </c>
      <c r="BG70" s="147">
        <f t="shared" si="25"/>
        <v>2941.8606166831978</v>
      </c>
      <c r="BH70" s="147">
        <f t="shared" si="26"/>
        <v>132.00989457886124</v>
      </c>
      <c r="BI70" s="147">
        <f t="shared" si="27"/>
        <v>456.36222875777833</v>
      </c>
      <c r="BK70" s="55"/>
      <c r="BL70" s="234"/>
      <c r="BM70" s="207"/>
      <c r="BN70" s="55"/>
      <c r="BO70" s="55"/>
      <c r="BP70" s="55"/>
      <c r="BQ70" s="55"/>
      <c r="BR70" s="55"/>
      <c r="BS70" s="55"/>
      <c r="BT70" s="55"/>
      <c r="BU70" s="55"/>
      <c r="BW70" s="147">
        <f ca="1">(AT70+BK70)*BH70/(BH70+BI70)*2.71828^(-0.69315/半Cs134*(NOW()-R70)/365.25)+(AT70+BK70)*BI70/(BH70+BI70)*2.71828^(-0.69315/半Cs137*(NOW()-R70)/365.25)</f>
        <v>82.242261004906453</v>
      </c>
      <c r="BX70" s="147">
        <f ca="1">(AT70)*BH70/(BH70+BI70)*2.71828^(-0.69315/半Cs134*(NOW()-R70)/365.25)+(AT70)*BI70/(BH70+BI70)*2.71828^(-0.69315/半Cs137*(NOW()-R70)/365.25)</f>
        <v>82.242261004906453</v>
      </c>
    </row>
    <row r="71" spans="1:76" ht="9.9499999999999993" customHeight="1" x14ac:dyDescent="0.15">
      <c r="A71" s="9"/>
      <c r="R71" s="191">
        <v>42078</v>
      </c>
      <c r="S71" s="65"/>
      <c r="T71" s="56"/>
      <c r="U71" s="56"/>
      <c r="V71" s="222">
        <f t="shared" si="7"/>
        <v>151</v>
      </c>
      <c r="W71" s="56"/>
      <c r="X71" s="56"/>
      <c r="Y71" s="348">
        <f t="shared" si="8"/>
        <v>28.1</v>
      </c>
      <c r="Z71" s="217">
        <v>42068</v>
      </c>
      <c r="AA71" s="56">
        <v>31</v>
      </c>
      <c r="AB71" s="56">
        <v>120</v>
      </c>
      <c r="AC71" s="62">
        <v>151</v>
      </c>
      <c r="AD71" s="56">
        <v>6.1</v>
      </c>
      <c r="AE71" s="56">
        <v>22</v>
      </c>
      <c r="AF71" s="62">
        <v>28.1</v>
      </c>
      <c r="AG71" s="353">
        <f t="shared" si="9"/>
        <v>5.3736654804270456</v>
      </c>
      <c r="AH71" s="217">
        <v>42067</v>
      </c>
      <c r="AI71" s="56">
        <v>63</v>
      </c>
      <c r="AJ71" s="56">
        <v>230</v>
      </c>
      <c r="AK71" s="62">
        <v>293</v>
      </c>
      <c r="AL71" s="56">
        <v>9.8000000000000007</v>
      </c>
      <c r="AM71" s="56">
        <v>47</v>
      </c>
      <c r="AN71" s="62">
        <v>56.8</v>
      </c>
      <c r="AO71" s="353">
        <f t="shared" si="17"/>
        <v>5.158450704225352</v>
      </c>
      <c r="AP71" s="344">
        <f>44275*0.074</f>
        <v>3276.35</v>
      </c>
      <c r="AQ71" s="161">
        <f t="shared" si="21"/>
        <v>478.34709999999995</v>
      </c>
      <c r="AR71" s="161">
        <f t="shared" si="19"/>
        <v>95.596711240799976</v>
      </c>
      <c r="AS71" s="161">
        <f t="shared" si="20"/>
        <v>18.164178758879999</v>
      </c>
      <c r="AT71" s="211">
        <f t="shared" si="10"/>
        <v>113.76088999967997</v>
      </c>
      <c r="AU71" s="217">
        <v>42082</v>
      </c>
      <c r="AV71" s="56">
        <v>67</v>
      </c>
      <c r="AW71" s="56">
        <v>240</v>
      </c>
      <c r="AX71" s="349">
        <v>307</v>
      </c>
      <c r="AY71" s="217">
        <v>42082</v>
      </c>
      <c r="AZ71" s="56">
        <v>2.4</v>
      </c>
      <c r="BA71" s="56">
        <v>8.1</v>
      </c>
      <c r="BB71" s="225">
        <v>10.5</v>
      </c>
      <c r="BC71" s="198">
        <f t="shared" si="22"/>
        <v>8.0432488405752934E-56</v>
      </c>
      <c r="BD71" s="148">
        <f t="shared" si="23"/>
        <v>0.2589660391946636</v>
      </c>
      <c r="BE71" s="148">
        <f t="shared" si="24"/>
        <v>0.91151560169319679</v>
      </c>
      <c r="BF71" s="148">
        <f t="shared" si="11"/>
        <v>1.1704816408878604</v>
      </c>
      <c r="BG71" s="147">
        <f t="shared" si="25"/>
        <v>2926.2041022196508</v>
      </c>
      <c r="BH71" s="147">
        <f t="shared" si="26"/>
        <v>129.4830195973318</v>
      </c>
      <c r="BI71" s="147">
        <f t="shared" si="27"/>
        <v>455.7578008465984</v>
      </c>
      <c r="BK71" s="55"/>
      <c r="BL71" s="234"/>
      <c r="BM71" s="207"/>
      <c r="BN71" s="55"/>
      <c r="BO71" s="55"/>
      <c r="BP71" s="55"/>
      <c r="BQ71" s="55"/>
      <c r="BR71" s="55"/>
      <c r="BS71" s="55"/>
      <c r="BT71" s="55"/>
      <c r="BU71" s="55"/>
      <c r="BW71" s="147">
        <f ca="1">(AT71+BK71)*BH71/(BH71+BI71)*2.71828^(-0.69315/半Cs134*(NOW()-R71)/365.25)+(AT71+BK71)*BI71/(BH71+BI71)*2.71828^(-0.69315/半Cs137*(NOW()-R71)/365.25)</f>
        <v>84.458918329987924</v>
      </c>
      <c r="BX71" s="147">
        <f ca="1">(AT71)*BH71/(BH71+BI71)*2.71828^(-0.69315/半Cs134*(NOW()-R71)/365.25)+(AT71)*BI71/(BH71+BI71)*2.71828^(-0.69315/半Cs137*(NOW()-R71)/365.25)</f>
        <v>84.458918329987924</v>
      </c>
    </row>
    <row r="72" spans="1:76" ht="9.9499999999999993" customHeight="1" x14ac:dyDescent="0.15">
      <c r="A72" s="9"/>
      <c r="R72" s="191">
        <v>42109</v>
      </c>
      <c r="S72" s="65"/>
      <c r="T72" s="56"/>
      <c r="U72" s="56"/>
      <c r="V72" s="222">
        <f t="shared" si="7"/>
        <v>276</v>
      </c>
      <c r="W72" s="56"/>
      <c r="X72" s="56"/>
      <c r="Y72" s="348">
        <f t="shared" si="8"/>
        <v>104</v>
      </c>
      <c r="Z72" s="217">
        <v>42110</v>
      </c>
      <c r="AA72" s="56">
        <v>56</v>
      </c>
      <c r="AB72" s="56">
        <v>220</v>
      </c>
      <c r="AC72" s="62">
        <v>276</v>
      </c>
      <c r="AD72" s="56">
        <v>22</v>
      </c>
      <c r="AE72" s="56">
        <v>82</v>
      </c>
      <c r="AF72" s="62">
        <v>104</v>
      </c>
      <c r="AG72" s="353">
        <f t="shared" si="9"/>
        <v>2.6538461538461537</v>
      </c>
      <c r="AH72" s="217">
        <v>42109</v>
      </c>
      <c r="AI72" s="56">
        <v>110</v>
      </c>
      <c r="AJ72" s="56">
        <v>400</v>
      </c>
      <c r="AK72" s="62">
        <v>510</v>
      </c>
      <c r="AL72" s="56">
        <v>38</v>
      </c>
      <c r="AM72" s="56">
        <v>140</v>
      </c>
      <c r="AN72" s="62">
        <v>178</v>
      </c>
      <c r="AO72" s="353">
        <f t="shared" si="17"/>
        <v>2.8651685393258428</v>
      </c>
      <c r="AP72" s="344">
        <f>44262*0.077</f>
        <v>3408.174</v>
      </c>
      <c r="AQ72" s="161">
        <f>AP72*0.142</f>
        <v>483.96070799999995</v>
      </c>
      <c r="AR72" s="161">
        <f t="shared" ref="AR72:AR81" si="28">((AQ72*(1-0.337)*AC72)+(AQ72*0.337*AK72))/10^3</f>
        <v>171.73732891946401</v>
      </c>
      <c r="AS72" s="161">
        <f t="shared" ref="AS72:AS81" si="29">((AQ72*(1-0.337)*AF72)+(AQ72*0.337*AN72))/10^3</f>
        <v>62.400925768103995</v>
      </c>
      <c r="AT72" s="211">
        <f t="shared" si="10"/>
        <v>234.13825468756801</v>
      </c>
      <c r="AU72" s="217">
        <v>42111</v>
      </c>
      <c r="AV72" s="56">
        <v>86</v>
      </c>
      <c r="AW72" s="56">
        <v>300</v>
      </c>
      <c r="AX72" s="349">
        <v>386</v>
      </c>
      <c r="AY72" s="217">
        <v>42111</v>
      </c>
      <c r="AZ72" s="56">
        <v>2</v>
      </c>
      <c r="BA72" s="56">
        <v>8</v>
      </c>
      <c r="BB72" s="225">
        <v>10</v>
      </c>
      <c r="BC72" s="198">
        <f t="shared" si="22"/>
        <v>6.5622242099380332E-57</v>
      </c>
      <c r="BD72" s="148">
        <f t="shared" si="23"/>
        <v>0.25214569760533306</v>
      </c>
      <c r="BE72" s="148">
        <f t="shared" si="24"/>
        <v>0.90984886106283458</v>
      </c>
      <c r="BF72" s="148">
        <f t="shared" si="11"/>
        <v>1.1619945586681677</v>
      </c>
      <c r="BG72" s="147">
        <f t="shared" si="25"/>
        <v>2904.9863966704193</v>
      </c>
      <c r="BH72" s="147">
        <f t="shared" si="26"/>
        <v>126.07284880266653</v>
      </c>
      <c r="BI72" s="147">
        <f t="shared" si="27"/>
        <v>454.92443053141727</v>
      </c>
      <c r="BK72" s="55"/>
      <c r="BL72" s="234"/>
      <c r="BM72" s="207"/>
      <c r="BN72" s="55"/>
      <c r="BO72" s="55"/>
      <c r="BP72" s="55"/>
      <c r="BQ72" s="55"/>
      <c r="BR72" s="55"/>
      <c r="BS72" s="55"/>
      <c r="BT72" s="55"/>
      <c r="BU72" s="55"/>
      <c r="BW72" s="147">
        <f ca="1">(AT72+BK72)*BH72/(BH72+BI72)*2.71828^(-0.69315/半Cs134*(NOW()-R72)/365.25)+(AT72+BK72)*BI72/(BH72+BI72)*2.71828^(-0.69315/半Cs137*(NOW()-R72)/365.25)</f>
        <v>175.13987624873869</v>
      </c>
      <c r="BX72" s="147">
        <f ca="1">(AT72)*BH72/(BH72+BI72)*2.71828^(-0.69315/半Cs134*(NOW()-R72)/365.25)+(AT72)*BI72/(BH72+BI72)*2.71828^(-0.69315/半Cs137*(NOW()-R72)/365.25)</f>
        <v>175.13987624873869</v>
      </c>
    </row>
    <row r="73" spans="1:76" ht="9.9499999999999993" customHeight="1" x14ac:dyDescent="0.15">
      <c r="A73" s="9"/>
      <c r="R73" s="191">
        <v>42139</v>
      </c>
      <c r="S73" s="65"/>
      <c r="T73" s="56"/>
      <c r="U73" s="56"/>
      <c r="V73" s="222">
        <f t="shared" si="7"/>
        <v>570</v>
      </c>
      <c r="W73" s="56"/>
      <c r="X73" s="56"/>
      <c r="Y73" s="348">
        <f t="shared" si="8"/>
        <v>151</v>
      </c>
      <c r="Z73" s="217">
        <v>42137</v>
      </c>
      <c r="AA73" s="56">
        <v>120</v>
      </c>
      <c r="AB73" s="56">
        <v>450</v>
      </c>
      <c r="AC73" s="62">
        <v>570</v>
      </c>
      <c r="AD73" s="56">
        <v>31</v>
      </c>
      <c r="AE73" s="56">
        <v>120</v>
      </c>
      <c r="AF73" s="62">
        <v>151</v>
      </c>
      <c r="AG73" s="353">
        <f t="shared" si="9"/>
        <v>3.7748344370860929</v>
      </c>
      <c r="AH73" s="217">
        <v>42139</v>
      </c>
      <c r="AI73" s="56">
        <v>120</v>
      </c>
      <c r="AJ73" s="56">
        <v>430</v>
      </c>
      <c r="AK73" s="62">
        <v>550</v>
      </c>
      <c r="AL73" s="56">
        <v>36</v>
      </c>
      <c r="AM73" s="56">
        <v>130</v>
      </c>
      <c r="AN73" s="62">
        <v>166</v>
      </c>
      <c r="AO73" s="353">
        <f t="shared" si="17"/>
        <v>3.3132530120481927</v>
      </c>
      <c r="AP73" s="344">
        <f>44262*0.086</f>
        <v>3806.5319999999997</v>
      </c>
      <c r="AQ73" s="161">
        <f t="shared" ref="AQ73:AQ83" si="30">AP73*0.142</f>
        <v>540.52754399999992</v>
      </c>
      <c r="AR73" s="161">
        <f t="shared" si="28"/>
        <v>304.45754443343998</v>
      </c>
      <c r="AS73" s="161">
        <f t="shared" si="29"/>
        <v>84.352025878920003</v>
      </c>
      <c r="AT73" s="211">
        <f t="shared" si="10"/>
        <v>388.80957031235999</v>
      </c>
      <c r="AU73" s="217">
        <v>42136</v>
      </c>
      <c r="AV73" s="56">
        <v>87</v>
      </c>
      <c r="AW73" s="56">
        <v>320</v>
      </c>
      <c r="AX73" s="349">
        <v>407</v>
      </c>
      <c r="AY73" s="217">
        <v>42136</v>
      </c>
      <c r="AZ73" s="56">
        <v>1.5</v>
      </c>
      <c r="BA73" s="56">
        <v>4.2</v>
      </c>
      <c r="BB73" s="225">
        <v>5.7</v>
      </c>
      <c r="BC73" s="198">
        <f t="shared" si="22"/>
        <v>7.564706183237192E-58</v>
      </c>
      <c r="BD73" s="148">
        <f t="shared" si="23"/>
        <v>0.24641043945366078</v>
      </c>
      <c r="BE73" s="148">
        <f t="shared" si="24"/>
        <v>0.90841446202860898</v>
      </c>
      <c r="BF73" s="148">
        <f t="shared" si="11"/>
        <v>1.1548249014822698</v>
      </c>
      <c r="BG73" s="147">
        <f t="shared" si="25"/>
        <v>2887.0622537056743</v>
      </c>
      <c r="BH73" s="147">
        <f t="shared" si="26"/>
        <v>123.20521972683039</v>
      </c>
      <c r="BI73" s="147">
        <f t="shared" si="27"/>
        <v>454.20723101430451</v>
      </c>
      <c r="BK73" s="55"/>
      <c r="BL73" s="234"/>
      <c r="BM73" s="207"/>
      <c r="BN73" s="55"/>
      <c r="BO73" s="55"/>
      <c r="BP73" s="55"/>
      <c r="BQ73" s="55"/>
      <c r="BR73" s="55"/>
      <c r="BS73" s="55"/>
      <c r="BT73" s="55"/>
      <c r="BU73" s="55"/>
      <c r="BW73" s="147">
        <f ca="1">(AT73+BK73)*BH73/(BH73+BI73)*2.71828^(-0.69315/半Cs134*(NOW()-R73)/365.25)+(AT73+BK73)*BI73/(BH73+BI73)*2.71828^(-0.69315/半Cs137*(NOW()-R73)/365.25)</f>
        <v>292.81068374289043</v>
      </c>
      <c r="BX73" s="147">
        <f ca="1">(AT73)*BH73/(BH73+BI73)*2.71828^(-0.69315/半Cs134*(NOW()-R73)/365.25)+(AT73)*BI73/(BH73+BI73)*2.71828^(-0.69315/半Cs137*(NOW()-R73)/365.25)</f>
        <v>292.81068374289043</v>
      </c>
    </row>
    <row r="74" spans="1:76" ht="9.9499999999999993" customHeight="1" x14ac:dyDescent="0.15">
      <c r="A74" s="9"/>
      <c r="R74" s="191">
        <v>42170</v>
      </c>
      <c r="S74" s="65"/>
      <c r="T74" s="56"/>
      <c r="U74" s="56"/>
      <c r="V74" s="222">
        <f t="shared" si="7"/>
        <v>304</v>
      </c>
      <c r="W74" s="56"/>
      <c r="X74" s="56"/>
      <c r="Y74" s="348">
        <f t="shared" si="8"/>
        <v>160</v>
      </c>
      <c r="Z74" s="217">
        <v>42166</v>
      </c>
      <c r="AA74" s="56">
        <v>64</v>
      </c>
      <c r="AB74" s="56">
        <v>240</v>
      </c>
      <c r="AC74" s="62">
        <v>304</v>
      </c>
      <c r="AD74" s="56">
        <v>30</v>
      </c>
      <c r="AE74" s="56">
        <v>130</v>
      </c>
      <c r="AF74" s="62">
        <v>160</v>
      </c>
      <c r="AG74" s="353">
        <f t="shared" si="9"/>
        <v>1.9</v>
      </c>
      <c r="AH74" s="217">
        <v>42160</v>
      </c>
      <c r="AI74" s="56">
        <v>110</v>
      </c>
      <c r="AJ74" s="56">
        <v>430</v>
      </c>
      <c r="AK74" s="62">
        <v>540</v>
      </c>
      <c r="AL74" s="56">
        <v>33</v>
      </c>
      <c r="AM74" s="56">
        <v>120</v>
      </c>
      <c r="AN74" s="62">
        <v>153</v>
      </c>
      <c r="AO74" s="353">
        <f t="shared" si="17"/>
        <v>3.5294117647058822</v>
      </c>
      <c r="AP74" s="344">
        <f>44262*0.089</f>
        <v>3939.3179999999998</v>
      </c>
      <c r="AQ74" s="161">
        <f t="shared" si="30"/>
        <v>559.38315599999987</v>
      </c>
      <c r="AR74" s="161">
        <f t="shared" si="28"/>
        <v>214.54134058699199</v>
      </c>
      <c r="AS74" s="161">
        <f t="shared" si="29"/>
        <v>88.181720094995981</v>
      </c>
      <c r="AT74" s="211">
        <f t="shared" si="10"/>
        <v>302.72306068198799</v>
      </c>
      <c r="AU74" s="217">
        <v>42171</v>
      </c>
      <c r="AV74" s="56">
        <v>80</v>
      </c>
      <c r="AW74" s="56">
        <v>310</v>
      </c>
      <c r="AX74" s="349">
        <v>390</v>
      </c>
      <c r="AY74" s="217">
        <v>42171</v>
      </c>
      <c r="AZ74" s="56">
        <v>1.8</v>
      </c>
      <c r="BA74" s="56">
        <v>8.6999999999999993</v>
      </c>
      <c r="BB74" s="225">
        <v>10.5</v>
      </c>
      <c r="BC74" s="198">
        <f t="shared" si="22"/>
        <v>3.6747640929874497E-59</v>
      </c>
      <c r="BD74" s="148">
        <f t="shared" si="23"/>
        <v>0.23859957228612108</v>
      </c>
      <c r="BE74" s="148">
        <f t="shared" si="24"/>
        <v>0.90641010167552793</v>
      </c>
      <c r="BF74" s="148">
        <f t="shared" si="11"/>
        <v>1.1450096739616491</v>
      </c>
      <c r="BG74" s="147">
        <f t="shared" si="25"/>
        <v>2862.5241849041226</v>
      </c>
      <c r="BH74" s="147">
        <f t="shared" si="26"/>
        <v>119.29978614306054</v>
      </c>
      <c r="BI74" s="147">
        <f t="shared" si="27"/>
        <v>453.20505083776396</v>
      </c>
      <c r="BK74" s="55"/>
      <c r="BL74" s="234"/>
      <c r="BM74" s="207"/>
      <c r="BN74" s="55"/>
      <c r="BO74" s="55"/>
      <c r="BP74" s="55"/>
      <c r="BQ74" s="55"/>
      <c r="BR74" s="55"/>
      <c r="BS74" s="55"/>
      <c r="BT74" s="55"/>
      <c r="BU74" s="55"/>
      <c r="BW74" s="147">
        <f ca="1">(AT74+BK74)*BH74/(BH74+BI74)*2.71828^(-0.69315/半Cs134*(NOW()-R74)/365.25)+(AT74+BK74)*BI74/(BH74+BI74)*2.71828^(-0.69315/半Cs137*(NOW()-R74)/365.25)</f>
        <v>229.82800168395818</v>
      </c>
      <c r="BX74" s="147">
        <f ca="1">(AT74)*BH74/(BH74+BI74)*2.71828^(-0.69315/半Cs134*(NOW()-R74)/365.25)+(AT74)*BI74/(BH74+BI74)*2.71828^(-0.69315/半Cs137*(NOW()-R74)/365.25)</f>
        <v>229.82800168395818</v>
      </c>
    </row>
    <row r="75" spans="1:76" ht="9.9499999999999993" customHeight="1" x14ac:dyDescent="0.15">
      <c r="A75" s="9"/>
      <c r="R75" s="191">
        <v>42200</v>
      </c>
      <c r="S75" s="65"/>
      <c r="T75" s="56"/>
      <c r="U75" s="56"/>
      <c r="V75" s="222">
        <f t="shared" si="7"/>
        <v>224</v>
      </c>
      <c r="W75" s="56"/>
      <c r="X75" s="56"/>
      <c r="Y75" s="348">
        <f t="shared" si="8"/>
        <v>95</v>
      </c>
      <c r="Z75" s="217">
        <v>42195</v>
      </c>
      <c r="AA75" s="56">
        <v>44</v>
      </c>
      <c r="AB75" s="56">
        <v>180</v>
      </c>
      <c r="AC75" s="62">
        <v>224</v>
      </c>
      <c r="AD75" s="56">
        <v>21</v>
      </c>
      <c r="AE75" s="56">
        <v>74</v>
      </c>
      <c r="AF75" s="62">
        <v>95</v>
      </c>
      <c r="AG75" s="353">
        <f t="shared" si="9"/>
        <v>2.357894736842105</v>
      </c>
      <c r="AH75" s="217">
        <v>42194</v>
      </c>
      <c r="AI75" s="56">
        <v>97</v>
      </c>
      <c r="AJ75" s="56">
        <v>400</v>
      </c>
      <c r="AK75" s="62">
        <v>497</v>
      </c>
      <c r="AL75" s="56">
        <v>44</v>
      </c>
      <c r="AM75" s="56">
        <v>150</v>
      </c>
      <c r="AN75" s="62">
        <v>194</v>
      </c>
      <c r="AO75" s="353">
        <f t="shared" si="17"/>
        <v>2.5618556701030926</v>
      </c>
      <c r="AP75" s="344">
        <f>44262*0.095</f>
        <v>4204.8900000000003</v>
      </c>
      <c r="AQ75" s="161">
        <f t="shared" si="30"/>
        <v>597.09438</v>
      </c>
      <c r="AR75" s="161">
        <f t="shared" si="28"/>
        <v>188.68242117438001</v>
      </c>
      <c r="AS75" s="161">
        <f t="shared" si="29"/>
        <v>76.644825899940003</v>
      </c>
      <c r="AT75" s="211">
        <f t="shared" si="10"/>
        <v>265.32724707431998</v>
      </c>
      <c r="AU75" s="217">
        <v>42193</v>
      </c>
      <c r="AV75" s="56">
        <v>62</v>
      </c>
      <c r="AW75" s="56">
        <v>250</v>
      </c>
      <c r="AX75" s="349">
        <v>312</v>
      </c>
      <c r="AY75" s="217">
        <v>42193</v>
      </c>
      <c r="AZ75" s="56">
        <v>2.2999999999999998</v>
      </c>
      <c r="BA75" s="56">
        <v>10</v>
      </c>
      <c r="BB75" s="225">
        <v>12.3</v>
      </c>
      <c r="BC75" s="198">
        <f t="shared" si="22"/>
        <v>5.4898634699038621E-60</v>
      </c>
      <c r="BD75" s="148">
        <f t="shared" si="23"/>
        <v>0.23381711468948604</v>
      </c>
      <c r="BE75" s="148">
        <f t="shared" si="24"/>
        <v>0.90515248224038469</v>
      </c>
      <c r="BF75" s="148">
        <f t="shared" si="11"/>
        <v>1.1389695969298708</v>
      </c>
      <c r="BG75" s="147">
        <f t="shared" si="25"/>
        <v>2847.4239923246769</v>
      </c>
      <c r="BH75" s="147">
        <f t="shared" si="26"/>
        <v>116.90855734474302</v>
      </c>
      <c r="BI75" s="147">
        <f t="shared" si="27"/>
        <v>452.57624112019232</v>
      </c>
      <c r="BK75" s="55"/>
      <c r="BL75" s="234"/>
      <c r="BM75" s="207"/>
      <c r="BN75" s="55"/>
      <c r="BO75" s="55"/>
      <c r="BP75" s="55"/>
      <c r="BQ75" s="55"/>
      <c r="BR75" s="55"/>
      <c r="BS75" s="55"/>
      <c r="BT75" s="55"/>
      <c r="BU75" s="55"/>
      <c r="BW75" s="147">
        <f ca="1">(AT75+BK75)*BH75/(BH75+BI75)*2.71828^(-0.69315/半Cs134*(NOW()-R75)/365.25)+(AT75+BK75)*BI75/(BH75+BI75)*2.71828^(-0.69315/半Cs137*(NOW()-R75)/365.25)</f>
        <v>202.69154975724231</v>
      </c>
      <c r="BX75" s="147">
        <f ca="1">(AT75)*BH75/(BH75+BI75)*2.71828^(-0.69315/半Cs134*(NOW()-R75)/365.25)+(AT75)*BI75/(BH75+BI75)*2.71828^(-0.69315/半Cs137*(NOW()-R75)/365.25)</f>
        <v>202.69154975724231</v>
      </c>
    </row>
    <row r="76" spans="1:76" ht="9.9499999999999993" customHeight="1" x14ac:dyDescent="0.15">
      <c r="A76" s="9"/>
      <c r="R76" s="191">
        <v>42231</v>
      </c>
      <c r="S76" s="65"/>
      <c r="T76" s="56"/>
      <c r="U76" s="56"/>
      <c r="V76" s="222">
        <f t="shared" si="7"/>
        <v>175</v>
      </c>
      <c r="W76" s="56"/>
      <c r="X76" s="56"/>
      <c r="Y76" s="348">
        <f t="shared" si="8"/>
        <v>84</v>
      </c>
      <c r="Z76" s="217">
        <v>42237</v>
      </c>
      <c r="AA76" s="56">
        <v>35</v>
      </c>
      <c r="AB76" s="56">
        <v>140</v>
      </c>
      <c r="AC76" s="62">
        <v>175</v>
      </c>
      <c r="AD76" s="56">
        <v>16</v>
      </c>
      <c r="AE76" s="56">
        <v>68</v>
      </c>
      <c r="AF76" s="62">
        <v>84</v>
      </c>
      <c r="AG76" s="353">
        <f t="shared" si="9"/>
        <v>2.0833333333333335</v>
      </c>
      <c r="AH76" s="217">
        <v>42223</v>
      </c>
      <c r="AI76" s="56">
        <v>62</v>
      </c>
      <c r="AJ76" s="56">
        <v>250</v>
      </c>
      <c r="AK76" s="62">
        <v>312</v>
      </c>
      <c r="AL76" s="56">
        <v>18</v>
      </c>
      <c r="AM76" s="56">
        <v>84</v>
      </c>
      <c r="AN76" s="62">
        <v>102</v>
      </c>
      <c r="AO76" s="353">
        <f t="shared" si="17"/>
        <v>3.0588235294117645</v>
      </c>
      <c r="AP76" s="344">
        <f>44262*0.098</f>
        <v>4337.6760000000004</v>
      </c>
      <c r="AQ76" s="161">
        <f t="shared" si="30"/>
        <v>615.94999199999995</v>
      </c>
      <c r="AR76" s="161">
        <f t="shared" si="28"/>
        <v>136.22904378064797</v>
      </c>
      <c r="AS76" s="161">
        <f t="shared" si="29"/>
        <v>55.476151979471993</v>
      </c>
      <c r="AT76" s="211">
        <f t="shared" si="10"/>
        <v>191.70519576011998</v>
      </c>
      <c r="AU76" s="217">
        <v>42236</v>
      </c>
      <c r="AV76" s="56">
        <v>78</v>
      </c>
      <c r="AW76" s="56">
        <v>310</v>
      </c>
      <c r="AX76" s="349">
        <v>388</v>
      </c>
      <c r="AY76" s="217">
        <v>42236</v>
      </c>
      <c r="AZ76" s="56">
        <v>2.7</v>
      </c>
      <c r="BA76" s="56">
        <v>12</v>
      </c>
      <c r="BB76" s="225">
        <v>14.7</v>
      </c>
      <c r="BC76" s="198">
        <f t="shared" si="22"/>
        <v>1.3358449821892158E-61</v>
      </c>
      <c r="BD76" s="148">
        <f t="shared" si="23"/>
        <v>0.22474460108998923</v>
      </c>
      <c r="BE76" s="148">
        <f t="shared" si="24"/>
        <v>0.90269944392123702</v>
      </c>
      <c r="BF76" s="148">
        <f t="shared" si="11"/>
        <v>1.1274440450112262</v>
      </c>
      <c r="BG76" s="147">
        <f t="shared" si="25"/>
        <v>2818.6101125280657</v>
      </c>
      <c r="BH76" s="147">
        <f t="shared" si="26"/>
        <v>112.37230054499462</v>
      </c>
      <c r="BI76" s="147">
        <f t="shared" si="27"/>
        <v>451.34972196061852</v>
      </c>
      <c r="BK76" s="55"/>
      <c r="BL76" s="234"/>
      <c r="BM76" s="207"/>
      <c r="BN76" s="55"/>
      <c r="BO76" s="55"/>
      <c r="BP76" s="55"/>
      <c r="BQ76" s="55"/>
      <c r="BR76" s="55"/>
      <c r="BS76" s="55"/>
      <c r="BT76" s="55"/>
      <c r="BU76" s="55"/>
      <c r="BW76" s="147">
        <f ca="1">(AT76+BK76)*BH76/(BH76+BI76)*2.71828^(-0.69315/半Cs134*(NOW()-R76)/365.25)+(AT76+BK76)*BI76/(BH76+BI76)*2.71828^(-0.69315/半Cs137*(NOW()-R76)/365.25)</f>
        <v>147.74277290637184</v>
      </c>
      <c r="BX76" s="147">
        <f ca="1">(AT76)*BH76/(BH76+BI76)*2.71828^(-0.69315/半Cs134*(NOW()-R76)/365.25)+(AT76)*BI76/(BH76+BI76)*2.71828^(-0.69315/半Cs137*(NOW()-R76)/365.25)</f>
        <v>147.74277290637184</v>
      </c>
    </row>
    <row r="77" spans="1:76" ht="9.9499999999999993" customHeight="1" x14ac:dyDescent="0.15">
      <c r="A77" s="9"/>
      <c r="R77" s="191">
        <v>42262</v>
      </c>
      <c r="S77" s="65"/>
      <c r="T77" s="56"/>
      <c r="U77" s="56"/>
      <c r="V77" s="222">
        <f t="shared" si="7"/>
        <v>149</v>
      </c>
      <c r="W77" s="56"/>
      <c r="X77" s="56"/>
      <c r="Y77" s="348">
        <f t="shared" si="8"/>
        <v>82</v>
      </c>
      <c r="Z77" s="217">
        <v>42256</v>
      </c>
      <c r="AA77" s="56">
        <v>29</v>
      </c>
      <c r="AB77" s="56">
        <v>120</v>
      </c>
      <c r="AC77" s="62">
        <v>149</v>
      </c>
      <c r="AD77" s="56">
        <v>15</v>
      </c>
      <c r="AE77" s="56">
        <v>67</v>
      </c>
      <c r="AF77" s="62">
        <v>82</v>
      </c>
      <c r="AG77" s="353">
        <f t="shared" si="9"/>
        <v>1.8170731707317074</v>
      </c>
      <c r="AH77" s="217">
        <v>42257</v>
      </c>
      <c r="AI77" s="56">
        <v>76</v>
      </c>
      <c r="AJ77" s="56">
        <v>330</v>
      </c>
      <c r="AK77" s="62">
        <v>406</v>
      </c>
      <c r="AL77" s="56">
        <v>30</v>
      </c>
      <c r="AM77" s="56">
        <v>120</v>
      </c>
      <c r="AN77" s="62">
        <v>150</v>
      </c>
      <c r="AO77" s="353">
        <f t="shared" si="17"/>
        <v>2.7066666666666666</v>
      </c>
      <c r="AP77" s="344">
        <f>44262*0.091</f>
        <v>4027.8420000000001</v>
      </c>
      <c r="AQ77" s="161">
        <f t="shared" si="30"/>
        <v>571.95356399999991</v>
      </c>
      <c r="AR77" s="161">
        <f t="shared" si="28"/>
        <v>134.75740726047596</v>
      </c>
      <c r="AS77" s="161">
        <f t="shared" si="29"/>
        <v>60.007080120623989</v>
      </c>
      <c r="AT77" s="211">
        <f t="shared" si="10"/>
        <v>194.76448738109994</v>
      </c>
      <c r="AU77" s="217">
        <v>42264</v>
      </c>
      <c r="AV77" s="56">
        <v>59</v>
      </c>
      <c r="AW77" s="56">
        <v>240</v>
      </c>
      <c r="AX77" s="349">
        <v>299</v>
      </c>
      <c r="AY77" s="217">
        <v>42263</v>
      </c>
      <c r="AZ77" s="56">
        <v>1.8</v>
      </c>
      <c r="BA77" s="56">
        <v>8.6</v>
      </c>
      <c r="BB77" s="225">
        <v>10.4</v>
      </c>
      <c r="BC77" s="198">
        <f t="shared" si="22"/>
        <v>1.2954967958672721E-62</v>
      </c>
      <c r="BD77" s="148">
        <f t="shared" si="23"/>
        <v>0.21922870180708612</v>
      </c>
      <c r="BE77" s="148">
        <f t="shared" si="24"/>
        <v>0.90116256286441121</v>
      </c>
      <c r="BF77" s="148">
        <f t="shared" si="11"/>
        <v>1.1203912646714973</v>
      </c>
      <c r="BG77" s="147">
        <f t="shared" si="25"/>
        <v>2800.9781616787432</v>
      </c>
      <c r="BH77" s="147">
        <f t="shared" si="26"/>
        <v>109.61435090354306</v>
      </c>
      <c r="BI77" s="147">
        <f t="shared" si="27"/>
        <v>450.58128143220563</v>
      </c>
      <c r="BK77" s="55"/>
      <c r="BL77" s="234"/>
      <c r="BM77" s="207"/>
      <c r="BN77" s="55"/>
      <c r="BO77" s="55"/>
      <c r="BP77" s="55"/>
      <c r="BQ77" s="55"/>
      <c r="BR77" s="55"/>
      <c r="BS77" s="55"/>
      <c r="BT77" s="55"/>
      <c r="BU77" s="55"/>
      <c r="BW77" s="147">
        <f ca="1">(AT77+BK77)*BH77/(BH77+BI77)*2.71828^(-0.69315/半Cs134*(NOW()-R77)/365.25)+(AT77+BK77)*BI77/(BH77+BI77)*2.71828^(-0.69315/半Cs137*(NOW()-R77)/365.25)</f>
        <v>151.11467772253468</v>
      </c>
      <c r="BX77" s="147">
        <f ca="1">(AT77)*BH77/(BH77+BI77)*2.71828^(-0.69315/半Cs134*(NOW()-R77)/365.25)+(AT77)*BI77/(BH77+BI77)*2.71828^(-0.69315/半Cs137*(NOW()-R77)/365.25)</f>
        <v>151.11467772253468</v>
      </c>
    </row>
    <row r="78" spans="1:76" ht="9.9499999999999993" customHeight="1" x14ac:dyDescent="0.15">
      <c r="A78" s="9"/>
      <c r="R78" s="191">
        <v>42292</v>
      </c>
      <c r="S78" s="65"/>
      <c r="T78" s="56"/>
      <c r="U78" s="56"/>
      <c r="V78" s="222">
        <f t="shared" si="7"/>
        <v>220</v>
      </c>
      <c r="W78" s="56"/>
      <c r="X78" s="56"/>
      <c r="Y78" s="348">
        <f t="shared" si="8"/>
        <v>78</v>
      </c>
      <c r="Z78" s="217">
        <v>42293</v>
      </c>
      <c r="AA78" s="56">
        <v>40</v>
      </c>
      <c r="AB78" s="56">
        <v>180</v>
      </c>
      <c r="AC78" s="62">
        <v>220</v>
      </c>
      <c r="AD78" s="56">
        <v>13</v>
      </c>
      <c r="AE78" s="56">
        <v>65</v>
      </c>
      <c r="AF78" s="62">
        <v>78</v>
      </c>
      <c r="AG78" s="353">
        <f t="shared" si="9"/>
        <v>2.8205128205128207</v>
      </c>
      <c r="AH78" s="217">
        <v>42292</v>
      </c>
      <c r="AI78" s="56">
        <v>64</v>
      </c>
      <c r="AJ78" s="56">
        <v>280</v>
      </c>
      <c r="AK78" s="62">
        <v>344</v>
      </c>
      <c r="AL78" s="56">
        <v>16</v>
      </c>
      <c r="AM78" s="56">
        <v>67</v>
      </c>
      <c r="AN78" s="62">
        <v>83</v>
      </c>
      <c r="AO78" s="353">
        <f t="shared" si="17"/>
        <v>4.1445783132530121</v>
      </c>
      <c r="AP78" s="344">
        <f>44262*0.094</f>
        <v>4160.6279999999997</v>
      </c>
      <c r="AQ78" s="161">
        <f t="shared" si="30"/>
        <v>590.80917599999987</v>
      </c>
      <c r="AR78" s="161">
        <f t="shared" si="28"/>
        <v>154.66675256668796</v>
      </c>
      <c r="AS78" s="161">
        <f t="shared" si="29"/>
        <v>47.078629189559983</v>
      </c>
      <c r="AT78" s="211">
        <f t="shared" si="10"/>
        <v>201.74538175624795</v>
      </c>
      <c r="AU78" s="217">
        <v>42291</v>
      </c>
      <c r="AV78" s="56">
        <v>58</v>
      </c>
      <c r="AW78" s="56">
        <v>260</v>
      </c>
      <c r="AX78" s="349">
        <v>318</v>
      </c>
      <c r="AY78" s="217">
        <v>42290</v>
      </c>
      <c r="AZ78" s="56">
        <v>1</v>
      </c>
      <c r="BA78" s="56">
        <v>4.2</v>
      </c>
      <c r="BB78" s="225">
        <v>5.2</v>
      </c>
      <c r="BC78" s="198">
        <f t="shared" si="22"/>
        <v>1.2563672959657377E-63</v>
      </c>
      <c r="BD78" s="148">
        <f t="shared" si="23"/>
        <v>0.21384817905715228</v>
      </c>
      <c r="BE78" s="148">
        <f t="shared" si="24"/>
        <v>0.89962829840760505</v>
      </c>
      <c r="BF78" s="148">
        <f t="shared" si="11"/>
        <v>1.1134764774647574</v>
      </c>
      <c r="BG78" s="147">
        <f t="shared" si="25"/>
        <v>2783.6911936618935</v>
      </c>
      <c r="BH78" s="147">
        <f t="shared" si="26"/>
        <v>106.92408952857615</v>
      </c>
      <c r="BI78" s="147">
        <f t="shared" si="27"/>
        <v>449.81414920380251</v>
      </c>
      <c r="BK78" s="55"/>
      <c r="BL78" s="234"/>
      <c r="BM78" s="207"/>
      <c r="BN78" s="55"/>
      <c r="BO78" s="55"/>
      <c r="BP78" s="55"/>
      <c r="BQ78" s="55"/>
      <c r="BR78" s="55"/>
      <c r="BS78" s="55"/>
      <c r="BT78" s="55"/>
      <c r="BU78" s="55"/>
      <c r="BW78" s="147">
        <f ca="1">(AT78+BK78)*BH78/(BH78+BI78)*2.71828^(-0.69315/半Cs134*(NOW()-R78)/365.25)+(AT78+BK78)*BI78/(BH78+BI78)*2.71828^(-0.69315/半Cs137*(NOW()-R78)/365.25)</f>
        <v>157.55738349062392</v>
      </c>
      <c r="BX78" s="147">
        <f ca="1">(AT78)*BH78/(BH78+BI78)*2.71828^(-0.69315/半Cs134*(NOW()-R78)/365.25)+(AT78)*BI78/(BH78+BI78)*2.71828^(-0.69315/半Cs137*(NOW()-R78)/365.25)</f>
        <v>157.55738349062392</v>
      </c>
    </row>
    <row r="79" spans="1:76" ht="9.9499999999999993" customHeight="1" x14ac:dyDescent="0.15">
      <c r="A79" s="9"/>
      <c r="R79" s="191">
        <v>42323</v>
      </c>
      <c r="S79" s="65"/>
      <c r="T79" s="56"/>
      <c r="U79" s="56"/>
      <c r="V79" s="222">
        <f t="shared" si="7"/>
        <v>135</v>
      </c>
      <c r="W79" s="56"/>
      <c r="X79" s="56"/>
      <c r="Y79" s="348">
        <f t="shared" si="8"/>
        <v>62</v>
      </c>
      <c r="Z79" s="217">
        <v>42312</v>
      </c>
      <c r="AA79" s="56">
        <v>25</v>
      </c>
      <c r="AB79" s="56">
        <v>110</v>
      </c>
      <c r="AC79" s="62">
        <v>135</v>
      </c>
      <c r="AD79" s="56">
        <v>11</v>
      </c>
      <c r="AE79" s="56">
        <v>51</v>
      </c>
      <c r="AF79" s="62">
        <v>62</v>
      </c>
      <c r="AG79" s="353">
        <f t="shared" si="9"/>
        <v>2.1774193548387095</v>
      </c>
      <c r="AH79" s="217">
        <v>42313</v>
      </c>
      <c r="AI79" s="56">
        <v>61</v>
      </c>
      <c r="AJ79" s="56">
        <v>250</v>
      </c>
      <c r="AK79" s="62">
        <v>311</v>
      </c>
      <c r="AL79" s="56">
        <v>11</v>
      </c>
      <c r="AM79" s="56">
        <v>55</v>
      </c>
      <c r="AN79" s="62">
        <v>66</v>
      </c>
      <c r="AO79" s="353">
        <f t="shared" si="17"/>
        <v>4.7121212121212119</v>
      </c>
      <c r="AP79" s="344">
        <f>44262*0.083</f>
        <v>3673.7460000000001</v>
      </c>
      <c r="AQ79" s="161">
        <f t="shared" si="30"/>
        <v>521.67193199999997</v>
      </c>
      <c r="AR79" s="161">
        <f t="shared" si="28"/>
        <v>101.367116450784</v>
      </c>
      <c r="AS79" s="161">
        <f t="shared" si="29"/>
        <v>33.046873548336002</v>
      </c>
      <c r="AT79" s="211">
        <f t="shared" si="10"/>
        <v>134.41398999911999</v>
      </c>
      <c r="AU79" s="217">
        <v>42319</v>
      </c>
      <c r="AV79" s="56">
        <v>32</v>
      </c>
      <c r="AW79" s="56">
        <v>150</v>
      </c>
      <c r="AX79" s="349">
        <v>182</v>
      </c>
      <c r="AY79" s="217">
        <v>42314</v>
      </c>
      <c r="AZ79" s="56">
        <v>0.95</v>
      </c>
      <c r="BA79" s="56">
        <v>4.0999999999999996</v>
      </c>
      <c r="BB79" s="225">
        <v>5.05</v>
      </c>
      <c r="BC79" s="198">
        <f t="shared" si="22"/>
        <v>1.5790212791419023E-64</v>
      </c>
      <c r="BD79" s="148">
        <f t="shared" si="23"/>
        <v>0.20917645377504857</v>
      </c>
      <c r="BE79" s="148">
        <f t="shared" si="24"/>
        <v>0.89826670082965976</v>
      </c>
      <c r="BF79" s="148">
        <f t="shared" si="11"/>
        <v>1.1074431546047083</v>
      </c>
      <c r="BG79" s="147">
        <f t="shared" si="25"/>
        <v>2768.6078865117706</v>
      </c>
      <c r="BH79" s="147">
        <f t="shared" si="26"/>
        <v>104.58822688752429</v>
      </c>
      <c r="BI79" s="147">
        <f t="shared" si="27"/>
        <v>449.13335041482986</v>
      </c>
      <c r="BK79" s="55"/>
      <c r="BL79" s="234"/>
      <c r="BM79" s="207"/>
      <c r="BN79" s="55"/>
      <c r="BO79" s="55"/>
      <c r="BP79" s="55"/>
      <c r="BQ79" s="55"/>
      <c r="BR79" s="55"/>
      <c r="BS79" s="55"/>
      <c r="BT79" s="55"/>
      <c r="BU79" s="55"/>
      <c r="BW79" s="147">
        <f ca="1">(AT79+BK79)*BH79/(BH79+BI79)*2.71828^(-0.69315/半Cs134*(NOW()-R79)/365.25)+(AT79+BK79)*BI79/(BH79+BI79)*2.71828^(-0.69315/半Cs137*(NOW()-R79)/365.25)</f>
        <v>105.63041070772084</v>
      </c>
      <c r="BX79" s="147">
        <f ca="1">(AT79)*BH79/(BH79+BI79)*2.71828^(-0.69315/半Cs134*(NOW()-R79)/365.25)+(AT79)*BI79/(BH79+BI79)*2.71828^(-0.69315/半Cs137*(NOW()-R79)/365.25)</f>
        <v>105.63041070772084</v>
      </c>
    </row>
    <row r="80" spans="1:76" ht="9.9499999999999993" customHeight="1" x14ac:dyDescent="0.15">
      <c r="A80" s="9"/>
      <c r="R80" s="191">
        <v>42353</v>
      </c>
      <c r="S80" s="65"/>
      <c r="T80" s="56"/>
      <c r="U80" s="56"/>
      <c r="V80" s="222">
        <f t="shared" si="7"/>
        <v>162</v>
      </c>
      <c r="W80" s="56"/>
      <c r="X80" s="56"/>
      <c r="Y80" s="348">
        <f t="shared" si="8"/>
        <v>70</v>
      </c>
      <c r="Z80" s="217">
        <v>42342</v>
      </c>
      <c r="AA80" s="56">
        <v>32</v>
      </c>
      <c r="AB80" s="56">
        <v>130</v>
      </c>
      <c r="AC80" s="62">
        <v>162</v>
      </c>
      <c r="AD80" s="56">
        <v>13</v>
      </c>
      <c r="AE80" s="56">
        <v>57</v>
      </c>
      <c r="AF80" s="62">
        <v>70</v>
      </c>
      <c r="AG80" s="353">
        <f t="shared" si="9"/>
        <v>2.3142857142857145</v>
      </c>
      <c r="AH80" s="217">
        <v>42348</v>
      </c>
      <c r="AI80" s="56">
        <v>53</v>
      </c>
      <c r="AJ80" s="56">
        <v>240</v>
      </c>
      <c r="AK80" s="62">
        <v>293</v>
      </c>
      <c r="AL80" s="56">
        <v>12</v>
      </c>
      <c r="AM80" s="56">
        <v>61</v>
      </c>
      <c r="AN80" s="62">
        <v>73</v>
      </c>
      <c r="AO80" s="353">
        <f t="shared" si="17"/>
        <v>4.0136986301369859</v>
      </c>
      <c r="AP80" s="344">
        <f>44262*0.08</f>
        <v>3540.96</v>
      </c>
      <c r="AQ80" s="161">
        <f t="shared" si="30"/>
        <v>502.81631999999996</v>
      </c>
      <c r="AR80" s="161">
        <f t="shared" si="28"/>
        <v>103.65407591904</v>
      </c>
      <c r="AS80" s="161">
        <f t="shared" si="29"/>
        <v>35.705489699520001</v>
      </c>
      <c r="AT80" s="211">
        <f t="shared" si="10"/>
        <v>139.35956561856</v>
      </c>
      <c r="AU80" s="217">
        <v>42347</v>
      </c>
      <c r="AV80" s="56">
        <v>40</v>
      </c>
      <c r="AW80" s="56">
        <v>200</v>
      </c>
      <c r="AX80" s="349">
        <v>240</v>
      </c>
      <c r="AY80" s="217">
        <v>42347</v>
      </c>
      <c r="AZ80" s="56">
        <v>1.3</v>
      </c>
      <c r="BA80" s="56">
        <v>5.4</v>
      </c>
      <c r="BB80" s="225">
        <v>6.7</v>
      </c>
      <c r="BC80" s="198">
        <f t="shared" si="22"/>
        <v>9.1177168760207166E-66</v>
      </c>
      <c r="BD80" s="148">
        <f t="shared" si="23"/>
        <v>0.20291901722835506</v>
      </c>
      <c r="BE80" s="148">
        <f t="shared" si="24"/>
        <v>0.89639786841228475</v>
      </c>
      <c r="BF80" s="148">
        <f t="shared" si="11"/>
        <v>1.0993168856406399</v>
      </c>
      <c r="BG80" s="147">
        <f t="shared" si="25"/>
        <v>2748.2922141015993</v>
      </c>
      <c r="BH80" s="147">
        <f t="shared" si="26"/>
        <v>101.45950861417754</v>
      </c>
      <c r="BI80" s="147">
        <f t="shared" si="27"/>
        <v>448.19893420614238</v>
      </c>
      <c r="BK80" s="55"/>
      <c r="BL80" s="234"/>
      <c r="BM80" s="207"/>
      <c r="BN80" s="55"/>
      <c r="BO80" s="55"/>
      <c r="BP80" s="55"/>
      <c r="BQ80" s="55"/>
      <c r="BR80" s="55"/>
      <c r="BS80" s="55"/>
      <c r="BT80" s="55"/>
      <c r="BU80" s="55"/>
      <c r="BW80" s="147">
        <f ca="1">(AT80+BK80)*BH80/(BH80+BI80)*2.71828^(-0.69315/半Cs134*(NOW()-R80)/365.25)+(AT80+BK80)*BI80/(BH80+BI80)*2.71828^(-0.69315/半Cs137*(NOW()-R80)/365.25)</f>
        <v>110.28839809338167</v>
      </c>
      <c r="BX80" s="147">
        <f ca="1">(AT80)*BH80/(BH80+BI80)*2.71828^(-0.69315/半Cs134*(NOW()-R80)/365.25)+(AT80)*BI80/(BH80+BI80)*2.71828^(-0.69315/半Cs137*(NOW()-R80)/365.25)</f>
        <v>110.28839809338167</v>
      </c>
    </row>
    <row r="81" spans="1:76" ht="9.9499999999999993" customHeight="1" x14ac:dyDescent="0.15">
      <c r="A81" s="9"/>
      <c r="R81" s="191">
        <v>42384</v>
      </c>
      <c r="S81" s="65">
        <v>42400</v>
      </c>
      <c r="T81" s="56">
        <v>10</v>
      </c>
      <c r="U81" s="56">
        <v>53</v>
      </c>
      <c r="V81" s="62">
        <f>T81+U81</f>
        <v>63</v>
      </c>
      <c r="W81" s="56">
        <v>1.5</v>
      </c>
      <c r="X81" s="56">
        <v>6.3</v>
      </c>
      <c r="Y81" s="349">
        <f>W81+X81</f>
        <v>7.8</v>
      </c>
      <c r="Z81" s="217">
        <v>42375</v>
      </c>
      <c r="AA81" s="56">
        <v>18</v>
      </c>
      <c r="AB81" s="56">
        <v>79</v>
      </c>
      <c r="AC81" s="62">
        <v>97</v>
      </c>
      <c r="AD81" s="56">
        <v>5.2</v>
      </c>
      <c r="AE81" s="56">
        <v>27</v>
      </c>
      <c r="AF81" s="62">
        <v>32.200000000000003</v>
      </c>
      <c r="AG81" s="353">
        <f t="shared" si="9"/>
        <v>3.012422360248447</v>
      </c>
      <c r="AH81" s="217">
        <v>42376</v>
      </c>
      <c r="AI81" s="56">
        <v>34</v>
      </c>
      <c r="AJ81" s="56">
        <v>140</v>
      </c>
      <c r="AK81" s="62">
        <v>174</v>
      </c>
      <c r="AL81" s="56">
        <v>6.7</v>
      </c>
      <c r="AM81" s="56">
        <v>35</v>
      </c>
      <c r="AN81" s="62">
        <v>41.7</v>
      </c>
      <c r="AO81" s="353">
        <f t="shared" si="17"/>
        <v>4.1726618705035969</v>
      </c>
      <c r="AP81" s="344">
        <f>44262*0.072</f>
        <v>3186.8639999999996</v>
      </c>
      <c r="AQ81" s="161">
        <f t="shared" si="30"/>
        <v>452.5346879999999</v>
      </c>
      <c r="AR81" s="161">
        <f t="shared" si="28"/>
        <v>55.638687354911994</v>
      </c>
      <c r="AS81" s="161">
        <f t="shared" si="29"/>
        <v>16.020406757231999</v>
      </c>
      <c r="AT81" s="211">
        <f t="shared" si="10"/>
        <v>71.65909411214399</v>
      </c>
      <c r="AU81" s="217">
        <v>42390</v>
      </c>
      <c r="AV81" s="56">
        <v>46</v>
      </c>
      <c r="AW81" s="56">
        <v>210</v>
      </c>
      <c r="AX81" s="349">
        <v>256</v>
      </c>
      <c r="AY81" s="217">
        <v>42388</v>
      </c>
      <c r="AZ81" s="181">
        <v>0.5</v>
      </c>
      <c r="BA81" s="56">
        <v>2.5</v>
      </c>
      <c r="BB81" s="224">
        <f>AZ81+BA81</f>
        <v>3</v>
      </c>
      <c r="BC81" s="198">
        <f t="shared" si="22"/>
        <v>2.6371895242175721E-67</v>
      </c>
      <c r="BD81" s="148">
        <f t="shared" si="23"/>
        <v>0.1954047505193984</v>
      </c>
      <c r="BE81" s="148">
        <f t="shared" si="24"/>
        <v>0.89408140098134581</v>
      </c>
      <c r="BF81" s="148">
        <f t="shared" si="11"/>
        <v>1.0894861515007441</v>
      </c>
      <c r="BG81" s="147">
        <f t="shared" si="25"/>
        <v>2723.7153787518605</v>
      </c>
      <c r="BH81" s="147">
        <f t="shared" si="26"/>
        <v>97.702375259699195</v>
      </c>
      <c r="BI81" s="147">
        <f t="shared" si="27"/>
        <v>447.04070049067292</v>
      </c>
      <c r="BK81" s="55"/>
      <c r="BL81" s="234"/>
      <c r="BM81" s="207"/>
      <c r="BN81" s="55"/>
      <c r="BO81" s="55"/>
      <c r="BP81" s="55"/>
      <c r="BQ81" s="55"/>
      <c r="BR81" s="55"/>
      <c r="BS81" s="55"/>
      <c r="BT81" s="55"/>
      <c r="BU81" s="55"/>
      <c r="BW81" s="147">
        <f ca="1">(AT81+BK81)*BH81/(BH81+BI81)*2.71828^(-0.69315/半Cs134*(NOW()-R81)/365.25)+(AT81+BK81)*BI81/(BH81+BI81)*2.71828^(-0.69315/半Cs137*(NOW()-R81)/365.25)</f>
        <v>57.156646453781413</v>
      </c>
      <c r="BX81" s="147">
        <f ca="1">(AT81)*BH81/(BH81+BI81)*2.71828^(-0.69315/半Cs134*(NOW()-R81)/365.25)+(AT81)*BI81/(BH81+BI81)*2.71828^(-0.69315/半Cs137*(NOW()-R81)/365.25)</f>
        <v>57.156646453781413</v>
      </c>
    </row>
    <row r="82" spans="1:76" ht="9.9499999999999993" customHeight="1" x14ac:dyDescent="0.15">
      <c r="A82" s="9"/>
      <c r="R82" s="191">
        <v>42415</v>
      </c>
      <c r="S82" s="65">
        <v>42429</v>
      </c>
      <c r="T82" s="56">
        <v>35</v>
      </c>
      <c r="U82" s="56">
        <v>170</v>
      </c>
      <c r="V82" s="62">
        <f t="shared" ref="V82:V119" si="31">T82+U82</f>
        <v>205</v>
      </c>
      <c r="W82" s="56">
        <v>3.9000000000000004</v>
      </c>
      <c r="X82" s="56">
        <v>20.5</v>
      </c>
      <c r="Y82" s="349">
        <f t="shared" ref="Y82:Y119" si="32">W82+X82</f>
        <v>24.4</v>
      </c>
      <c r="Z82" s="217"/>
      <c r="AA82" s="56"/>
      <c r="AB82" s="56"/>
      <c r="AC82" s="62"/>
      <c r="AD82" s="56"/>
      <c r="AE82" s="56"/>
      <c r="AF82" s="62"/>
      <c r="AG82" s="349"/>
      <c r="AH82" s="217">
        <v>42418</v>
      </c>
      <c r="AI82" s="56">
        <v>54</v>
      </c>
      <c r="AJ82" s="56">
        <v>260</v>
      </c>
      <c r="AK82" s="62">
        <v>314</v>
      </c>
      <c r="AL82" s="56">
        <v>15</v>
      </c>
      <c r="AM82" s="56">
        <v>76</v>
      </c>
      <c r="AN82" s="62">
        <v>91</v>
      </c>
      <c r="AO82" s="353">
        <f t="shared" si="17"/>
        <v>3.4505494505494507</v>
      </c>
      <c r="AP82" s="344">
        <f>44262*0.061</f>
        <v>2699.982</v>
      </c>
      <c r="AQ82" s="161">
        <f t="shared" si="30"/>
        <v>383.39744399999995</v>
      </c>
      <c r="AR82" s="161">
        <f>((AQ82*(1-0.337)*V82)+(AQ82*0.337*AK82))/10^3</f>
        <v>92.67981433045199</v>
      </c>
      <c r="AS82" s="161">
        <f>((AQ82*(1-0.337)*Y82)+(AQ82*0.337*AN82))/10^3</f>
        <v>17.959946546224796</v>
      </c>
      <c r="AT82" s="211">
        <f t="shared" si="10"/>
        <v>110.63976087667679</v>
      </c>
      <c r="AU82" s="217">
        <v>42417</v>
      </c>
      <c r="AV82" s="56">
        <v>40</v>
      </c>
      <c r="AW82" s="56">
        <v>200</v>
      </c>
      <c r="AX82" s="349">
        <v>240</v>
      </c>
      <c r="AY82" s="217">
        <v>42417</v>
      </c>
      <c r="AZ82" s="181">
        <v>0.5</v>
      </c>
      <c r="BA82" s="181">
        <v>0.6</v>
      </c>
      <c r="BB82" s="224">
        <f>AZ82+BA82</f>
        <v>1.1000000000000001</v>
      </c>
      <c r="BC82" s="198">
        <f t="shared" si="22"/>
        <v>2.1515968590593463E-68</v>
      </c>
      <c r="BD82" s="148">
        <f t="shared" si="23"/>
        <v>0.19025841105780433</v>
      </c>
      <c r="BE82" s="148">
        <f t="shared" si="24"/>
        <v>0.89244653944403496</v>
      </c>
      <c r="BF82" s="148">
        <f t="shared" si="11"/>
        <v>1.0827049505018393</v>
      </c>
      <c r="BG82" s="147">
        <f t="shared" si="25"/>
        <v>2706.7623762545982</v>
      </c>
      <c r="BH82" s="147">
        <f t="shared" si="26"/>
        <v>95.129205528902162</v>
      </c>
      <c r="BI82" s="147">
        <f t="shared" si="27"/>
        <v>446.22326972201751</v>
      </c>
      <c r="BK82" s="55"/>
      <c r="BL82" s="234"/>
      <c r="BM82" s="207"/>
      <c r="BN82" s="55"/>
      <c r="BO82" s="55"/>
      <c r="BP82" s="55"/>
      <c r="BQ82" s="55"/>
      <c r="BR82" s="55"/>
      <c r="BS82" s="55"/>
      <c r="BT82" s="55"/>
      <c r="BU82" s="55"/>
      <c r="BW82" s="147">
        <f ca="1">(AT82+BK82)*BH82/(BH82+BI82)*2.71828^(-0.69315/半Cs134*(NOW()-R82)/365.25)+(AT82+BK82)*BI82/(BH82+BI82)*2.71828^(-0.69315/半Cs137*(NOW()-R82)/365.25)</f>
        <v>88.821450694692516</v>
      </c>
      <c r="BX82" s="147">
        <f ca="1">(AT82)*BH82/(BH82+BI82)*2.71828^(-0.69315/半Cs134*(NOW()-R82)/365.25)+(AT82)*BI82/(BH82+BI82)*2.71828^(-0.69315/半Cs137*(NOW()-R82)/365.25)</f>
        <v>88.821450694692516</v>
      </c>
    </row>
    <row r="83" spans="1:76" ht="9.9499999999999993" customHeight="1" x14ac:dyDescent="0.15">
      <c r="A83" s="9"/>
      <c r="R83" s="191">
        <v>42444</v>
      </c>
      <c r="S83" s="65">
        <v>42455</v>
      </c>
      <c r="T83" s="56">
        <v>62</v>
      </c>
      <c r="U83" s="56">
        <v>300</v>
      </c>
      <c r="V83" s="62">
        <f t="shared" si="31"/>
        <v>362</v>
      </c>
      <c r="W83" s="56">
        <v>6.9</v>
      </c>
      <c r="X83" s="56">
        <v>18.5</v>
      </c>
      <c r="Y83" s="349">
        <f t="shared" si="32"/>
        <v>25.4</v>
      </c>
      <c r="Z83" s="217"/>
      <c r="AA83" s="56"/>
      <c r="AB83" s="56"/>
      <c r="AC83" s="62"/>
      <c r="AD83" s="56"/>
      <c r="AE83" s="56"/>
      <c r="AF83" s="62"/>
      <c r="AG83" s="349"/>
      <c r="AH83" s="217">
        <v>42446</v>
      </c>
      <c r="AI83" s="56">
        <v>56</v>
      </c>
      <c r="AJ83" s="56">
        <v>280</v>
      </c>
      <c r="AK83" s="62">
        <v>336</v>
      </c>
      <c r="AL83" s="56">
        <v>11</v>
      </c>
      <c r="AM83" s="56">
        <v>57</v>
      </c>
      <c r="AN83" s="62">
        <v>68</v>
      </c>
      <c r="AO83" s="353">
        <f t="shared" si="17"/>
        <v>4.9411764705882355</v>
      </c>
      <c r="AP83" s="344">
        <f>44262*0.074</f>
        <v>3275.3879999999999</v>
      </c>
      <c r="AQ83" s="161">
        <f t="shared" si="30"/>
        <v>465.10509599999995</v>
      </c>
      <c r="AR83" s="161">
        <f>((AQ83*(1-0.337)*V83)+(AQ83*0.337*AK83))/10^3</f>
        <v>164.29279390084798</v>
      </c>
      <c r="AS83" s="161">
        <f>((AQ83*(1-0.337)*Y83)+(AQ83*0.337*AN83))/10^3</f>
        <v>18.490811217595198</v>
      </c>
      <c r="AT83" s="211">
        <f t="shared" si="10"/>
        <v>182.78360511844318</v>
      </c>
      <c r="AU83" s="217">
        <v>42454</v>
      </c>
      <c r="AV83" s="56">
        <v>51</v>
      </c>
      <c r="AW83" s="56">
        <v>260</v>
      </c>
      <c r="AX83" s="349">
        <v>311</v>
      </c>
      <c r="AY83" s="217">
        <v>42431</v>
      </c>
      <c r="AZ83" s="56">
        <v>0.86</v>
      </c>
      <c r="BA83" s="56">
        <v>4.3</v>
      </c>
      <c r="BB83" s="225">
        <v>5.16</v>
      </c>
      <c r="BC83" s="198">
        <f t="shared" si="22"/>
        <v>6.417056475667874E-69</v>
      </c>
      <c r="BD83" s="148">
        <f t="shared" si="23"/>
        <v>0.18782270393205655</v>
      </c>
      <c r="BE83" s="148">
        <f t="shared" si="24"/>
        <v>0.89165836621087702</v>
      </c>
      <c r="BF83" s="148">
        <f t="shared" si="11"/>
        <v>1.0794810701429336</v>
      </c>
      <c r="BG83" s="147">
        <f t="shared" si="25"/>
        <v>2698.7026753573341</v>
      </c>
      <c r="BH83" s="147">
        <f t="shared" si="26"/>
        <v>93.911351966028278</v>
      </c>
      <c r="BI83" s="147">
        <f t="shared" si="27"/>
        <v>445.82918310543852</v>
      </c>
      <c r="BK83" s="55"/>
      <c r="BL83" s="234"/>
      <c r="BM83" s="207"/>
      <c r="BN83" s="55"/>
      <c r="BO83" s="55"/>
      <c r="BP83" s="55"/>
      <c r="BQ83" s="55"/>
      <c r="BR83" s="55"/>
      <c r="BS83" s="55"/>
      <c r="BT83" s="55"/>
      <c r="BU83" s="55"/>
      <c r="BW83" s="147">
        <f ca="1">(AT83+BK83)*BH83/(BH83+BI83)*2.71828^(-0.69315/半Cs134*(NOW()-R83)/365.25)+(AT83+BK83)*BI83/(BH83+BI83)*2.71828^(-0.69315/半Cs137*(NOW()-R83)/365.25)</f>
        <v>147.43085841704396</v>
      </c>
      <c r="BX83" s="147">
        <f ca="1">(AT83)*BH83/(BH83+BI83)*2.71828^(-0.69315/半Cs134*(NOW()-R83)/365.25)+(AT83)*BI83/(BH83+BI83)*2.71828^(-0.69315/半Cs137*(NOW()-R83)/365.25)</f>
        <v>147.43085841704396</v>
      </c>
    </row>
    <row r="84" spans="1:76" ht="9.9499999999999993" customHeight="1" x14ac:dyDescent="0.15">
      <c r="A84" s="9"/>
      <c r="R84" s="191">
        <v>42475</v>
      </c>
      <c r="S84" s="65">
        <v>42482</v>
      </c>
      <c r="T84" s="56">
        <v>90</v>
      </c>
      <c r="U84" s="56">
        <v>450</v>
      </c>
      <c r="V84" s="62">
        <f t="shared" si="31"/>
        <v>540</v>
      </c>
      <c r="W84" s="56">
        <v>14</v>
      </c>
      <c r="X84" s="56">
        <v>72</v>
      </c>
      <c r="Y84" s="349">
        <f t="shared" si="32"/>
        <v>86</v>
      </c>
      <c r="Z84" s="217"/>
      <c r="AA84" s="56"/>
      <c r="AB84" s="56"/>
      <c r="AC84" s="62"/>
      <c r="AD84" s="56"/>
      <c r="AE84" s="56"/>
      <c r="AF84" s="62"/>
      <c r="AG84" s="349"/>
      <c r="AH84" s="217"/>
      <c r="AI84" s="56"/>
      <c r="AJ84" s="56"/>
      <c r="AK84" s="62"/>
      <c r="AL84" s="56"/>
      <c r="AM84" s="56"/>
      <c r="AN84" s="62"/>
      <c r="AO84" s="349"/>
      <c r="AP84" s="344">
        <f>44194*0.077</f>
        <v>3402.9380000000001</v>
      </c>
      <c r="AQ84" s="161">
        <f>AP84*0.119</f>
        <v>404.94962199999998</v>
      </c>
      <c r="AR84" s="161">
        <f t="shared" ref="AR84:AR119" si="33">AQ84*1*V84/10^3</f>
        <v>218.67279588</v>
      </c>
      <c r="AS84" s="161">
        <f t="shared" ref="AS84:AS119" si="34">AQ84*1*Y84/10^3</f>
        <v>34.825667492000001</v>
      </c>
      <c r="AT84" s="211">
        <f t="shared" si="10"/>
        <v>253.498463372</v>
      </c>
      <c r="AU84" s="217">
        <v>42482</v>
      </c>
      <c r="AV84" s="56">
        <v>100</v>
      </c>
      <c r="AW84" s="56">
        <v>500</v>
      </c>
      <c r="AX84" s="349">
        <v>600</v>
      </c>
      <c r="AY84" s="217">
        <v>42485</v>
      </c>
      <c r="AZ84" s="56">
        <v>1.1000000000000001</v>
      </c>
      <c r="BA84" s="56">
        <v>6.6</v>
      </c>
      <c r="BB84" s="225">
        <v>7.7</v>
      </c>
      <c r="BC84" s="198">
        <f t="shared" si="22"/>
        <v>6.0352660674607437E-71</v>
      </c>
      <c r="BD84" s="148">
        <f t="shared" si="23"/>
        <v>0.17871638752015398</v>
      </c>
      <c r="BE84" s="148">
        <f t="shared" si="24"/>
        <v>0.88862478442513282</v>
      </c>
      <c r="BF84" s="148">
        <f t="shared" si="11"/>
        <v>1.0673411719452868</v>
      </c>
      <c r="BG84" s="147">
        <f t="shared" si="25"/>
        <v>2668.352929863217</v>
      </c>
      <c r="BH84" s="147">
        <f t="shared" si="26"/>
        <v>89.358193760076986</v>
      </c>
      <c r="BI84" s="147">
        <f t="shared" si="27"/>
        <v>444.31239221256641</v>
      </c>
      <c r="BK84" s="55"/>
      <c r="BL84" s="234"/>
      <c r="BM84" s="207"/>
      <c r="BN84" s="55"/>
      <c r="BO84" s="55"/>
      <c r="BP84" s="55"/>
      <c r="BQ84" s="55"/>
      <c r="BR84" s="55"/>
      <c r="BS84" s="55"/>
      <c r="BT84" s="55"/>
      <c r="BU84" s="55"/>
      <c r="BW84" s="147">
        <f ca="1">(AT84+BK84)*BH84/(BH84+BI84)*2.71828^(-0.69315/半Cs134*(NOW()-R84)/365.25)+(AT84+BK84)*BI84/(BH84+BI84)*2.71828^(-0.69315/半Cs137*(NOW()-R84)/365.25)</f>
        <v>206.24849742066175</v>
      </c>
      <c r="BX84" s="147">
        <f ca="1">(AT84)*BH84/(BH84+BI84)*2.71828^(-0.69315/半Cs134*(NOW()-R84)/365.25)+(AT84)*BI84/(BH84+BI84)*2.71828^(-0.69315/半Cs137*(NOW()-R84)/365.25)</f>
        <v>206.24849742066175</v>
      </c>
    </row>
    <row r="85" spans="1:76" ht="9.9499999999999993" customHeight="1" x14ac:dyDescent="0.15">
      <c r="A85" s="9"/>
      <c r="R85" s="191">
        <v>42505</v>
      </c>
      <c r="S85" s="65">
        <v>42503</v>
      </c>
      <c r="T85" s="56">
        <v>110</v>
      </c>
      <c r="U85" s="56">
        <v>570</v>
      </c>
      <c r="V85" s="62">
        <f t="shared" si="31"/>
        <v>680</v>
      </c>
      <c r="W85" s="56">
        <v>15</v>
      </c>
      <c r="X85" s="56">
        <v>84</v>
      </c>
      <c r="Y85" s="349">
        <f t="shared" si="32"/>
        <v>99</v>
      </c>
      <c r="Z85" s="217"/>
      <c r="AA85" s="56"/>
      <c r="AB85" s="56"/>
      <c r="AC85" s="62"/>
      <c r="AD85" s="56"/>
      <c r="AE85" s="56"/>
      <c r="AF85" s="62"/>
      <c r="AG85" s="349"/>
      <c r="AH85" s="217"/>
      <c r="AI85" s="56"/>
      <c r="AJ85" s="56"/>
      <c r="AK85" s="62"/>
      <c r="AL85" s="56"/>
      <c r="AM85" s="56"/>
      <c r="AN85" s="62"/>
      <c r="AO85" s="349"/>
      <c r="AP85" s="344">
        <f>44194*0.086</f>
        <v>3800.6839999999997</v>
      </c>
      <c r="AQ85" s="161">
        <f t="shared" ref="AQ85:AQ119" si="35">AP85*0.119</f>
        <v>452.28139599999997</v>
      </c>
      <c r="AR85" s="161">
        <f t="shared" si="33"/>
        <v>307.55134927999995</v>
      </c>
      <c r="AS85" s="161">
        <f t="shared" si="34"/>
        <v>44.775858203999995</v>
      </c>
      <c r="AT85" s="211">
        <f t="shared" si="10"/>
        <v>352.32720748399993</v>
      </c>
      <c r="AU85" s="217">
        <v>42502</v>
      </c>
      <c r="AV85" s="56">
        <v>87</v>
      </c>
      <c r="AW85" s="56">
        <v>460</v>
      </c>
      <c r="AX85" s="349">
        <v>547</v>
      </c>
      <c r="AY85" s="217">
        <v>42502</v>
      </c>
      <c r="AZ85" s="181">
        <v>0.5</v>
      </c>
      <c r="BA85" s="181">
        <v>0.6</v>
      </c>
      <c r="BB85" s="224">
        <f>AZ85+BA85</f>
        <v>1.1000000000000001</v>
      </c>
      <c r="BC85" s="198">
        <f t="shared" si="22"/>
        <v>1.3889298153320918E-71</v>
      </c>
      <c r="BD85" s="148">
        <f t="shared" si="23"/>
        <v>0.17594199220706164</v>
      </c>
      <c r="BE85" s="148">
        <f t="shared" si="24"/>
        <v>0.88767190560622822</v>
      </c>
      <c r="BF85" s="148">
        <f t="shared" si="11"/>
        <v>1.0636138978132899</v>
      </c>
      <c r="BG85" s="147">
        <f t="shared" si="25"/>
        <v>2659.0347445332245</v>
      </c>
      <c r="BH85" s="147">
        <f t="shared" si="26"/>
        <v>87.970996103530823</v>
      </c>
      <c r="BI85" s="147">
        <f t="shared" si="27"/>
        <v>443.83595280311408</v>
      </c>
      <c r="BK85" s="55"/>
      <c r="BL85" s="234"/>
      <c r="BM85" s="207"/>
      <c r="BN85" s="55"/>
      <c r="BO85" s="55"/>
      <c r="BP85" s="55"/>
      <c r="BQ85" s="55"/>
      <c r="BR85" s="55"/>
      <c r="BS85" s="55"/>
      <c r="BT85" s="55"/>
      <c r="BU85" s="55"/>
      <c r="BW85" s="147">
        <f ca="1">(AT85+BK85)*BH85/(BH85+BI85)*2.71828^(-0.69315/半Cs134*(NOW()-R85)/365.25)+(AT85+BK85)*BI85/(BH85+BI85)*2.71828^(-0.69315/半Cs137*(NOW()-R85)/365.25)</f>
        <v>288.09007101744959</v>
      </c>
      <c r="BX85" s="147">
        <f ca="1">(AT85)*BH85/(BH85+BI85)*2.71828^(-0.69315/半Cs134*(NOW()-R85)/365.25)+(AT85)*BI85/(BH85+BI85)*2.71828^(-0.69315/半Cs137*(NOW()-R85)/365.25)</f>
        <v>288.09007101744959</v>
      </c>
    </row>
    <row r="86" spans="1:76" ht="9.9499999999999993" customHeight="1" x14ac:dyDescent="0.15">
      <c r="A86" s="9"/>
      <c r="R86" s="191">
        <v>42536</v>
      </c>
      <c r="S86" s="65">
        <v>42531</v>
      </c>
      <c r="T86" s="56">
        <v>110</v>
      </c>
      <c r="U86" s="56">
        <v>560</v>
      </c>
      <c r="V86" s="62">
        <f t="shared" si="31"/>
        <v>670</v>
      </c>
      <c r="W86" s="56">
        <v>13</v>
      </c>
      <c r="X86" s="56">
        <v>72</v>
      </c>
      <c r="Y86" s="349">
        <f t="shared" si="32"/>
        <v>85</v>
      </c>
      <c r="Z86" s="217"/>
      <c r="AA86" s="56"/>
      <c r="AB86" s="56"/>
      <c r="AC86" s="62"/>
      <c r="AD86" s="56"/>
      <c r="AE86" s="56"/>
      <c r="AF86" s="62"/>
      <c r="AG86" s="349"/>
      <c r="AH86" s="217"/>
      <c r="AI86" s="56"/>
      <c r="AJ86" s="56"/>
      <c r="AK86" s="62"/>
      <c r="AL86" s="56"/>
      <c r="AM86" s="56"/>
      <c r="AN86" s="62"/>
      <c r="AO86" s="349"/>
      <c r="AP86" s="344">
        <f>44194*0.089</f>
        <v>3933.2659999999996</v>
      </c>
      <c r="AQ86" s="161">
        <f t="shared" si="35"/>
        <v>468.05865399999993</v>
      </c>
      <c r="AR86" s="161">
        <f t="shared" si="33"/>
        <v>313.59929818000001</v>
      </c>
      <c r="AS86" s="161">
        <f t="shared" si="34"/>
        <v>39.784985589999998</v>
      </c>
      <c r="AT86" s="211">
        <f t="shared" si="10"/>
        <v>353.38428377000002</v>
      </c>
      <c r="AU86" s="217">
        <v>42530</v>
      </c>
      <c r="AV86" s="56">
        <v>63</v>
      </c>
      <c r="AW86" s="56">
        <v>310</v>
      </c>
      <c r="AX86" s="349">
        <v>373</v>
      </c>
      <c r="AY86" s="217">
        <v>42530</v>
      </c>
      <c r="AZ86" s="181">
        <v>0.5</v>
      </c>
      <c r="BA86" s="56">
        <v>4.3</v>
      </c>
      <c r="BB86" s="224">
        <f>AZ86+BA86</f>
        <v>4.8</v>
      </c>
      <c r="BC86" s="198">
        <f t="shared" si="22"/>
        <v>1.2354643566945457E-72</v>
      </c>
      <c r="BD86" s="148">
        <f t="shared" si="23"/>
        <v>0.1714659741888602</v>
      </c>
      <c r="BE86" s="148">
        <f t="shared" si="24"/>
        <v>0.88610468503185236</v>
      </c>
      <c r="BF86" s="148">
        <f t="shared" si="11"/>
        <v>1.0575706592207126</v>
      </c>
      <c r="BG86" s="147">
        <f t="shared" si="25"/>
        <v>2643.9266480517813</v>
      </c>
      <c r="BH86" s="147">
        <f t="shared" si="26"/>
        <v>85.732987094430101</v>
      </c>
      <c r="BI86" s="147">
        <f t="shared" si="27"/>
        <v>443.05234251592617</v>
      </c>
      <c r="BK86" s="55"/>
      <c r="BL86" s="234"/>
      <c r="BM86" s="207"/>
      <c r="BN86" s="55"/>
      <c r="BO86" s="55"/>
      <c r="BP86" s="55"/>
      <c r="BQ86" s="55"/>
      <c r="BR86" s="55"/>
      <c r="BS86" s="55"/>
      <c r="BT86" s="55"/>
      <c r="BU86" s="55"/>
      <c r="BW86" s="147">
        <f ca="1">(AT86+BK86)*BH86/(BH86+BI86)*2.71828^(-0.69315/半Cs134*(NOW()-R86)/365.25)+(AT86+BK86)*BI86/(BH86+BI86)*2.71828^(-0.69315/半Cs137*(NOW()-R86)/365.25)</f>
        <v>290.70585659524158</v>
      </c>
      <c r="BX86" s="147">
        <f ca="1">(AT86)*BH86/(BH86+BI86)*2.71828^(-0.69315/半Cs134*(NOW()-R86)/365.25)+(AT86)*BI86/(BH86+BI86)*2.71828^(-0.69315/半Cs137*(NOW()-R86)/365.25)</f>
        <v>290.70585659524158</v>
      </c>
    </row>
    <row r="87" spans="1:76" ht="9.9499999999999993" customHeight="1" x14ac:dyDescent="0.15">
      <c r="A87" s="9"/>
      <c r="R87" s="191">
        <v>42566</v>
      </c>
      <c r="S87" s="65">
        <v>42565</v>
      </c>
      <c r="T87" s="56">
        <v>73</v>
      </c>
      <c r="U87" s="56">
        <v>390</v>
      </c>
      <c r="V87" s="62">
        <f t="shared" si="31"/>
        <v>463</v>
      </c>
      <c r="W87" s="56">
        <v>15</v>
      </c>
      <c r="X87" s="56">
        <v>73</v>
      </c>
      <c r="Y87" s="349">
        <f t="shared" si="32"/>
        <v>88</v>
      </c>
      <c r="Z87" s="217"/>
      <c r="AA87" s="56"/>
      <c r="AB87" s="56"/>
      <c r="AC87" s="62"/>
      <c r="AD87" s="56"/>
      <c r="AE87" s="56"/>
      <c r="AF87" s="62"/>
      <c r="AG87" s="349"/>
      <c r="AH87" s="217"/>
      <c r="AI87" s="56"/>
      <c r="AJ87" s="56"/>
      <c r="AK87" s="62"/>
      <c r="AL87" s="56"/>
      <c r="AM87" s="56"/>
      <c r="AN87" s="62"/>
      <c r="AO87" s="349"/>
      <c r="AP87" s="344">
        <f>44194*0.095</f>
        <v>4198.43</v>
      </c>
      <c r="AQ87" s="161">
        <f t="shared" si="35"/>
        <v>499.61317000000003</v>
      </c>
      <c r="AR87" s="161">
        <f t="shared" si="33"/>
        <v>231.32089771000003</v>
      </c>
      <c r="AS87" s="161">
        <f t="shared" si="34"/>
        <v>43.965958960000002</v>
      </c>
      <c r="AT87" s="211">
        <f t="shared" si="10"/>
        <v>275.28685667000002</v>
      </c>
      <c r="AU87" s="217">
        <v>42578</v>
      </c>
      <c r="AV87" s="56">
        <v>48</v>
      </c>
      <c r="AW87" s="56">
        <v>270</v>
      </c>
      <c r="AX87" s="349">
        <v>318</v>
      </c>
      <c r="AY87" s="217">
        <v>42578</v>
      </c>
      <c r="AZ87" s="181">
        <v>0.5</v>
      </c>
      <c r="BA87" s="56">
        <v>3.3</v>
      </c>
      <c r="BB87" s="224">
        <f>AZ87+BA87</f>
        <v>3.8</v>
      </c>
      <c r="BC87" s="198">
        <f t="shared" si="22"/>
        <v>1.9515197012011278E-74</v>
      </c>
      <c r="BD87" s="148">
        <f t="shared" si="23"/>
        <v>0.16405611778528104</v>
      </c>
      <c r="BE87" s="148">
        <f t="shared" si="24"/>
        <v>0.88342445597328867</v>
      </c>
      <c r="BF87" s="148">
        <f t="shared" si="11"/>
        <v>1.0474805737585697</v>
      </c>
      <c r="BG87" s="147">
        <f t="shared" si="25"/>
        <v>2618.7014343964242</v>
      </c>
      <c r="BH87" s="147">
        <f t="shared" si="26"/>
        <v>82.028058892640516</v>
      </c>
      <c r="BI87" s="147">
        <f t="shared" si="27"/>
        <v>441.71222798664434</v>
      </c>
      <c r="BK87" s="55"/>
      <c r="BL87" s="234"/>
      <c r="BM87" s="207"/>
      <c r="BN87" s="55"/>
      <c r="BO87" s="55"/>
      <c r="BP87" s="55"/>
      <c r="BQ87" s="55"/>
      <c r="BR87" s="55"/>
      <c r="BS87" s="55"/>
      <c r="BT87" s="55"/>
      <c r="BU87" s="55"/>
      <c r="BW87" s="147">
        <f ca="1">(AT87+BK87)*BH87/(BH87+BI87)*2.71828^(-0.69315/半Cs134*(NOW()-R87)/365.25)+(AT87+BK87)*BI87/(BH87+BI87)*2.71828^(-0.69315/半Cs137*(NOW()-R87)/365.25)</f>
        <v>228.17018568710554</v>
      </c>
      <c r="BX87" s="147">
        <f ca="1">(AT87)*BH87/(BH87+BI87)*2.71828^(-0.69315/半Cs134*(NOW()-R87)/365.25)+(AT87)*BI87/(BH87+BI87)*2.71828^(-0.69315/半Cs137*(NOW()-R87)/365.25)</f>
        <v>228.17018568710554</v>
      </c>
    </row>
    <row r="88" spans="1:76" ht="9.9499999999999993" customHeight="1" x14ac:dyDescent="0.15">
      <c r="A88" s="9"/>
      <c r="R88" s="191">
        <v>42597</v>
      </c>
      <c r="S88" s="65">
        <v>42599</v>
      </c>
      <c r="T88" s="56">
        <v>84</v>
      </c>
      <c r="U88" s="56">
        <v>470</v>
      </c>
      <c r="V88" s="62">
        <f t="shared" si="31"/>
        <v>554</v>
      </c>
      <c r="W88" s="56">
        <v>8.6</v>
      </c>
      <c r="X88" s="56">
        <v>54</v>
      </c>
      <c r="Y88" s="349">
        <f t="shared" si="32"/>
        <v>62.6</v>
      </c>
      <c r="Z88" s="217"/>
      <c r="AA88" s="56"/>
      <c r="AB88" s="56"/>
      <c r="AC88" s="62"/>
      <c r="AD88" s="56"/>
      <c r="AE88" s="56"/>
      <c r="AF88" s="62"/>
      <c r="AG88" s="349"/>
      <c r="AH88" s="217"/>
      <c r="AI88" s="56"/>
      <c r="AJ88" s="56"/>
      <c r="AK88" s="62"/>
      <c r="AL88" s="56"/>
      <c r="AM88" s="56"/>
      <c r="AN88" s="62"/>
      <c r="AO88" s="349"/>
      <c r="AP88" s="344">
        <f>44194*0.098</f>
        <v>4331.0119999999997</v>
      </c>
      <c r="AQ88" s="161">
        <f t="shared" si="35"/>
        <v>515.39042799999993</v>
      </c>
      <c r="AR88" s="161">
        <f t="shared" si="33"/>
        <v>285.52629711199995</v>
      </c>
      <c r="AS88" s="161">
        <f t="shared" si="34"/>
        <v>32.263440792799997</v>
      </c>
      <c r="AT88" s="211">
        <f t="shared" si="10"/>
        <v>317.78973790479995</v>
      </c>
      <c r="AU88" s="217">
        <v>42608</v>
      </c>
      <c r="AV88" s="56">
        <v>55</v>
      </c>
      <c r="AW88" s="56">
        <v>290</v>
      </c>
      <c r="AX88" s="349">
        <v>345</v>
      </c>
      <c r="AY88" s="217">
        <v>42608</v>
      </c>
      <c r="AZ88" s="56">
        <v>1.5</v>
      </c>
      <c r="BA88" s="56">
        <v>9.1</v>
      </c>
      <c r="BB88" s="225">
        <v>10.6</v>
      </c>
      <c r="BC88" s="198">
        <f t="shared" si="22"/>
        <v>1.460367433985525E-75</v>
      </c>
      <c r="BD88" s="148">
        <f t="shared" si="23"/>
        <v>0.15958845840994665</v>
      </c>
      <c r="BE88" s="148">
        <f t="shared" si="24"/>
        <v>0.8817534311926708</v>
      </c>
      <c r="BF88" s="148">
        <f t="shared" si="11"/>
        <v>1.0413418896026174</v>
      </c>
      <c r="BG88" s="147">
        <f t="shared" si="25"/>
        <v>2603.3547240065436</v>
      </c>
      <c r="BH88" s="147">
        <f t="shared" si="26"/>
        <v>79.79422920497332</v>
      </c>
      <c r="BI88" s="147">
        <f t="shared" si="27"/>
        <v>440.87671559633537</v>
      </c>
      <c r="BK88" s="55"/>
      <c r="BL88" s="234"/>
      <c r="BM88" s="207"/>
      <c r="BN88" s="55"/>
      <c r="BO88" s="55"/>
      <c r="BP88" s="55"/>
      <c r="BQ88" s="55"/>
      <c r="BR88" s="55"/>
      <c r="BS88" s="55"/>
      <c r="BT88" s="55"/>
      <c r="BU88" s="55"/>
      <c r="BW88" s="147">
        <f ca="1">(AT88+BK88)*BH88/(BH88+BI88)*2.71828^(-0.69315/半Cs134*(NOW()-R88)/365.25)+(AT88+BK88)*BI88/(BH88+BI88)*2.71828^(-0.69315/半Cs137*(NOW()-R88)/365.25)</f>
        <v>264.98151658074624</v>
      </c>
      <c r="BX88" s="147">
        <f ca="1">(AT88)*BH88/(BH88+BI88)*2.71828^(-0.69315/半Cs134*(NOW()-R88)/365.25)+(AT88)*BI88/(BH88+BI88)*2.71828^(-0.69315/半Cs137*(NOW()-R88)/365.25)</f>
        <v>264.98151658074624</v>
      </c>
    </row>
    <row r="89" spans="1:76" ht="9.9499999999999993" customHeight="1" x14ac:dyDescent="0.15">
      <c r="A89" s="9"/>
      <c r="R89" s="191">
        <v>42628</v>
      </c>
      <c r="S89" s="65">
        <v>42622</v>
      </c>
      <c r="T89" s="56">
        <v>140</v>
      </c>
      <c r="U89" s="56">
        <v>780</v>
      </c>
      <c r="V89" s="62">
        <f t="shared" si="31"/>
        <v>920</v>
      </c>
      <c r="W89" s="56">
        <v>13</v>
      </c>
      <c r="X89" s="56">
        <v>72</v>
      </c>
      <c r="Y89" s="349">
        <f t="shared" si="32"/>
        <v>85</v>
      </c>
      <c r="Z89" s="217"/>
      <c r="AA89" s="56"/>
      <c r="AB89" s="56"/>
      <c r="AC89" s="62"/>
      <c r="AD89" s="56"/>
      <c r="AE89" s="56"/>
      <c r="AF89" s="62"/>
      <c r="AG89" s="349"/>
      <c r="AH89" s="217"/>
      <c r="AI89" s="56"/>
      <c r="AJ89" s="56"/>
      <c r="AK89" s="62"/>
      <c r="AL89" s="56"/>
      <c r="AM89" s="56"/>
      <c r="AN89" s="62"/>
      <c r="AO89" s="349"/>
      <c r="AP89" s="344">
        <f>44194*0.091</f>
        <v>4021.654</v>
      </c>
      <c r="AQ89" s="161">
        <f t="shared" si="35"/>
        <v>478.57682599999998</v>
      </c>
      <c r="AR89" s="161">
        <f t="shared" si="33"/>
        <v>440.29067991999995</v>
      </c>
      <c r="AS89" s="161">
        <f t="shared" si="34"/>
        <v>40.679030210000001</v>
      </c>
      <c r="AT89" s="211">
        <f t="shared" si="10"/>
        <v>480.96971012999995</v>
      </c>
      <c r="AU89" s="217">
        <v>42621</v>
      </c>
      <c r="AV89" s="56">
        <v>50</v>
      </c>
      <c r="AW89" s="56">
        <v>270</v>
      </c>
      <c r="AX89" s="349">
        <v>320</v>
      </c>
      <c r="AY89" s="217">
        <v>42621</v>
      </c>
      <c r="AZ89" s="56">
        <v>1.3</v>
      </c>
      <c r="BA89" s="56">
        <v>7.8</v>
      </c>
      <c r="BB89" s="225">
        <v>9.1</v>
      </c>
      <c r="BC89" s="198">
        <f t="shared" si="22"/>
        <v>4.748620461664236E-76</v>
      </c>
      <c r="BD89" s="148">
        <f t="shared" si="23"/>
        <v>0.15769045305768301</v>
      </c>
      <c r="BE89" s="148">
        <f t="shared" si="24"/>
        <v>0.8810303024079017</v>
      </c>
      <c r="BF89" s="148">
        <f t="shared" si="11"/>
        <v>1.0387207554655846</v>
      </c>
      <c r="BG89" s="147">
        <f t="shared" si="25"/>
        <v>2596.801888663962</v>
      </c>
      <c r="BH89" s="147">
        <f t="shared" si="26"/>
        <v>78.845226528841508</v>
      </c>
      <c r="BI89" s="147">
        <f t="shared" si="27"/>
        <v>440.51515120395084</v>
      </c>
      <c r="BK89" s="55"/>
      <c r="BL89" s="234"/>
      <c r="BM89" s="207"/>
      <c r="BN89" s="55"/>
      <c r="BO89" s="55"/>
      <c r="BP89" s="55"/>
      <c r="BQ89" s="55"/>
      <c r="BR89" s="55"/>
      <c r="BS89" s="55"/>
      <c r="BT89" s="55"/>
      <c r="BU89" s="55"/>
      <c r="BW89" s="147">
        <f ca="1">(AT89+BK89)*BH89/(BH89+BI89)*2.71828^(-0.69315/半Cs134*(NOW()-R89)/365.25)+(AT89+BK89)*BI89/(BH89+BI89)*2.71828^(-0.69315/半Cs137*(NOW()-R89)/365.25)</f>
        <v>402.88847189329078</v>
      </c>
      <c r="BX89" s="147">
        <f ca="1">(AT89)*BH89/(BH89+BI89)*2.71828^(-0.69315/半Cs134*(NOW()-R89)/365.25)+(AT89)*BI89/(BH89+BI89)*2.71828^(-0.69315/半Cs137*(NOW()-R89)/365.25)</f>
        <v>402.88847189329078</v>
      </c>
    </row>
    <row r="90" spans="1:76" ht="9.9499999999999993" customHeight="1" x14ac:dyDescent="0.15">
      <c r="A90" s="9"/>
      <c r="R90" s="191">
        <v>42658</v>
      </c>
      <c r="S90" s="65">
        <v>42667</v>
      </c>
      <c r="T90" s="56">
        <v>83</v>
      </c>
      <c r="U90" s="56">
        <v>470</v>
      </c>
      <c r="V90" s="62">
        <f t="shared" si="31"/>
        <v>553</v>
      </c>
      <c r="W90" s="56">
        <v>11</v>
      </c>
      <c r="X90" s="56">
        <v>61</v>
      </c>
      <c r="Y90" s="349">
        <f t="shared" si="32"/>
        <v>72</v>
      </c>
      <c r="Z90" s="217"/>
      <c r="AA90" s="56"/>
      <c r="AB90" s="56"/>
      <c r="AC90" s="62"/>
      <c r="AD90" s="56"/>
      <c r="AE90" s="56"/>
      <c r="AF90" s="62"/>
      <c r="AG90" s="349"/>
      <c r="AH90" s="217"/>
      <c r="AI90" s="56"/>
      <c r="AJ90" s="56"/>
      <c r="AK90" s="62"/>
      <c r="AL90" s="56"/>
      <c r="AM90" s="56"/>
      <c r="AN90" s="62"/>
      <c r="AO90" s="349"/>
      <c r="AP90" s="344">
        <f>44194*0.094</f>
        <v>4154.2359999999999</v>
      </c>
      <c r="AQ90" s="161">
        <f t="shared" si="35"/>
        <v>494.35408399999994</v>
      </c>
      <c r="AR90" s="161">
        <f t="shared" si="33"/>
        <v>273.37780845199995</v>
      </c>
      <c r="AS90" s="161">
        <f t="shared" si="34"/>
        <v>35.593494047999997</v>
      </c>
      <c r="AT90" s="211">
        <f t="shared" si="10"/>
        <v>308.97130249999998</v>
      </c>
      <c r="AU90" s="217">
        <v>42662</v>
      </c>
      <c r="AV90" s="56">
        <v>35</v>
      </c>
      <c r="AW90" s="56">
        <v>200</v>
      </c>
      <c r="AX90" s="349">
        <v>235</v>
      </c>
      <c r="AY90" s="217">
        <v>42662</v>
      </c>
      <c r="AZ90" s="56">
        <v>0.85</v>
      </c>
      <c r="BA90" s="56">
        <v>5.0999999999999996</v>
      </c>
      <c r="BB90" s="225">
        <v>5.95</v>
      </c>
      <c r="BC90" s="198">
        <f t="shared" si="22"/>
        <v>1.373481136371017E-77</v>
      </c>
      <c r="BD90" s="148">
        <f t="shared" si="23"/>
        <v>0.15185103919733409</v>
      </c>
      <c r="BE90" s="148">
        <f t="shared" si="24"/>
        <v>0.8787535477734747</v>
      </c>
      <c r="BF90" s="148">
        <f t="shared" si="11"/>
        <v>1.0306045869708087</v>
      </c>
      <c r="BG90" s="147">
        <f t="shared" si="25"/>
        <v>2576.5114674270221</v>
      </c>
      <c r="BH90" s="147">
        <f t="shared" si="26"/>
        <v>75.925519598667037</v>
      </c>
      <c r="BI90" s="147">
        <f t="shared" si="27"/>
        <v>439.37677388673734</v>
      </c>
      <c r="BK90" s="55"/>
      <c r="BL90" s="234"/>
      <c r="BM90" s="207"/>
      <c r="BN90" s="55"/>
      <c r="BO90" s="55"/>
      <c r="BP90" s="55"/>
      <c r="BQ90" s="55"/>
      <c r="BR90" s="55"/>
      <c r="BS90" s="55"/>
      <c r="BT90" s="55"/>
      <c r="BU90" s="55"/>
      <c r="BW90" s="147">
        <f ca="1">(AT90+BK90)*BH90/(BH90+BI90)*2.71828^(-0.69315/半Cs134*(NOW()-R90)/365.25)+(AT90+BK90)*BI90/(BH90+BI90)*2.71828^(-0.69315/半Cs137*(NOW()-R90)/365.25)</f>
        <v>260.52128568563364</v>
      </c>
      <c r="BX90" s="147">
        <f ca="1">(AT90)*BH90/(BH90+BI90)*2.71828^(-0.69315/半Cs134*(NOW()-R90)/365.25)+(AT90)*BI90/(BH90+BI90)*2.71828^(-0.69315/半Cs137*(NOW()-R90)/365.25)</f>
        <v>260.52128568563364</v>
      </c>
    </row>
    <row r="91" spans="1:76" ht="9.9499999999999993" customHeight="1" x14ac:dyDescent="0.15">
      <c r="A91" s="9"/>
      <c r="R91" s="191">
        <v>42689</v>
      </c>
      <c r="S91" s="65">
        <v>42688</v>
      </c>
      <c r="T91" s="56">
        <v>58</v>
      </c>
      <c r="U91" s="56">
        <v>370</v>
      </c>
      <c r="V91" s="62">
        <f t="shared" si="31"/>
        <v>428</v>
      </c>
      <c r="W91" s="56">
        <v>9.8000000000000007</v>
      </c>
      <c r="X91" s="56">
        <v>56</v>
      </c>
      <c r="Y91" s="349">
        <f t="shared" si="32"/>
        <v>65.8</v>
      </c>
      <c r="Z91" s="217"/>
      <c r="AA91" s="56"/>
      <c r="AB91" s="56"/>
      <c r="AC91" s="62"/>
      <c r="AD91" s="56"/>
      <c r="AE91" s="56"/>
      <c r="AF91" s="62"/>
      <c r="AG91" s="349"/>
      <c r="AH91" s="217"/>
      <c r="AI91" s="56"/>
      <c r="AJ91" s="56"/>
      <c r="AK91" s="62"/>
      <c r="AL91" s="56"/>
      <c r="AM91" s="56"/>
      <c r="AN91" s="62"/>
      <c r="AO91" s="349"/>
      <c r="AP91" s="344">
        <f>44194*0.083</f>
        <v>3668.1020000000003</v>
      </c>
      <c r="AQ91" s="161">
        <f t="shared" si="35"/>
        <v>436.50413800000001</v>
      </c>
      <c r="AR91" s="161">
        <f t="shared" si="33"/>
        <v>186.823771064</v>
      </c>
      <c r="AS91" s="161">
        <f t="shared" si="34"/>
        <v>28.721972280400003</v>
      </c>
      <c r="AT91" s="211">
        <f t="shared" si="10"/>
        <v>215.54574334439999</v>
      </c>
      <c r="AU91" s="217">
        <v>42676</v>
      </c>
      <c r="AV91" s="56">
        <v>32</v>
      </c>
      <c r="AW91" s="56">
        <v>190</v>
      </c>
      <c r="AX91" s="349">
        <v>222</v>
      </c>
      <c r="AY91" s="217">
        <v>42685</v>
      </c>
      <c r="AZ91" s="182">
        <v>0.43</v>
      </c>
      <c r="BA91" s="56">
        <v>5.2</v>
      </c>
      <c r="BB91" s="224">
        <f>AZ91+BA91</f>
        <v>5.63</v>
      </c>
      <c r="BC91" s="198">
        <f t="shared" si="22"/>
        <v>1.882020799862834E-78</v>
      </c>
      <c r="BD91" s="148">
        <f t="shared" si="23"/>
        <v>0.14867046719708399</v>
      </c>
      <c r="BE91" s="148">
        <f t="shared" si="24"/>
        <v>0.87747892096398861</v>
      </c>
      <c r="BF91" s="148">
        <f t="shared" si="11"/>
        <v>1.0261493881610726</v>
      </c>
      <c r="BG91" s="147">
        <f t="shared" si="25"/>
        <v>2565.3734704026815</v>
      </c>
      <c r="BH91" s="147">
        <f t="shared" si="26"/>
        <v>74.33523359854199</v>
      </c>
      <c r="BI91" s="147">
        <f t="shared" si="27"/>
        <v>438.73946048199429</v>
      </c>
      <c r="BK91" s="55"/>
      <c r="BL91" s="234"/>
      <c r="BM91" s="207"/>
      <c r="BN91" s="55"/>
      <c r="BO91" s="55"/>
      <c r="BP91" s="55"/>
      <c r="BQ91" s="55"/>
      <c r="BR91" s="55"/>
      <c r="BS91" s="55"/>
      <c r="BT91" s="55"/>
      <c r="BU91" s="55"/>
      <c r="BW91" s="147">
        <f ca="1">(AT91+BK91)*BH91/(BH91+BI91)*2.71828^(-0.69315/半Cs134*(NOW()-R91)/365.25)+(AT91+BK91)*BI91/(BH91+BI91)*2.71828^(-0.69315/半Cs137*(NOW()-R91)/365.25)</f>
        <v>182.7026717070967</v>
      </c>
      <c r="BX91" s="147">
        <f ca="1">(AT91)*BH91/(BH91+BI91)*2.71828^(-0.69315/半Cs134*(NOW()-R91)/365.25)+(AT91)*BI91/(BH91+BI91)*2.71828^(-0.69315/半Cs137*(NOW()-R91)/365.25)</f>
        <v>182.7026717070967</v>
      </c>
    </row>
    <row r="92" spans="1:76" ht="9.9499999999999993" customHeight="1" x14ac:dyDescent="0.15">
      <c r="A92" s="9"/>
      <c r="R92" s="191">
        <v>42719</v>
      </c>
      <c r="S92" s="65">
        <v>42720</v>
      </c>
      <c r="T92" s="56">
        <v>61</v>
      </c>
      <c r="U92" s="56">
        <v>390</v>
      </c>
      <c r="V92" s="62">
        <f t="shared" si="31"/>
        <v>451</v>
      </c>
      <c r="W92" s="56">
        <v>95</v>
      </c>
      <c r="X92" s="56">
        <v>52</v>
      </c>
      <c r="Y92" s="349">
        <f t="shared" si="32"/>
        <v>147</v>
      </c>
      <c r="Z92" s="217"/>
      <c r="AA92" s="56"/>
      <c r="AB92" s="56"/>
      <c r="AC92" s="62"/>
      <c r="AD92" s="56"/>
      <c r="AE92" s="56"/>
      <c r="AF92" s="62"/>
      <c r="AG92" s="349"/>
      <c r="AH92" s="217"/>
      <c r="AI92" s="56"/>
      <c r="AJ92" s="56"/>
      <c r="AK92" s="62"/>
      <c r="AL92" s="56"/>
      <c r="AM92" s="56"/>
      <c r="AN92" s="62"/>
      <c r="AO92" s="349"/>
      <c r="AP92" s="344">
        <f>44194*0.08</f>
        <v>3535.52</v>
      </c>
      <c r="AQ92" s="161">
        <f t="shared" si="35"/>
        <v>420.72687999999999</v>
      </c>
      <c r="AR92" s="161">
        <f t="shared" si="33"/>
        <v>189.74782288</v>
      </c>
      <c r="AS92" s="161">
        <f t="shared" si="34"/>
        <v>61.846851360000002</v>
      </c>
      <c r="AT92" s="211">
        <f t="shared" si="10"/>
        <v>251.59467424000002</v>
      </c>
      <c r="AU92" s="217">
        <v>42719</v>
      </c>
      <c r="AV92" s="56">
        <v>28</v>
      </c>
      <c r="AW92" s="56">
        <v>170</v>
      </c>
      <c r="AX92" s="349">
        <v>198</v>
      </c>
      <c r="AY92" s="217">
        <v>42719</v>
      </c>
      <c r="AZ92" s="182">
        <v>0.43</v>
      </c>
      <c r="BA92" s="56">
        <v>5.5</v>
      </c>
      <c r="BB92" s="224">
        <f>AZ92+BA92</f>
        <v>5.93</v>
      </c>
      <c r="BC92" s="198">
        <f t="shared" si="22"/>
        <v>9.9676361969931463E-80</v>
      </c>
      <c r="BD92" s="148">
        <f t="shared" si="23"/>
        <v>0.14409037184643203</v>
      </c>
      <c r="BE92" s="148">
        <f t="shared" si="24"/>
        <v>0.8755980758699714</v>
      </c>
      <c r="BF92" s="148">
        <f t="shared" si="11"/>
        <v>1.0196884477164034</v>
      </c>
      <c r="BG92" s="147">
        <f t="shared" si="25"/>
        <v>2549.2211192910086</v>
      </c>
      <c r="BH92" s="147">
        <f t="shared" si="26"/>
        <v>72.04518592321601</v>
      </c>
      <c r="BI92" s="147">
        <f t="shared" si="27"/>
        <v>437.79903793498568</v>
      </c>
      <c r="BK92" s="55"/>
      <c r="BL92" s="234"/>
      <c r="BM92" s="207"/>
      <c r="BN92" s="55"/>
      <c r="BO92" s="55"/>
      <c r="BP92" s="55"/>
      <c r="BQ92" s="55"/>
      <c r="BR92" s="55"/>
      <c r="BS92" s="55"/>
      <c r="BT92" s="55"/>
      <c r="BU92" s="55"/>
      <c r="BW92" s="147">
        <f ca="1">(AT92+BK92)*BH92/(BH92+BI92)*2.71828^(-0.69315/半Cs134*(NOW()-R92)/365.25)+(AT92+BK92)*BI92/(BH92+BI92)*2.71828^(-0.69315/半Cs137*(NOW()-R92)/365.25)</f>
        <v>214.51140578422076</v>
      </c>
      <c r="BX92" s="147">
        <f ca="1">(AT92)*BH92/(BH92+BI92)*2.71828^(-0.69315/半Cs134*(NOW()-R92)/365.25)+(AT92)*BI92/(BH92+BI92)*2.71828^(-0.69315/半Cs137*(NOW()-R92)/365.25)</f>
        <v>214.51140578422076</v>
      </c>
    </row>
    <row r="93" spans="1:76" ht="9.9499999999999993" customHeight="1" x14ac:dyDescent="0.15">
      <c r="A93" s="9"/>
      <c r="R93" s="191">
        <v>42750</v>
      </c>
      <c r="S93" s="65">
        <v>42741</v>
      </c>
      <c r="T93" s="56">
        <v>41</v>
      </c>
      <c r="U93" s="56">
        <v>260</v>
      </c>
      <c r="V93" s="62">
        <f t="shared" si="31"/>
        <v>301</v>
      </c>
      <c r="W93" s="56">
        <v>5.7</v>
      </c>
      <c r="X93" s="56">
        <v>31</v>
      </c>
      <c r="Y93" s="349">
        <f t="shared" si="32"/>
        <v>36.700000000000003</v>
      </c>
      <c r="Z93" s="217"/>
      <c r="AA93" s="56"/>
      <c r="AB93" s="56"/>
      <c r="AC93" s="62"/>
      <c r="AD93" s="56"/>
      <c r="AE93" s="56"/>
      <c r="AF93" s="62"/>
      <c r="AG93" s="349"/>
      <c r="AH93" s="217"/>
      <c r="AI93" s="56"/>
      <c r="AJ93" s="56"/>
      <c r="AK93" s="62"/>
      <c r="AL93" s="56"/>
      <c r="AM93" s="56"/>
      <c r="AN93" s="62"/>
      <c r="AO93" s="349"/>
      <c r="AP93" s="344">
        <f>44194*0.072</f>
        <v>3181.9679999999998</v>
      </c>
      <c r="AQ93" s="161">
        <f t="shared" si="35"/>
        <v>378.65419199999997</v>
      </c>
      <c r="AR93" s="161">
        <f t="shared" si="33"/>
        <v>113.97491179199999</v>
      </c>
      <c r="AS93" s="161">
        <f t="shared" si="34"/>
        <v>13.896608846400001</v>
      </c>
      <c r="AT93" s="211">
        <f t="shared" si="10"/>
        <v>127.87152063839999</v>
      </c>
      <c r="AU93" s="217">
        <v>42746</v>
      </c>
      <c r="AV93" s="56">
        <v>31</v>
      </c>
      <c r="AW93" s="56">
        <v>200</v>
      </c>
      <c r="AX93" s="349">
        <v>231</v>
      </c>
      <c r="AY93" s="217">
        <v>42746</v>
      </c>
      <c r="AZ93" s="56">
        <v>1.1000000000000001</v>
      </c>
      <c r="BA93" s="56">
        <v>6.4</v>
      </c>
      <c r="BB93" s="225">
        <v>7.5</v>
      </c>
      <c r="BC93" s="198">
        <f t="shared" si="22"/>
        <v>9.6665712921367976E-81</v>
      </c>
      <c r="BD93" s="148">
        <f t="shared" si="23"/>
        <v>0.14055396663408726</v>
      </c>
      <c r="BE93" s="148">
        <f t="shared" si="24"/>
        <v>0.87410733595065548</v>
      </c>
      <c r="BF93" s="148">
        <f t="shared" si="11"/>
        <v>1.0146613025847429</v>
      </c>
      <c r="BG93" s="147">
        <f t="shared" si="25"/>
        <v>2536.6532564618565</v>
      </c>
      <c r="BH93" s="147">
        <f t="shared" si="26"/>
        <v>70.27698331704363</v>
      </c>
      <c r="BI93" s="147">
        <f t="shared" si="27"/>
        <v>437.05366797532776</v>
      </c>
      <c r="BK93" s="55"/>
      <c r="BL93" s="234"/>
      <c r="BM93" s="207"/>
      <c r="BN93" s="55"/>
      <c r="BO93" s="55"/>
      <c r="BP93" s="55"/>
      <c r="BQ93" s="55"/>
      <c r="BR93" s="55"/>
      <c r="BS93" s="55"/>
      <c r="BT93" s="55"/>
      <c r="BU93" s="55"/>
      <c r="BW93" s="147">
        <f ca="1">(AT93+BK93)*BH93/(BH93+BI93)*2.71828^(-0.69315/半Cs134*(NOW()-R93)/365.25)+(AT93+BK93)*BI93/(BH93+BI93)*2.71828^(-0.69315/半Cs137*(NOW()-R93)/365.25)</f>
        <v>109.61469262389406</v>
      </c>
      <c r="BX93" s="147">
        <f ca="1">(AT93)*BH93/(BH93+BI93)*2.71828^(-0.69315/半Cs134*(NOW()-R93)/365.25)+(AT93)*BI93/(BH93+BI93)*2.71828^(-0.69315/半Cs137*(NOW()-R93)/365.25)</f>
        <v>109.61469262389406</v>
      </c>
    </row>
    <row r="94" spans="1:76" ht="9.9499999999999993" customHeight="1" x14ac:dyDescent="0.15">
      <c r="A94" s="9"/>
      <c r="R94" s="191">
        <v>42781</v>
      </c>
      <c r="S94" s="65">
        <v>42794</v>
      </c>
      <c r="T94" s="56">
        <v>24</v>
      </c>
      <c r="U94" s="56">
        <v>160</v>
      </c>
      <c r="V94" s="62">
        <f t="shared" si="31"/>
        <v>184</v>
      </c>
      <c r="W94" s="56">
        <v>34</v>
      </c>
      <c r="X94" s="56">
        <v>20</v>
      </c>
      <c r="Y94" s="349">
        <f t="shared" si="32"/>
        <v>54</v>
      </c>
      <c r="Z94" s="217"/>
      <c r="AA94" s="56"/>
      <c r="AB94" s="56"/>
      <c r="AC94" s="62"/>
      <c r="AD94" s="56"/>
      <c r="AE94" s="56"/>
      <c r="AF94" s="62"/>
      <c r="AG94" s="349"/>
      <c r="AH94" s="217"/>
      <c r="AI94" s="56"/>
      <c r="AJ94" s="56"/>
      <c r="AK94" s="62"/>
      <c r="AL94" s="56"/>
      <c r="AM94" s="56"/>
      <c r="AN94" s="62"/>
      <c r="AO94" s="349"/>
      <c r="AP94" s="344">
        <f>44194*0.061</f>
        <v>2695.8339999999998</v>
      </c>
      <c r="AQ94" s="161">
        <f t="shared" si="35"/>
        <v>320.80424599999998</v>
      </c>
      <c r="AR94" s="161">
        <f t="shared" si="33"/>
        <v>59.027981263999997</v>
      </c>
      <c r="AS94" s="161">
        <f t="shared" si="34"/>
        <v>17.323429283999999</v>
      </c>
      <c r="AT94" s="211">
        <f t="shared" si="10"/>
        <v>76.35141054799999</v>
      </c>
      <c r="AU94" s="217">
        <v>42774</v>
      </c>
      <c r="AV94" s="56">
        <v>26</v>
      </c>
      <c r="AW94" s="56">
        <v>180</v>
      </c>
      <c r="AX94" s="349">
        <v>206</v>
      </c>
      <c r="AY94" s="217">
        <v>42774</v>
      </c>
      <c r="AZ94" s="182">
        <v>0.43</v>
      </c>
      <c r="BA94" s="56">
        <v>5.6</v>
      </c>
      <c r="BB94" s="224">
        <f>AZ94+BA94</f>
        <v>6.0299999999999994</v>
      </c>
      <c r="BC94" s="198">
        <f t="shared" si="22"/>
        <v>8.5984937115246537E-82</v>
      </c>
      <c r="BD94" s="148">
        <f t="shared" si="23"/>
        <v>0.13697823079472346</v>
      </c>
      <c r="BE94" s="148">
        <f t="shared" si="24"/>
        <v>0.87256406417145094</v>
      </c>
      <c r="BF94" s="148">
        <f t="shared" si="11"/>
        <v>1.0095422949661743</v>
      </c>
      <c r="BG94" s="147">
        <f t="shared" si="25"/>
        <v>2523.8557374154361</v>
      </c>
      <c r="BH94" s="147">
        <f t="shared" si="26"/>
        <v>68.489115397361729</v>
      </c>
      <c r="BI94" s="147">
        <f t="shared" si="27"/>
        <v>436.28203208572546</v>
      </c>
      <c r="BK94" s="55"/>
      <c r="BL94" s="234"/>
      <c r="BM94" s="207"/>
      <c r="BN94" s="55"/>
      <c r="BO94" s="55"/>
      <c r="BP94" s="55"/>
      <c r="BQ94" s="55"/>
      <c r="BR94" s="55"/>
      <c r="BS94" s="55"/>
      <c r="BT94" s="55"/>
      <c r="BU94" s="55"/>
      <c r="BW94" s="147">
        <f ca="1">(AT94+BK94)*BH94/(BH94+BI94)*2.71828^(-0.69315/半Cs134*(NOW()-R94)/365.25)+(AT94+BK94)*BI94/(BH94+BI94)*2.71828^(-0.69315/半Cs137*(NOW()-R94)/365.25)</f>
        <v>65.804935832420995</v>
      </c>
      <c r="BX94" s="147">
        <f ca="1">(AT94)*BH94/(BH94+BI94)*2.71828^(-0.69315/半Cs134*(NOW()-R94)/365.25)+(AT94)*BI94/(BH94+BI94)*2.71828^(-0.69315/半Cs137*(NOW()-R94)/365.25)</f>
        <v>65.804935832420995</v>
      </c>
    </row>
    <row r="95" spans="1:76" ht="9.9499999999999993" customHeight="1" x14ac:dyDescent="0.15">
      <c r="A95" s="9"/>
      <c r="R95" s="191">
        <v>42809</v>
      </c>
      <c r="S95" s="65">
        <v>42809</v>
      </c>
      <c r="T95" s="56">
        <v>36</v>
      </c>
      <c r="U95" s="56">
        <v>230</v>
      </c>
      <c r="V95" s="62">
        <f t="shared" si="31"/>
        <v>266</v>
      </c>
      <c r="W95" s="56">
        <v>35</v>
      </c>
      <c r="X95" s="56">
        <v>24</v>
      </c>
      <c r="Y95" s="349">
        <f t="shared" si="32"/>
        <v>59</v>
      </c>
      <c r="Z95" s="217"/>
      <c r="AA95" s="56"/>
      <c r="AB95" s="56"/>
      <c r="AC95" s="62"/>
      <c r="AD95" s="56"/>
      <c r="AE95" s="56"/>
      <c r="AF95" s="62"/>
      <c r="AG95" s="349"/>
      <c r="AH95" s="217"/>
      <c r="AI95" s="56"/>
      <c r="AJ95" s="56"/>
      <c r="AK95" s="62"/>
      <c r="AL95" s="56"/>
      <c r="AM95" s="56"/>
      <c r="AN95" s="62"/>
      <c r="AO95" s="349"/>
      <c r="AP95" s="344">
        <f>44194*0.074</f>
        <v>3270.3559999999998</v>
      </c>
      <c r="AQ95" s="161">
        <f t="shared" si="35"/>
        <v>389.17236399999996</v>
      </c>
      <c r="AR95" s="161">
        <f t="shared" si="33"/>
        <v>103.51984882399998</v>
      </c>
      <c r="AS95" s="161">
        <f t="shared" si="34"/>
        <v>22.961169475999998</v>
      </c>
      <c r="AT95" s="211">
        <f t="shared" si="10"/>
        <v>126.48101829999997</v>
      </c>
      <c r="AU95" s="217">
        <v>42803</v>
      </c>
      <c r="AV95" s="56">
        <v>28</v>
      </c>
      <c r="AW95" s="56">
        <v>160</v>
      </c>
      <c r="AX95" s="349">
        <v>188</v>
      </c>
      <c r="AY95" s="217">
        <v>42803</v>
      </c>
      <c r="AZ95" s="56">
        <v>0.88</v>
      </c>
      <c r="BA95" s="56">
        <v>6.6</v>
      </c>
      <c r="BB95" s="225">
        <v>7.48</v>
      </c>
      <c r="BC95" s="198">
        <f t="shared" si="22"/>
        <v>7.0152303778197165E-83</v>
      </c>
      <c r="BD95" s="148">
        <f t="shared" si="23"/>
        <v>0.13337065998262979</v>
      </c>
      <c r="BE95" s="148">
        <f t="shared" si="24"/>
        <v>0.87096854789542988</v>
      </c>
      <c r="BF95" s="148">
        <f t="shared" si="11"/>
        <v>1.0043392078780597</v>
      </c>
      <c r="BG95" s="147">
        <f t="shared" si="25"/>
        <v>2510.8480196951496</v>
      </c>
      <c r="BH95" s="147">
        <f t="shared" si="26"/>
        <v>66.685329991314887</v>
      </c>
      <c r="BI95" s="147">
        <f t="shared" si="27"/>
        <v>435.48427394771494</v>
      </c>
      <c r="BK95" s="55"/>
      <c r="BL95" s="234"/>
      <c r="BM95" s="207"/>
      <c r="BN95" s="55"/>
      <c r="BO95" s="55"/>
      <c r="BP95" s="55"/>
      <c r="BQ95" s="55"/>
      <c r="BR95" s="55"/>
      <c r="BS95" s="55"/>
      <c r="BT95" s="55"/>
      <c r="BU95" s="55"/>
      <c r="BW95" s="147">
        <f ca="1">(AT95+BK95)*BH95/(BH95+BI95)*2.71828^(-0.69315/半Cs134*(NOW()-R95)/365.25)+(AT95+BK95)*BI95/(BH95+BI95)*2.71828^(-0.69315/半Cs137*(NOW()-R95)/365.25)</f>
        <v>109.56223420548861</v>
      </c>
      <c r="BX95" s="147">
        <f ca="1">(AT95)*BH95/(BH95+BI95)*2.71828^(-0.69315/半Cs134*(NOW()-R95)/365.25)+(AT95)*BI95/(BH95+BI95)*2.71828^(-0.69315/半Cs137*(NOW()-R95)/365.25)</f>
        <v>109.56223420548861</v>
      </c>
    </row>
    <row r="96" spans="1:76" ht="9.9499999999999993" customHeight="1" x14ac:dyDescent="0.15">
      <c r="A96" s="9"/>
      <c r="R96" s="191">
        <v>42840</v>
      </c>
      <c r="S96" s="65">
        <v>42844</v>
      </c>
      <c r="T96" s="56">
        <v>43</v>
      </c>
      <c r="U96" s="56">
        <v>290</v>
      </c>
      <c r="V96" s="62">
        <f t="shared" si="31"/>
        <v>333</v>
      </c>
      <c r="W96" s="56">
        <v>9.1999999999999993</v>
      </c>
      <c r="X96" s="56">
        <v>63</v>
      </c>
      <c r="Y96" s="349">
        <f t="shared" si="32"/>
        <v>72.2</v>
      </c>
      <c r="Z96" s="217"/>
      <c r="AA96" s="56"/>
      <c r="AB96" s="56"/>
      <c r="AC96" s="62"/>
      <c r="AD96" s="56"/>
      <c r="AE96" s="56"/>
      <c r="AF96" s="62"/>
      <c r="AG96" s="349"/>
      <c r="AH96" s="217"/>
      <c r="AI96" s="56"/>
      <c r="AJ96" s="56"/>
      <c r="AK96" s="62"/>
      <c r="AL96" s="56"/>
      <c r="AM96" s="56"/>
      <c r="AN96" s="62"/>
      <c r="AO96" s="349"/>
      <c r="AP96" s="344">
        <f>44193*0.077</f>
        <v>3402.8609999999999</v>
      </c>
      <c r="AQ96" s="161">
        <f t="shared" si="35"/>
        <v>404.94045899999998</v>
      </c>
      <c r="AR96" s="161">
        <f t="shared" si="33"/>
        <v>134.84517284699999</v>
      </c>
      <c r="AS96" s="161">
        <f t="shared" si="34"/>
        <v>29.236701139800001</v>
      </c>
      <c r="AT96" s="211">
        <f t="shared" si="10"/>
        <v>164.08187398679999</v>
      </c>
      <c r="AU96" s="217">
        <v>42853</v>
      </c>
      <c r="AV96" s="56">
        <v>34</v>
      </c>
      <c r="AW96" s="56">
        <v>230</v>
      </c>
      <c r="AX96" s="349">
        <v>264</v>
      </c>
      <c r="AY96" s="217">
        <v>42853</v>
      </c>
      <c r="AZ96" s="56">
        <v>1.4</v>
      </c>
      <c r="BA96" s="56">
        <v>9.6999999999999993</v>
      </c>
      <c r="BB96" s="225">
        <v>11.1</v>
      </c>
      <c r="BC96" s="198">
        <f t="shared" si="22"/>
        <v>9.3223185110361031E-85</v>
      </c>
      <c r="BD96" s="148">
        <f t="shared" si="23"/>
        <v>0.12737241480529474</v>
      </c>
      <c r="BE96" s="148">
        <f t="shared" si="24"/>
        <v>0.86822450609164381</v>
      </c>
      <c r="BF96" s="148">
        <f t="shared" si="11"/>
        <v>0.99559692089693852</v>
      </c>
      <c r="BG96" s="147">
        <f t="shared" si="25"/>
        <v>2488.9923022423463</v>
      </c>
      <c r="BH96" s="147">
        <f t="shared" si="26"/>
        <v>63.686207402647369</v>
      </c>
      <c r="BI96" s="147">
        <f t="shared" si="27"/>
        <v>434.11225304582189</v>
      </c>
      <c r="BK96" s="55"/>
      <c r="BL96" s="234"/>
      <c r="BM96" s="207"/>
      <c r="BN96" s="55"/>
      <c r="BO96" s="55"/>
      <c r="BP96" s="55"/>
      <c r="BQ96" s="55"/>
      <c r="BR96" s="55"/>
      <c r="BS96" s="55"/>
      <c r="BT96" s="55"/>
      <c r="BU96" s="55"/>
      <c r="BW96" s="147">
        <f ca="1">(AT96+BK96)*BH96/(BH96+BI96)*2.71828^(-0.69315/半Cs134*(NOW()-R96)/365.25)+(AT96+BK96)*BI96/(BH96+BI96)*2.71828^(-0.69315/半Cs137*(NOW()-R96)/365.25)</f>
        <v>143.06942176917522</v>
      </c>
      <c r="BX96" s="147">
        <f ca="1">(AT96)*BH96/(BH96+BI96)*2.71828^(-0.69315/半Cs134*(NOW()-R96)/365.25)+(AT96)*BI96/(BH96+BI96)*2.71828^(-0.69315/半Cs137*(NOW()-R96)/365.25)</f>
        <v>143.06942176917522</v>
      </c>
    </row>
    <row r="97" spans="1:76" ht="9.9499999999999993" customHeight="1" x14ac:dyDescent="0.15">
      <c r="A97" s="9"/>
      <c r="R97" s="191">
        <v>42870</v>
      </c>
      <c r="S97" s="65">
        <v>42874</v>
      </c>
      <c r="T97" s="56">
        <v>48</v>
      </c>
      <c r="U97" s="56">
        <v>340</v>
      </c>
      <c r="V97" s="62">
        <f t="shared" si="31"/>
        <v>388</v>
      </c>
      <c r="W97" s="56">
        <v>8.3000000000000007</v>
      </c>
      <c r="X97" s="56">
        <v>64</v>
      </c>
      <c r="Y97" s="349">
        <f t="shared" si="32"/>
        <v>72.3</v>
      </c>
      <c r="Z97" s="217"/>
      <c r="AA97" s="56"/>
      <c r="AB97" s="56"/>
      <c r="AC97" s="62"/>
      <c r="AD97" s="56"/>
      <c r="AE97" s="56"/>
      <c r="AF97" s="62"/>
      <c r="AG97" s="349"/>
      <c r="AH97" s="217"/>
      <c r="AI97" s="56"/>
      <c r="AJ97" s="56"/>
      <c r="AK97" s="62"/>
      <c r="AL97" s="56"/>
      <c r="AM97" s="56"/>
      <c r="AN97" s="62"/>
      <c r="AO97" s="349"/>
      <c r="AP97" s="344">
        <f>44193*0.086</f>
        <v>3800.5979999999995</v>
      </c>
      <c r="AQ97" s="161">
        <f t="shared" si="35"/>
        <v>452.27116199999995</v>
      </c>
      <c r="AR97" s="161">
        <f t="shared" si="33"/>
        <v>175.48121085599999</v>
      </c>
      <c r="AS97" s="161">
        <f t="shared" si="34"/>
        <v>32.699205012599997</v>
      </c>
      <c r="AT97" s="211">
        <f t="shared" si="10"/>
        <v>208.18041586859999</v>
      </c>
      <c r="AU97" s="217">
        <v>42879</v>
      </c>
      <c r="AV97" s="56">
        <v>31</v>
      </c>
      <c r="AW97" s="56">
        <v>180</v>
      </c>
      <c r="AX97" s="349">
        <v>211</v>
      </c>
      <c r="AY97" s="217">
        <v>42879</v>
      </c>
      <c r="AZ97" s="56">
        <v>1.4</v>
      </c>
      <c r="BA97" s="56">
        <v>12</v>
      </c>
      <c r="BB97" s="225">
        <v>13.4</v>
      </c>
      <c r="BC97" s="198">
        <f t="shared" ref="BC97:BC119" si="36">1*2.71828^(-0.69315/半I131*(AY97-事故日)/365.25)</f>
        <v>9.8567689595645114E-86</v>
      </c>
      <c r="BD97" s="148">
        <f t="shared" ref="BD97:BD119" si="37">1*2.71828^(-0.69315/半Cs134*(AY97-事故日)/365.25)</f>
        <v>0.12436071928445967</v>
      </c>
      <c r="BE97" s="148">
        <f t="shared" ref="BE97:BE119" si="38">1*2.71828^(-0.69315/半Cs137*(AY97-事故日)/365.25)</f>
        <v>0.8668010226919215</v>
      </c>
      <c r="BF97" s="148">
        <f t="shared" si="11"/>
        <v>0.99116174197638118</v>
      </c>
      <c r="BG97" s="147">
        <f t="shared" ref="BG97:BG119" si="39">2500*2.71828^(-0.69315/半Cs134*(AY97-事故日)/365.25)+2500*2.71828^(-0.69315/半Cs137*(AY97-事故日)/365.25)</f>
        <v>2477.904354940953</v>
      </c>
      <c r="BH97" s="147">
        <f t="shared" ref="BH97:BH119" si="40">500*2.71828^(-0.69315/半Cs134*(AY97-事故日)/365.25)</f>
        <v>62.180359642229838</v>
      </c>
      <c r="BI97" s="147">
        <f t="shared" ref="BI97:BI119" si="41">500*2.71828^(-0.69315/半Cs137*(AY97-事故日)/365.25)</f>
        <v>433.40051134596075</v>
      </c>
      <c r="BK97" s="55"/>
      <c r="BL97" s="234"/>
      <c r="BM97" s="207"/>
      <c r="BN97" s="55"/>
      <c r="BO97" s="55"/>
      <c r="BP97" s="55"/>
      <c r="BQ97" s="55"/>
      <c r="BR97" s="55"/>
      <c r="BS97" s="55"/>
      <c r="BT97" s="55"/>
      <c r="BU97" s="55"/>
      <c r="BW97" s="147">
        <f ca="1">(AT97+BK97)*BH97/(BH97+BI97)*2.71828^(-0.69315/半Cs134*(NOW()-R97)/365.25)+(AT97+BK97)*BI97/(BH97+BI97)*2.71828^(-0.69315/半Cs137*(NOW()-R97)/365.25)</f>
        <v>182.41634805530231</v>
      </c>
      <c r="BX97" s="147">
        <f ca="1">(AT97)*BH97/(BH97+BI97)*2.71828^(-0.69315/半Cs134*(NOW()-R97)/365.25)+(AT97)*BI97/(BH97+BI97)*2.71828^(-0.69315/半Cs137*(NOW()-R97)/365.25)</f>
        <v>182.41634805530231</v>
      </c>
    </row>
    <row r="98" spans="1:76" ht="9.9499999999999993" customHeight="1" x14ac:dyDescent="0.15">
      <c r="A98" s="9"/>
      <c r="R98" s="191">
        <v>42901</v>
      </c>
      <c r="S98" s="65">
        <v>42909</v>
      </c>
      <c r="T98" s="56">
        <v>58</v>
      </c>
      <c r="U98" s="56">
        <v>420</v>
      </c>
      <c r="V98" s="62">
        <f t="shared" si="31"/>
        <v>478</v>
      </c>
      <c r="W98" s="56">
        <v>9.5</v>
      </c>
      <c r="X98" s="56">
        <v>74</v>
      </c>
      <c r="Y98" s="349">
        <f t="shared" si="32"/>
        <v>83.5</v>
      </c>
      <c r="Z98" s="217"/>
      <c r="AA98" s="56"/>
      <c r="AB98" s="56"/>
      <c r="AC98" s="62"/>
      <c r="AD98" s="56"/>
      <c r="AE98" s="56"/>
      <c r="AF98" s="62"/>
      <c r="AG98" s="349"/>
      <c r="AH98" s="217"/>
      <c r="AI98" s="56"/>
      <c r="AJ98" s="56"/>
      <c r="AK98" s="62"/>
      <c r="AL98" s="56"/>
      <c r="AM98" s="56"/>
      <c r="AN98" s="62"/>
      <c r="AO98" s="349"/>
      <c r="AP98" s="344">
        <f>44193*0.089</f>
        <v>3933.1769999999997</v>
      </c>
      <c r="AQ98" s="161">
        <f t="shared" si="35"/>
        <v>468.04806299999996</v>
      </c>
      <c r="AR98" s="161">
        <f t="shared" si="33"/>
        <v>223.72697411399997</v>
      </c>
      <c r="AS98" s="161">
        <f t="shared" si="34"/>
        <v>39.082013260499998</v>
      </c>
      <c r="AT98" s="211">
        <f t="shared" ref="AT98:AT119" si="42">SUM(AR98:AS98)</f>
        <v>262.80898737449996</v>
      </c>
      <c r="AU98" s="217">
        <v>42914</v>
      </c>
      <c r="AV98" s="56">
        <v>20</v>
      </c>
      <c r="AW98" s="56">
        <v>160</v>
      </c>
      <c r="AX98" s="349">
        <v>180</v>
      </c>
      <c r="AY98" s="217">
        <v>42914</v>
      </c>
      <c r="AZ98" s="56">
        <v>0.79</v>
      </c>
      <c r="BA98" s="56">
        <v>7.9</v>
      </c>
      <c r="BB98" s="225">
        <v>8.69</v>
      </c>
      <c r="BC98" s="198">
        <f t="shared" si="36"/>
        <v>4.7881966289377571E-87</v>
      </c>
      <c r="BD98" s="148">
        <f t="shared" si="37"/>
        <v>0.12041865797673137</v>
      </c>
      <c r="BE98" s="148">
        <f t="shared" si="38"/>
        <v>0.86488847982023054</v>
      </c>
      <c r="BF98" s="148">
        <f t="shared" si="11"/>
        <v>0.98530713779696188</v>
      </c>
      <c r="BG98" s="147">
        <f t="shared" si="39"/>
        <v>2463.2678444924049</v>
      </c>
      <c r="BH98" s="147">
        <f t="shared" si="40"/>
        <v>60.209328988365691</v>
      </c>
      <c r="BI98" s="147">
        <f t="shared" si="41"/>
        <v>432.44423991011524</v>
      </c>
      <c r="BK98" s="55"/>
      <c r="BL98" s="234"/>
      <c r="BM98" s="207"/>
      <c r="BN98" s="55"/>
      <c r="BO98" s="55"/>
      <c r="BP98" s="55"/>
      <c r="BQ98" s="55"/>
      <c r="BR98" s="55"/>
      <c r="BS98" s="55"/>
      <c r="BT98" s="55"/>
      <c r="BU98" s="55"/>
      <c r="BW98" s="147">
        <f ca="1">(AT98+BK98)*BH98/(BH98+BI98)*2.71828^(-0.69315/半Cs134*(NOW()-R98)/365.25)+(AT98+BK98)*BI98/(BH98+BI98)*2.71828^(-0.69315/半Cs137*(NOW()-R98)/365.25)</f>
        <v>231.54656528673678</v>
      </c>
      <c r="BX98" s="147">
        <f ca="1">(AT98)*BH98/(BH98+BI98)*2.71828^(-0.69315/半Cs134*(NOW()-R98)/365.25)+(AT98)*BI98/(BH98+BI98)*2.71828^(-0.69315/半Cs137*(NOW()-R98)/365.25)</f>
        <v>231.54656528673678</v>
      </c>
    </row>
    <row r="99" spans="1:76" ht="9.9499999999999993" customHeight="1" x14ac:dyDescent="0.15">
      <c r="A99" s="9"/>
      <c r="R99" s="191">
        <v>42931</v>
      </c>
      <c r="S99" s="65">
        <v>42930</v>
      </c>
      <c r="T99" s="56">
        <v>56</v>
      </c>
      <c r="U99" s="56">
        <v>440</v>
      </c>
      <c r="V99" s="62">
        <f t="shared" si="31"/>
        <v>496</v>
      </c>
      <c r="W99" s="56">
        <v>5.7</v>
      </c>
      <c r="X99" s="56">
        <v>42</v>
      </c>
      <c r="Y99" s="349">
        <f t="shared" si="32"/>
        <v>47.7</v>
      </c>
      <c r="Z99" s="217"/>
      <c r="AA99" s="56"/>
      <c r="AB99" s="56"/>
      <c r="AC99" s="62"/>
      <c r="AD99" s="56"/>
      <c r="AE99" s="56"/>
      <c r="AF99" s="62"/>
      <c r="AG99" s="349"/>
      <c r="AH99" s="217"/>
      <c r="AI99" s="56"/>
      <c r="AJ99" s="56"/>
      <c r="AK99" s="62"/>
      <c r="AL99" s="56"/>
      <c r="AM99" s="56"/>
      <c r="AN99" s="62"/>
      <c r="AO99" s="349"/>
      <c r="AP99" s="344">
        <f>44193*0.095</f>
        <v>4198.335</v>
      </c>
      <c r="AQ99" s="161">
        <f t="shared" si="35"/>
        <v>499.60186499999998</v>
      </c>
      <c r="AR99" s="161">
        <f t="shared" si="33"/>
        <v>247.80252503999998</v>
      </c>
      <c r="AS99" s="161">
        <f t="shared" si="34"/>
        <v>23.8310089605</v>
      </c>
      <c r="AT99" s="211">
        <f t="shared" si="42"/>
        <v>271.63353400049999</v>
      </c>
      <c r="AU99" s="217">
        <v>42942</v>
      </c>
      <c r="AV99" s="56">
        <v>25</v>
      </c>
      <c r="AW99" s="56">
        <v>170</v>
      </c>
      <c r="AX99" s="349">
        <v>195</v>
      </c>
      <c r="AY99" s="217">
        <v>42944</v>
      </c>
      <c r="AZ99" s="56">
        <v>1.2</v>
      </c>
      <c r="BA99" s="56">
        <v>14</v>
      </c>
      <c r="BB99" s="225">
        <v>15.2</v>
      </c>
      <c r="BC99" s="198">
        <f t="shared" si="36"/>
        <v>3.5831185409587152E-88</v>
      </c>
      <c r="BD99" s="148">
        <f t="shared" si="37"/>
        <v>0.11713935603092364</v>
      </c>
      <c r="BE99" s="148">
        <f t="shared" si="38"/>
        <v>0.86325251641387668</v>
      </c>
      <c r="BF99" s="148">
        <f t="shared" ref="BF99:BF119" si="43">BD99+BE99</f>
        <v>0.98039187244480031</v>
      </c>
      <c r="BG99" s="147">
        <f t="shared" si="39"/>
        <v>2450.9796811120009</v>
      </c>
      <c r="BH99" s="147">
        <f t="shared" si="40"/>
        <v>58.569678015461818</v>
      </c>
      <c r="BI99" s="147">
        <f t="shared" si="41"/>
        <v>431.62625820693836</v>
      </c>
      <c r="BK99" s="55"/>
      <c r="BL99" s="234"/>
      <c r="BM99" s="207"/>
      <c r="BN99" s="55"/>
      <c r="BO99" s="55"/>
      <c r="BP99" s="55"/>
      <c r="BQ99" s="55"/>
      <c r="BR99" s="55"/>
      <c r="BS99" s="55"/>
      <c r="BT99" s="55"/>
      <c r="BU99" s="55"/>
      <c r="BW99" s="147">
        <f ca="1">(AT99+BK99)*BH99/(BH99+BI99)*2.71828^(-0.69315/半Cs134*(NOW()-R99)/365.25)+(AT99+BK99)*BI99/(BH99+BI99)*2.71828^(-0.69315/半Cs137*(NOW()-R99)/365.25)</f>
        <v>240.52124371461747</v>
      </c>
      <c r="BX99" s="147">
        <f ca="1">(AT99)*BH99/(BH99+BI99)*2.71828^(-0.69315/半Cs134*(NOW()-R99)/365.25)+(AT99)*BI99/(BH99+BI99)*2.71828^(-0.69315/半Cs137*(NOW()-R99)/365.25)</f>
        <v>240.52124371461747</v>
      </c>
    </row>
    <row r="100" spans="1:76" ht="9.9499999999999993" customHeight="1" x14ac:dyDescent="0.15">
      <c r="A100" s="9"/>
      <c r="R100" s="191">
        <v>42962</v>
      </c>
      <c r="S100" s="65">
        <v>42964</v>
      </c>
      <c r="T100" s="56">
        <v>43</v>
      </c>
      <c r="U100" s="56">
        <v>310</v>
      </c>
      <c r="V100" s="62">
        <f t="shared" si="31"/>
        <v>353</v>
      </c>
      <c r="W100" s="56">
        <v>8.1999999999999993</v>
      </c>
      <c r="X100" s="56">
        <v>66</v>
      </c>
      <c r="Y100" s="349">
        <f t="shared" si="32"/>
        <v>74.2</v>
      </c>
      <c r="Z100" s="217"/>
      <c r="AA100" s="56"/>
      <c r="AB100" s="56"/>
      <c r="AC100" s="62"/>
      <c r="AD100" s="56"/>
      <c r="AE100" s="56"/>
      <c r="AF100" s="62"/>
      <c r="AG100" s="349"/>
      <c r="AH100" s="217"/>
      <c r="AI100" s="56"/>
      <c r="AJ100" s="56"/>
      <c r="AK100" s="62"/>
      <c r="AL100" s="56"/>
      <c r="AM100" s="56"/>
      <c r="AN100" s="62"/>
      <c r="AO100" s="349"/>
      <c r="AP100" s="344">
        <f>44193*0.098</f>
        <v>4330.9139999999998</v>
      </c>
      <c r="AQ100" s="161">
        <f t="shared" si="35"/>
        <v>515.37876599999993</v>
      </c>
      <c r="AR100" s="161">
        <f t="shared" si="33"/>
        <v>181.92870439799998</v>
      </c>
      <c r="AS100" s="161">
        <f t="shared" si="34"/>
        <v>38.241104437199994</v>
      </c>
      <c r="AT100" s="211">
        <f t="shared" si="42"/>
        <v>220.16980883519997</v>
      </c>
      <c r="AU100" s="217">
        <v>42970</v>
      </c>
      <c r="AV100" s="56">
        <v>19</v>
      </c>
      <c r="AW100" s="56">
        <v>140</v>
      </c>
      <c r="AX100" s="349">
        <v>159</v>
      </c>
      <c r="AY100" s="217">
        <v>42970</v>
      </c>
      <c r="AZ100" s="56">
        <v>1.2</v>
      </c>
      <c r="BA100" s="56">
        <v>11</v>
      </c>
      <c r="BB100" s="225">
        <v>12.2</v>
      </c>
      <c r="BC100" s="198">
        <f t="shared" si="36"/>
        <v>3.7885394680680803E-89</v>
      </c>
      <c r="BD100" s="148">
        <f t="shared" si="37"/>
        <v>0.11436961915806058</v>
      </c>
      <c r="BE100" s="148">
        <f t="shared" si="38"/>
        <v>0.86183718475914683</v>
      </c>
      <c r="BF100" s="148">
        <f t="shared" si="43"/>
        <v>0.97620680391720738</v>
      </c>
      <c r="BG100" s="147">
        <f t="shared" si="39"/>
        <v>2440.5170097930186</v>
      </c>
      <c r="BH100" s="147">
        <f t="shared" si="40"/>
        <v>57.184809579030293</v>
      </c>
      <c r="BI100" s="147">
        <f t="shared" si="41"/>
        <v>430.9185923795734</v>
      </c>
      <c r="BK100" s="55"/>
      <c r="BL100" s="234"/>
      <c r="BM100" s="207"/>
      <c r="BN100" s="55"/>
      <c r="BO100" s="55"/>
      <c r="BP100" s="55"/>
      <c r="BQ100" s="55"/>
      <c r="BR100" s="55"/>
      <c r="BS100" s="55"/>
      <c r="BT100" s="55"/>
      <c r="BU100" s="55"/>
      <c r="BW100" s="147">
        <f ca="1">(AT100+BK100)*BH100/(BH100+BI100)*2.71828^(-0.69315/半Cs134*(NOW()-R100)/365.25)+(AT100+BK100)*BI100/(BH100+BI100)*2.71828^(-0.69315/半Cs137*(NOW()-R100)/365.25)</f>
        <v>195.89983018509022</v>
      </c>
      <c r="BX100" s="147">
        <f ca="1">(AT100)*BH100/(BH100+BI100)*2.71828^(-0.69315/半Cs134*(NOW()-R100)/365.25)+(AT100)*BI100/(BH100+BI100)*2.71828^(-0.69315/半Cs137*(NOW()-R100)/365.25)</f>
        <v>195.89983018509022</v>
      </c>
    </row>
    <row r="101" spans="1:76" ht="9.9499999999999993" customHeight="1" x14ac:dyDescent="0.15">
      <c r="A101" s="9"/>
      <c r="R101" s="191">
        <v>42993</v>
      </c>
      <c r="S101" s="65">
        <v>42984</v>
      </c>
      <c r="T101" s="56">
        <v>31</v>
      </c>
      <c r="U101" s="56">
        <v>250</v>
      </c>
      <c r="V101" s="62">
        <f t="shared" si="31"/>
        <v>281</v>
      </c>
      <c r="W101" s="56">
        <v>9.8000000000000007</v>
      </c>
      <c r="X101" s="56">
        <v>95</v>
      </c>
      <c r="Y101" s="349">
        <f t="shared" si="32"/>
        <v>104.8</v>
      </c>
      <c r="Z101" s="217"/>
      <c r="AA101" s="56"/>
      <c r="AB101" s="56"/>
      <c r="AC101" s="62"/>
      <c r="AD101" s="56"/>
      <c r="AE101" s="56"/>
      <c r="AF101" s="62"/>
      <c r="AG101" s="349"/>
      <c r="AH101" s="217"/>
      <c r="AI101" s="56"/>
      <c r="AJ101" s="56"/>
      <c r="AK101" s="62"/>
      <c r="AL101" s="56"/>
      <c r="AM101" s="56"/>
      <c r="AN101" s="62"/>
      <c r="AO101" s="349"/>
      <c r="AP101" s="344">
        <f>44193*0.091</f>
        <v>4021.5630000000001</v>
      </c>
      <c r="AQ101" s="161">
        <f t="shared" si="35"/>
        <v>478.56599699999998</v>
      </c>
      <c r="AR101" s="161">
        <f t="shared" si="33"/>
        <v>134.47704515699999</v>
      </c>
      <c r="AS101" s="161">
        <f t="shared" si="34"/>
        <v>50.153716485599993</v>
      </c>
      <c r="AT101" s="211">
        <f t="shared" si="42"/>
        <v>184.63076164259999</v>
      </c>
      <c r="AU101" s="217">
        <v>42991</v>
      </c>
      <c r="AV101" s="56">
        <v>16</v>
      </c>
      <c r="AW101" s="56">
        <v>140</v>
      </c>
      <c r="AX101" s="349">
        <v>156</v>
      </c>
      <c r="AY101" s="217">
        <v>42991</v>
      </c>
      <c r="AZ101" s="56">
        <v>0.86</v>
      </c>
      <c r="BA101" s="56">
        <v>7.4</v>
      </c>
      <c r="BB101" s="225">
        <v>8.26</v>
      </c>
      <c r="BC101" s="198">
        <f t="shared" si="36"/>
        <v>6.1706974832357717E-90</v>
      </c>
      <c r="BD101" s="148">
        <f t="shared" si="37"/>
        <v>0.11218040652199635</v>
      </c>
      <c r="BE101" s="148">
        <f t="shared" si="38"/>
        <v>0.86069572646892178</v>
      </c>
      <c r="BF101" s="148">
        <f t="shared" si="43"/>
        <v>0.97287613299091813</v>
      </c>
      <c r="BG101" s="147">
        <f t="shared" si="39"/>
        <v>2432.1903324772952</v>
      </c>
      <c r="BH101" s="147">
        <f t="shared" si="40"/>
        <v>56.090203260998173</v>
      </c>
      <c r="BI101" s="147">
        <f t="shared" si="41"/>
        <v>430.34786323446087</v>
      </c>
      <c r="BK101" s="55"/>
      <c r="BL101" s="234"/>
      <c r="BM101" s="207"/>
      <c r="BN101" s="55"/>
      <c r="BO101" s="55"/>
      <c r="BP101" s="55"/>
      <c r="BQ101" s="55"/>
      <c r="BR101" s="55"/>
      <c r="BS101" s="55"/>
      <c r="BT101" s="55"/>
      <c r="BU101" s="55"/>
      <c r="BW101" s="147">
        <f ca="1">(AT101+BK101)*BH101/(BH101+BI101)*2.71828^(-0.69315/半Cs134*(NOW()-R101)/365.25)+(AT101+BK101)*BI101/(BH101+BI101)*2.71828^(-0.69315/半Cs137*(NOW()-R101)/365.25)</f>
        <v>165.02993058863177</v>
      </c>
      <c r="BX101" s="147">
        <f ca="1">(AT101)*BH101/(BH101+BI101)*2.71828^(-0.69315/半Cs134*(NOW()-R101)/365.25)+(AT101)*BI101/(BH101+BI101)*2.71828^(-0.69315/半Cs137*(NOW()-R101)/365.25)</f>
        <v>165.02993058863177</v>
      </c>
    </row>
    <row r="102" spans="1:76" ht="9.9499999999999993" customHeight="1" x14ac:dyDescent="0.15">
      <c r="A102" s="9"/>
      <c r="R102" s="191">
        <v>43023</v>
      </c>
      <c r="S102" s="65">
        <v>43018</v>
      </c>
      <c r="T102" s="56">
        <v>42</v>
      </c>
      <c r="U102" s="56">
        <v>370</v>
      </c>
      <c r="V102" s="62">
        <f t="shared" si="31"/>
        <v>412</v>
      </c>
      <c r="W102" s="56">
        <v>6.8</v>
      </c>
      <c r="X102" s="56">
        <v>49</v>
      </c>
      <c r="Y102" s="349">
        <f t="shared" si="32"/>
        <v>55.8</v>
      </c>
      <c r="Z102" s="217"/>
      <c r="AA102" s="56"/>
      <c r="AB102" s="56"/>
      <c r="AC102" s="62"/>
      <c r="AD102" s="56"/>
      <c r="AE102" s="56"/>
      <c r="AF102" s="62"/>
      <c r="AG102" s="349"/>
      <c r="AH102" s="217"/>
      <c r="AI102" s="56"/>
      <c r="AJ102" s="56"/>
      <c r="AK102" s="62"/>
      <c r="AL102" s="56"/>
      <c r="AM102" s="56"/>
      <c r="AN102" s="62"/>
      <c r="AO102" s="349"/>
      <c r="AP102" s="344">
        <f>44193*0.094</f>
        <v>4154.1419999999998</v>
      </c>
      <c r="AQ102" s="161">
        <f t="shared" si="35"/>
        <v>494.34289799999993</v>
      </c>
      <c r="AR102" s="161">
        <f t="shared" si="33"/>
        <v>203.66927397599997</v>
      </c>
      <c r="AS102" s="161">
        <f t="shared" si="34"/>
        <v>27.584333708399996</v>
      </c>
      <c r="AT102" s="211">
        <f t="shared" si="42"/>
        <v>231.25360768439998</v>
      </c>
      <c r="AU102" s="217">
        <v>43019</v>
      </c>
      <c r="AV102" s="56">
        <v>17</v>
      </c>
      <c r="AW102" s="56">
        <v>140</v>
      </c>
      <c r="AX102" s="349">
        <v>157</v>
      </c>
      <c r="AY102" s="217">
        <v>43019</v>
      </c>
      <c r="AZ102" s="183">
        <v>0.39</v>
      </c>
      <c r="BA102" s="56">
        <v>7.2</v>
      </c>
      <c r="BB102" s="224">
        <f>AZ102+BA102</f>
        <v>7.59</v>
      </c>
      <c r="BC102" s="198">
        <f t="shared" si="36"/>
        <v>5.4888855522623624E-91</v>
      </c>
      <c r="BD102" s="148">
        <f t="shared" si="37"/>
        <v>0.10932650271777722</v>
      </c>
      <c r="BE102" s="148">
        <f t="shared" si="38"/>
        <v>0.85917613342752863</v>
      </c>
      <c r="BF102" s="148">
        <f t="shared" si="43"/>
        <v>0.96850263614530585</v>
      </c>
      <c r="BG102" s="147">
        <f t="shared" si="39"/>
        <v>2421.2565903632649</v>
      </c>
      <c r="BH102" s="147">
        <f t="shared" si="40"/>
        <v>54.663251358888608</v>
      </c>
      <c r="BI102" s="147">
        <f t="shared" si="41"/>
        <v>429.58806671376431</v>
      </c>
      <c r="BK102" s="55"/>
      <c r="BL102" s="234"/>
      <c r="BM102" s="207"/>
      <c r="BN102" s="55"/>
      <c r="BO102" s="55"/>
      <c r="BP102" s="55"/>
      <c r="BQ102" s="55"/>
      <c r="BR102" s="55"/>
      <c r="BS102" s="55"/>
      <c r="BT102" s="55"/>
      <c r="BU102" s="55"/>
      <c r="BW102" s="147">
        <f ca="1">(AT102+BK102)*BH102/(BH102+BI102)*2.71828^(-0.69315/半Cs134*(NOW()-R102)/365.25)+(AT102+BK102)*BI102/(BH102+BI102)*2.71828^(-0.69315/半Cs137*(NOW()-R102)/365.25)</f>
        <v>207.68433849646459</v>
      </c>
      <c r="BX102" s="147">
        <f ca="1">(AT102)*BH102/(BH102+BI102)*2.71828^(-0.69315/半Cs134*(NOW()-R102)/365.25)+(AT102)*BI102/(BH102+BI102)*2.71828^(-0.69315/半Cs137*(NOW()-R102)/365.25)</f>
        <v>207.68433849646459</v>
      </c>
    </row>
    <row r="103" spans="1:76" ht="9.9499999999999993" customHeight="1" x14ac:dyDescent="0.15">
      <c r="A103" s="9"/>
      <c r="R103" s="191">
        <v>43054</v>
      </c>
      <c r="S103" s="65">
        <v>43046</v>
      </c>
      <c r="T103" s="56">
        <v>40</v>
      </c>
      <c r="U103" s="56">
        <v>310</v>
      </c>
      <c r="V103" s="62">
        <f t="shared" si="31"/>
        <v>350</v>
      </c>
      <c r="W103" s="56">
        <v>6</v>
      </c>
      <c r="X103" s="56">
        <v>54</v>
      </c>
      <c r="Y103" s="349">
        <f t="shared" si="32"/>
        <v>60</v>
      </c>
      <c r="Z103" s="217"/>
      <c r="AA103" s="56"/>
      <c r="AB103" s="56"/>
      <c r="AC103" s="62"/>
      <c r="AD103" s="56"/>
      <c r="AE103" s="56"/>
      <c r="AF103" s="62"/>
      <c r="AG103" s="349"/>
      <c r="AH103" s="217"/>
      <c r="AI103" s="56"/>
      <c r="AJ103" s="56"/>
      <c r="AK103" s="62"/>
      <c r="AL103" s="56"/>
      <c r="AM103" s="56"/>
      <c r="AN103" s="62"/>
      <c r="AO103" s="349"/>
      <c r="AP103" s="344">
        <f>44193*0.083</f>
        <v>3668.0190000000002</v>
      </c>
      <c r="AQ103" s="161">
        <f t="shared" si="35"/>
        <v>436.49426099999999</v>
      </c>
      <c r="AR103" s="161">
        <f t="shared" si="33"/>
        <v>152.77299134999998</v>
      </c>
      <c r="AS103" s="161">
        <f t="shared" si="34"/>
        <v>26.18965566</v>
      </c>
      <c r="AT103" s="211">
        <f t="shared" si="42"/>
        <v>178.96264700999998</v>
      </c>
      <c r="AU103" s="217">
        <v>43054</v>
      </c>
      <c r="AV103" s="56">
        <v>15</v>
      </c>
      <c r="AW103" s="56">
        <v>120</v>
      </c>
      <c r="AX103" s="349">
        <v>135</v>
      </c>
      <c r="AY103" s="217">
        <v>43047</v>
      </c>
      <c r="AZ103" s="56">
        <v>0.99</v>
      </c>
      <c r="BA103" s="56">
        <v>7.7</v>
      </c>
      <c r="BB103" s="225">
        <v>8.69</v>
      </c>
      <c r="BC103" s="198">
        <f t="shared" si="36"/>
        <v>4.8824082994966865E-92</v>
      </c>
      <c r="BD103" s="148">
        <f t="shared" si="37"/>
        <v>0.10654520309798091</v>
      </c>
      <c r="BE103" s="148">
        <f t="shared" si="38"/>
        <v>0.85765922328897837</v>
      </c>
      <c r="BF103" s="148">
        <f t="shared" si="43"/>
        <v>0.96420442638695925</v>
      </c>
      <c r="BG103" s="147">
        <f t="shared" si="39"/>
        <v>2410.5110659673983</v>
      </c>
      <c r="BH103" s="147">
        <f t="shared" si="40"/>
        <v>53.272601548990451</v>
      </c>
      <c r="BI103" s="147">
        <f t="shared" si="41"/>
        <v>428.8296116444892</v>
      </c>
      <c r="BK103" s="55"/>
      <c r="BL103" s="234"/>
      <c r="BM103" s="207"/>
      <c r="BN103" s="55"/>
      <c r="BO103" s="55"/>
      <c r="BP103" s="55"/>
      <c r="BQ103" s="55"/>
      <c r="BR103" s="55"/>
      <c r="BS103" s="55"/>
      <c r="BT103" s="55"/>
      <c r="BU103" s="55"/>
      <c r="BW103" s="147">
        <f ca="1">(AT103+BK103)*BH103/(BH103+BI103)*2.71828^(-0.69315/半Cs134*(NOW()-R103)/365.25)+(AT103+BK103)*BI103/(BH103+BI103)*2.71828^(-0.69315/半Cs137*(NOW()-R103)/365.25)</f>
        <v>161.49504340177796</v>
      </c>
      <c r="BX103" s="147">
        <f ca="1">(AT103)*BH103/(BH103+BI103)*2.71828^(-0.69315/半Cs134*(NOW()-R103)/365.25)+(AT103)*BI103/(BH103+BI103)*2.71828^(-0.69315/半Cs137*(NOW()-R103)/365.25)</f>
        <v>161.49504340177796</v>
      </c>
    </row>
    <row r="104" spans="1:76" ht="9.9499999999999993" customHeight="1" x14ac:dyDescent="0.15">
      <c r="A104" s="9"/>
      <c r="R104" s="191">
        <v>43084</v>
      </c>
      <c r="S104" s="65">
        <v>43081</v>
      </c>
      <c r="T104" s="56">
        <v>31</v>
      </c>
      <c r="U104" s="56">
        <v>240</v>
      </c>
      <c r="V104" s="62">
        <f t="shared" si="31"/>
        <v>271</v>
      </c>
      <c r="W104" s="56">
        <v>2.7</v>
      </c>
      <c r="X104" s="56">
        <v>19</v>
      </c>
      <c r="Y104" s="349">
        <f t="shared" si="32"/>
        <v>21.7</v>
      </c>
      <c r="Z104" s="217"/>
      <c r="AA104" s="56"/>
      <c r="AB104" s="56"/>
      <c r="AC104" s="62"/>
      <c r="AD104" s="56"/>
      <c r="AE104" s="56"/>
      <c r="AF104" s="62"/>
      <c r="AG104" s="349"/>
      <c r="AH104" s="217"/>
      <c r="AI104" s="56"/>
      <c r="AJ104" s="56"/>
      <c r="AK104" s="62"/>
      <c r="AL104" s="56"/>
      <c r="AM104" s="56"/>
      <c r="AN104" s="62"/>
      <c r="AO104" s="349"/>
      <c r="AP104" s="344">
        <f>44193*0.08</f>
        <v>3535.44</v>
      </c>
      <c r="AQ104" s="161">
        <f t="shared" si="35"/>
        <v>420.71735999999999</v>
      </c>
      <c r="AR104" s="161">
        <f t="shared" si="33"/>
        <v>114.01440455999999</v>
      </c>
      <c r="AS104" s="161">
        <f t="shared" si="34"/>
        <v>9.129566711999999</v>
      </c>
      <c r="AT104" s="211">
        <f t="shared" si="42"/>
        <v>123.14397127199999</v>
      </c>
      <c r="AU104" s="217">
        <v>43089</v>
      </c>
      <c r="AV104" s="56">
        <v>13</v>
      </c>
      <c r="AW104" s="56">
        <v>110</v>
      </c>
      <c r="AX104" s="349">
        <v>123</v>
      </c>
      <c r="AY104" s="217">
        <v>43094</v>
      </c>
      <c r="AZ104" s="183">
        <v>0.39</v>
      </c>
      <c r="BA104" s="56">
        <v>6.2</v>
      </c>
      <c r="BB104" s="224">
        <f>AZ104+BA104</f>
        <v>6.59</v>
      </c>
      <c r="BC104" s="198">
        <f t="shared" si="36"/>
        <v>8.4082801786882838E-94</v>
      </c>
      <c r="BD104" s="148">
        <f t="shared" si="37"/>
        <v>0.10203474392794912</v>
      </c>
      <c r="BE104" s="148">
        <f t="shared" si="38"/>
        <v>0.85511899961559412</v>
      </c>
      <c r="BF104" s="148">
        <f t="shared" si="43"/>
        <v>0.95715374354354321</v>
      </c>
      <c r="BG104" s="147">
        <f t="shared" si="39"/>
        <v>2392.8843588588579</v>
      </c>
      <c r="BH104" s="147">
        <f t="shared" si="40"/>
        <v>51.017371963974561</v>
      </c>
      <c r="BI104" s="147">
        <f t="shared" si="41"/>
        <v>427.55949980779707</v>
      </c>
      <c r="BK104" s="55"/>
      <c r="BL104" s="234"/>
      <c r="BM104" s="207"/>
      <c r="BN104" s="55"/>
      <c r="BO104" s="55"/>
      <c r="BP104" s="55"/>
      <c r="BQ104" s="55"/>
      <c r="BR104" s="55"/>
      <c r="BS104" s="55"/>
      <c r="BT104" s="55"/>
      <c r="BU104" s="55"/>
      <c r="BW104" s="147">
        <f ca="1">(AT104+BK104)*BH104/(BH104+BI104)*2.71828^(-0.69315/半Cs134*(NOW()-R104)/365.25)+(AT104+BK104)*BI104/(BH104+BI104)*2.71828^(-0.69315/半Cs137*(NOW()-R104)/365.25)</f>
        <v>111.72495214274224</v>
      </c>
      <c r="BX104" s="147">
        <f ca="1">(AT104)*BH104/(BH104+BI104)*2.71828^(-0.69315/半Cs134*(NOW()-R104)/365.25)+(AT104)*BI104/(BH104+BI104)*2.71828^(-0.69315/半Cs137*(NOW()-R104)/365.25)</f>
        <v>111.72495214274224</v>
      </c>
    </row>
    <row r="105" spans="1:76" ht="9.9499999999999993" customHeight="1" x14ac:dyDescent="0.15">
      <c r="A105" s="9"/>
      <c r="R105" s="191">
        <v>43115</v>
      </c>
      <c r="S105" s="65">
        <v>43117</v>
      </c>
      <c r="T105" s="56">
        <v>17</v>
      </c>
      <c r="U105" s="56">
        <v>170</v>
      </c>
      <c r="V105" s="62">
        <f t="shared" si="31"/>
        <v>187</v>
      </c>
      <c r="W105" s="183">
        <v>0.75</v>
      </c>
      <c r="X105" s="56">
        <v>25</v>
      </c>
      <c r="Y105" s="350">
        <f t="shared" si="32"/>
        <v>25.75</v>
      </c>
      <c r="Z105" s="217"/>
      <c r="AA105" s="56"/>
      <c r="AB105" s="56"/>
      <c r="AC105" s="62"/>
      <c r="AD105" s="56"/>
      <c r="AE105" s="56"/>
      <c r="AF105" s="62"/>
      <c r="AG105" s="349"/>
      <c r="AH105" s="217"/>
      <c r="AI105" s="56"/>
      <c r="AJ105" s="56"/>
      <c r="AK105" s="62"/>
      <c r="AL105" s="56"/>
      <c r="AM105" s="56"/>
      <c r="AN105" s="62"/>
      <c r="AO105" s="349"/>
      <c r="AP105" s="344">
        <f>44193*0.072</f>
        <v>3181.8959999999997</v>
      </c>
      <c r="AQ105" s="161">
        <f t="shared" si="35"/>
        <v>378.64562399999994</v>
      </c>
      <c r="AR105" s="161">
        <f t="shared" si="33"/>
        <v>70.806731687999985</v>
      </c>
      <c r="AS105" s="161">
        <f t="shared" si="34"/>
        <v>9.750124817999998</v>
      </c>
      <c r="AT105" s="211">
        <f t="shared" si="42"/>
        <v>80.556856505999988</v>
      </c>
      <c r="AU105" s="217">
        <v>43110</v>
      </c>
      <c r="AV105" s="56">
        <v>11</v>
      </c>
      <c r="AW105" s="56">
        <v>110</v>
      </c>
      <c r="AX105" s="349">
        <v>121</v>
      </c>
      <c r="AY105" s="217">
        <v>43110</v>
      </c>
      <c r="AZ105" s="183">
        <v>0.39</v>
      </c>
      <c r="BA105" s="56">
        <v>6.6</v>
      </c>
      <c r="BB105" s="224">
        <f>AZ105+BA105</f>
        <v>6.9899999999999993</v>
      </c>
      <c r="BC105" s="198">
        <f t="shared" si="36"/>
        <v>2.1097034571633895E-94</v>
      </c>
      <c r="BD105" s="148">
        <f t="shared" si="37"/>
        <v>0.10054324670730115</v>
      </c>
      <c r="BE105" s="148">
        <f t="shared" si="38"/>
        <v>0.8542559603192903</v>
      </c>
      <c r="BF105" s="148">
        <f t="shared" si="43"/>
        <v>0.95479920702659149</v>
      </c>
      <c r="BG105" s="147">
        <f t="shared" si="39"/>
        <v>2386.9980175664787</v>
      </c>
      <c r="BH105" s="147">
        <f t="shared" si="40"/>
        <v>50.271623353650575</v>
      </c>
      <c r="BI105" s="147">
        <f t="shared" si="41"/>
        <v>427.12798015964518</v>
      </c>
      <c r="BK105" s="55"/>
      <c r="BL105" s="234"/>
      <c r="BM105" s="207"/>
      <c r="BN105" s="55"/>
      <c r="BO105" s="55"/>
      <c r="BP105" s="55"/>
      <c r="BQ105" s="55"/>
      <c r="BR105" s="55"/>
      <c r="BS105" s="55"/>
      <c r="BT105" s="55"/>
      <c r="BU105" s="55"/>
      <c r="BW105" s="147">
        <f ca="1">(AT105+BK105)*BH105/(BH105+BI105)*2.71828^(-0.69315/半Cs134*(NOW()-R105)/365.25)+(AT105+BK105)*BI105/(BH105+BI105)*2.71828^(-0.69315/半Cs137*(NOW()-R105)/365.25)</f>
        <v>73.393304645616823</v>
      </c>
      <c r="BX105" s="147">
        <f ca="1">(AT105)*BH105/(BH105+BI105)*2.71828^(-0.69315/半Cs134*(NOW()-R105)/365.25)+(AT105)*BI105/(BH105+BI105)*2.71828^(-0.69315/半Cs137*(NOW()-R105)/365.25)</f>
        <v>73.393304645616823</v>
      </c>
    </row>
    <row r="106" spans="1:76" ht="9.9499999999999993" customHeight="1" x14ac:dyDescent="0.15">
      <c r="A106" s="9"/>
      <c r="R106" s="191">
        <v>43146</v>
      </c>
      <c r="S106" s="65">
        <v>43157</v>
      </c>
      <c r="T106" s="56">
        <v>8.4</v>
      </c>
      <c r="U106" s="56">
        <v>72</v>
      </c>
      <c r="V106" s="62">
        <f t="shared" si="31"/>
        <v>80.400000000000006</v>
      </c>
      <c r="W106" s="183">
        <v>0.75</v>
      </c>
      <c r="X106" s="56">
        <v>10</v>
      </c>
      <c r="Y106" s="350">
        <f t="shared" si="32"/>
        <v>10.75</v>
      </c>
      <c r="Z106" s="217"/>
      <c r="AA106" s="56"/>
      <c r="AB106" s="56"/>
      <c r="AC106" s="62"/>
      <c r="AD106" s="56"/>
      <c r="AE106" s="56"/>
      <c r="AF106" s="62"/>
      <c r="AG106" s="349"/>
      <c r="AH106" s="217"/>
      <c r="AI106" s="56"/>
      <c r="AJ106" s="56"/>
      <c r="AK106" s="62"/>
      <c r="AL106" s="56"/>
      <c r="AM106" s="56"/>
      <c r="AN106" s="62"/>
      <c r="AO106" s="349"/>
      <c r="AP106" s="344">
        <f>44193*0.061</f>
        <v>2695.7730000000001</v>
      </c>
      <c r="AQ106" s="161">
        <f t="shared" si="35"/>
        <v>320.796987</v>
      </c>
      <c r="AR106" s="161">
        <f t="shared" si="33"/>
        <v>25.792077754800001</v>
      </c>
      <c r="AS106" s="161">
        <f t="shared" si="34"/>
        <v>3.44856761025</v>
      </c>
      <c r="AT106" s="211">
        <f t="shared" si="42"/>
        <v>29.24064536505</v>
      </c>
      <c r="AU106" s="217">
        <v>43138</v>
      </c>
      <c r="AV106" s="56">
        <v>13</v>
      </c>
      <c r="AW106" s="56">
        <v>110</v>
      </c>
      <c r="AX106" s="349">
        <v>123</v>
      </c>
      <c r="AY106" s="217">
        <v>43137</v>
      </c>
      <c r="AZ106" s="183">
        <v>0.39</v>
      </c>
      <c r="BA106" s="184">
        <v>0.6</v>
      </c>
      <c r="BB106" s="224">
        <f t="shared" ref="BB106:BB119" si="44">AZ106+BA106</f>
        <v>0.99</v>
      </c>
      <c r="BC106" s="198">
        <f t="shared" si="36"/>
        <v>2.0459814614913335E-95</v>
      </c>
      <c r="BD106" s="148">
        <f t="shared" si="37"/>
        <v>9.8075617141456822E-2</v>
      </c>
      <c r="BE106" s="148">
        <f t="shared" si="38"/>
        <v>0.85280155618518305</v>
      </c>
      <c r="BF106" s="148">
        <f t="shared" si="43"/>
        <v>0.9508771733266399</v>
      </c>
      <c r="BG106" s="147">
        <f t="shared" si="39"/>
        <v>2377.1929333165999</v>
      </c>
      <c r="BH106" s="147">
        <f t="shared" si="40"/>
        <v>49.037808570728409</v>
      </c>
      <c r="BI106" s="147">
        <f t="shared" si="41"/>
        <v>426.40077809259151</v>
      </c>
      <c r="BK106" s="55"/>
      <c r="BL106" s="234"/>
      <c r="BM106" s="207"/>
      <c r="BN106" s="55"/>
      <c r="BO106" s="55"/>
      <c r="BP106" s="55"/>
      <c r="BQ106" s="55"/>
      <c r="BR106" s="55"/>
      <c r="BS106" s="55"/>
      <c r="BT106" s="55"/>
      <c r="BU106" s="55"/>
      <c r="BW106" s="147">
        <f ca="1">(AT106+BK106)*BH106/(BH106+BI106)*2.71828^(-0.69315/半Cs134*(NOW()-R106)/365.25)+(AT106+BK106)*BI106/(BH106+BI106)*2.71828^(-0.69315/半Cs137*(NOW()-R106)/365.25)</f>
        <v>26.762610291516296</v>
      </c>
      <c r="BX106" s="147">
        <f ca="1">(AT106)*BH106/(BH106+BI106)*2.71828^(-0.69315/半Cs134*(NOW()-R106)/365.25)+(AT106)*BI106/(BH106+BI106)*2.71828^(-0.69315/半Cs137*(NOW()-R106)/365.25)</f>
        <v>26.762610291516296</v>
      </c>
    </row>
    <row r="107" spans="1:76" ht="9.9499999999999993" customHeight="1" x14ac:dyDescent="0.15">
      <c r="A107" s="9"/>
      <c r="R107" s="191">
        <v>43174</v>
      </c>
      <c r="S107" s="65">
        <v>43168</v>
      </c>
      <c r="T107" s="56">
        <v>12</v>
      </c>
      <c r="U107" s="56">
        <v>120</v>
      </c>
      <c r="V107" s="62">
        <f t="shared" si="31"/>
        <v>132</v>
      </c>
      <c r="W107" s="56">
        <v>2.1</v>
      </c>
      <c r="X107" s="56">
        <v>18</v>
      </c>
      <c r="Y107" s="349">
        <f t="shared" si="32"/>
        <v>20.100000000000001</v>
      </c>
      <c r="Z107" s="217"/>
      <c r="AA107" s="56"/>
      <c r="AB107" s="56"/>
      <c r="AC107" s="62"/>
      <c r="AD107" s="56"/>
      <c r="AE107" s="56"/>
      <c r="AF107" s="62"/>
      <c r="AG107" s="349"/>
      <c r="AH107" s="217"/>
      <c r="AI107" s="56"/>
      <c r="AJ107" s="56"/>
      <c r="AK107" s="62"/>
      <c r="AL107" s="56"/>
      <c r="AM107" s="56"/>
      <c r="AN107" s="62"/>
      <c r="AO107" s="349"/>
      <c r="AP107" s="344">
        <f>44193*0.074</f>
        <v>3270.2819999999997</v>
      </c>
      <c r="AQ107" s="161">
        <f t="shared" si="35"/>
        <v>389.16355799999997</v>
      </c>
      <c r="AR107" s="161">
        <f t="shared" si="33"/>
        <v>51.369589655999995</v>
      </c>
      <c r="AS107" s="161">
        <f t="shared" si="34"/>
        <v>7.8221875158000005</v>
      </c>
      <c r="AT107" s="211">
        <f t="shared" si="42"/>
        <v>59.191777171799998</v>
      </c>
      <c r="AU107" s="217">
        <v>43166</v>
      </c>
      <c r="AV107" s="56">
        <v>12</v>
      </c>
      <c r="AW107" s="56">
        <v>120</v>
      </c>
      <c r="AX107" s="349">
        <v>132</v>
      </c>
      <c r="AY107" s="217">
        <v>43166</v>
      </c>
      <c r="AZ107" s="183">
        <v>0.39</v>
      </c>
      <c r="BA107" s="184">
        <v>0.6</v>
      </c>
      <c r="BB107" s="224">
        <f t="shared" si="44"/>
        <v>0.99</v>
      </c>
      <c r="BC107" s="198">
        <f t="shared" si="36"/>
        <v>1.6692494967893791E-96</v>
      </c>
      <c r="BD107" s="148">
        <f t="shared" si="37"/>
        <v>9.5492617406938235E-2</v>
      </c>
      <c r="BE107" s="148">
        <f t="shared" si="38"/>
        <v>0.8512421763998127</v>
      </c>
      <c r="BF107" s="148">
        <f t="shared" si="43"/>
        <v>0.94673479380675096</v>
      </c>
      <c r="BG107" s="147">
        <f t="shared" si="39"/>
        <v>2366.8369845168772</v>
      </c>
      <c r="BH107" s="147">
        <f t="shared" si="40"/>
        <v>47.746308703469118</v>
      </c>
      <c r="BI107" s="147">
        <f t="shared" si="41"/>
        <v>425.62108819990635</v>
      </c>
      <c r="BK107" s="55"/>
      <c r="BL107" s="234"/>
      <c r="BM107" s="207"/>
      <c r="BN107" s="55"/>
      <c r="BO107" s="55"/>
      <c r="BP107" s="55"/>
      <c r="BQ107" s="55"/>
      <c r="BR107" s="55"/>
      <c r="BS107" s="55"/>
      <c r="BT107" s="55"/>
      <c r="BU107" s="55"/>
      <c r="BW107" s="147">
        <f ca="1">(AT107+BK107)*BH107/(BH107+BI107)*2.71828^(-0.69315/半Cs134*(NOW()-R107)/365.25)+(AT107+BK107)*BI107/(BH107+BI107)*2.71828^(-0.69315/半Cs137*(NOW()-R107)/365.25)</f>
        <v>54.406271320872847</v>
      </c>
      <c r="BX107" s="147">
        <f ca="1">(AT107)*BH107/(BH107+BI107)*2.71828^(-0.69315/半Cs134*(NOW()-R107)/365.25)+(AT107)*BI107/(BH107+BI107)*2.71828^(-0.69315/半Cs137*(NOW()-R107)/365.25)</f>
        <v>54.406271320872847</v>
      </c>
    </row>
    <row r="108" spans="1:76" ht="9.9499999999999993" customHeight="1" x14ac:dyDescent="0.15">
      <c r="A108" s="9"/>
      <c r="R108" s="191">
        <v>43205</v>
      </c>
      <c r="S108" s="65">
        <v>43203</v>
      </c>
      <c r="T108" s="56">
        <v>29</v>
      </c>
      <c r="U108" s="56">
        <v>290</v>
      </c>
      <c r="V108" s="62">
        <f t="shared" si="31"/>
        <v>319</v>
      </c>
      <c r="W108" s="56">
        <v>43</v>
      </c>
      <c r="X108" s="56">
        <v>37</v>
      </c>
      <c r="Y108" s="349">
        <f t="shared" si="32"/>
        <v>80</v>
      </c>
      <c r="Z108" s="217"/>
      <c r="AA108" s="56"/>
      <c r="AB108" s="56"/>
      <c r="AC108" s="62"/>
      <c r="AD108" s="56"/>
      <c r="AE108" s="56"/>
      <c r="AF108" s="62"/>
      <c r="AG108" s="349"/>
      <c r="AH108" s="217"/>
      <c r="AI108" s="56"/>
      <c r="AJ108" s="56"/>
      <c r="AK108" s="62"/>
      <c r="AL108" s="56"/>
      <c r="AM108" s="56"/>
      <c r="AN108" s="62"/>
      <c r="AO108" s="349"/>
      <c r="AP108" s="344">
        <f>44284*0.077</f>
        <v>3409.8679999999999</v>
      </c>
      <c r="AQ108" s="161">
        <f t="shared" si="35"/>
        <v>405.774292</v>
      </c>
      <c r="AR108" s="161">
        <f t="shared" si="33"/>
        <v>129.44199914800001</v>
      </c>
      <c r="AS108" s="161">
        <f t="shared" si="34"/>
        <v>32.461943359999999</v>
      </c>
      <c r="AT108" s="211">
        <f t="shared" si="42"/>
        <v>161.903942508</v>
      </c>
      <c r="AU108" s="217">
        <v>43215</v>
      </c>
      <c r="AV108" s="56">
        <v>15</v>
      </c>
      <c r="AW108" s="56">
        <v>150</v>
      </c>
      <c r="AX108" s="349">
        <v>165</v>
      </c>
      <c r="AY108" s="217">
        <v>43215</v>
      </c>
      <c r="AZ108" s="183">
        <v>0.39</v>
      </c>
      <c r="BA108" s="56">
        <v>7</v>
      </c>
      <c r="BB108" s="224">
        <f t="shared" si="44"/>
        <v>7.39</v>
      </c>
      <c r="BC108" s="198">
        <f t="shared" si="36"/>
        <v>2.4184305121469181E-98</v>
      </c>
      <c r="BD108" s="148">
        <f t="shared" si="37"/>
        <v>9.1281880392022924E-2</v>
      </c>
      <c r="BE108" s="148">
        <f t="shared" si="38"/>
        <v>0.84861383874265839</v>
      </c>
      <c r="BF108" s="148">
        <f t="shared" si="43"/>
        <v>0.93989571913468128</v>
      </c>
      <c r="BG108" s="147">
        <f t="shared" si="39"/>
        <v>2349.7392978367029</v>
      </c>
      <c r="BH108" s="147">
        <f t="shared" si="40"/>
        <v>45.640940196011464</v>
      </c>
      <c r="BI108" s="147">
        <f t="shared" si="41"/>
        <v>424.30691937132917</v>
      </c>
      <c r="BK108" s="55"/>
      <c r="BL108" s="234"/>
      <c r="BM108" s="207"/>
      <c r="BN108" s="55"/>
      <c r="BO108" s="55"/>
      <c r="BP108" s="55"/>
      <c r="BQ108" s="55"/>
      <c r="BR108" s="55"/>
      <c r="BS108" s="55"/>
      <c r="BT108" s="55"/>
      <c r="BU108" s="55"/>
      <c r="BW108" s="147">
        <f ca="1">(AT108+BK108)*BH108/(BH108+BI108)*2.71828^(-0.69315/半Cs134*(NOW()-R108)/365.25)+(AT108+BK108)*BI108/(BH108+BI108)*2.71828^(-0.69315/半Cs137*(NOW()-R108)/365.25)</f>
        <v>149.58790411573133</v>
      </c>
      <c r="BX108" s="147">
        <f ca="1">(AT108)*BH108/(BH108+BI108)*2.71828^(-0.69315/半Cs134*(NOW()-R108)/365.25)+(AT108)*BI108/(BH108+BI108)*2.71828^(-0.69315/半Cs137*(NOW()-R108)/365.25)</f>
        <v>149.58790411573133</v>
      </c>
    </row>
    <row r="109" spans="1:76" ht="9.9499999999999993" customHeight="1" x14ac:dyDescent="0.15">
      <c r="A109" s="9"/>
      <c r="R109" s="191">
        <v>43235</v>
      </c>
      <c r="S109" s="65">
        <v>43231</v>
      </c>
      <c r="T109" s="56">
        <v>37</v>
      </c>
      <c r="U109" s="56">
        <v>370</v>
      </c>
      <c r="V109" s="62">
        <f t="shared" si="31"/>
        <v>407</v>
      </c>
      <c r="W109" s="56">
        <v>67</v>
      </c>
      <c r="X109" s="56">
        <v>61</v>
      </c>
      <c r="Y109" s="349">
        <f t="shared" si="32"/>
        <v>128</v>
      </c>
      <c r="Z109" s="217"/>
      <c r="AA109" s="56"/>
      <c r="AB109" s="56"/>
      <c r="AC109" s="62"/>
      <c r="AD109" s="56"/>
      <c r="AE109" s="56"/>
      <c r="AF109" s="62"/>
      <c r="AG109" s="349"/>
      <c r="AH109" s="217"/>
      <c r="AI109" s="56"/>
      <c r="AJ109" s="56"/>
      <c r="AK109" s="62"/>
      <c r="AL109" s="56"/>
      <c r="AM109" s="56"/>
      <c r="AN109" s="62"/>
      <c r="AO109" s="349"/>
      <c r="AP109" s="344">
        <f>44284*0.086</f>
        <v>3808.4239999999995</v>
      </c>
      <c r="AQ109" s="161">
        <f t="shared" si="35"/>
        <v>453.20245599999993</v>
      </c>
      <c r="AR109" s="161">
        <f t="shared" si="33"/>
        <v>184.45339959199998</v>
      </c>
      <c r="AS109" s="161">
        <f t="shared" si="34"/>
        <v>58.00991436799999</v>
      </c>
      <c r="AT109" s="211">
        <f t="shared" si="42"/>
        <v>242.46331395999997</v>
      </c>
      <c r="AU109" s="217">
        <v>43236</v>
      </c>
      <c r="AV109" s="56">
        <v>11</v>
      </c>
      <c r="AW109" s="56">
        <v>100</v>
      </c>
      <c r="AX109" s="349">
        <v>111</v>
      </c>
      <c r="AY109" s="217">
        <v>43236</v>
      </c>
      <c r="AZ109" s="183">
        <v>0.39</v>
      </c>
      <c r="BA109" s="56">
        <v>7.6</v>
      </c>
      <c r="BB109" s="224">
        <f t="shared" si="44"/>
        <v>7.9899999999999993</v>
      </c>
      <c r="BC109" s="198">
        <f t="shared" si="36"/>
        <v>3.9390913570965169E-99</v>
      </c>
      <c r="BD109" s="148">
        <f t="shared" si="37"/>
        <v>8.9534603034023261E-2</v>
      </c>
      <c r="BE109" s="148">
        <f t="shared" si="38"/>
        <v>0.84748989408285214</v>
      </c>
      <c r="BF109" s="148">
        <f t="shared" si="43"/>
        <v>0.93702449711687541</v>
      </c>
      <c r="BG109" s="147">
        <f t="shared" si="39"/>
        <v>2342.5612427921888</v>
      </c>
      <c r="BH109" s="147">
        <f t="shared" si="40"/>
        <v>44.767301517011632</v>
      </c>
      <c r="BI109" s="147">
        <f t="shared" si="41"/>
        <v>423.74494704142609</v>
      </c>
      <c r="BK109" s="55"/>
      <c r="BL109" s="234"/>
      <c r="BM109" s="207"/>
      <c r="BN109" s="55"/>
      <c r="BO109" s="55"/>
      <c r="BP109" s="55"/>
      <c r="BQ109" s="55"/>
      <c r="BR109" s="55"/>
      <c r="BS109" s="55"/>
      <c r="BT109" s="55"/>
      <c r="BU109" s="55"/>
      <c r="BW109" s="147">
        <f ca="1">(AT109+BK109)*BH109/(BH109+BI109)*2.71828^(-0.69315/半Cs134*(NOW()-R109)/365.25)+(AT109+BK109)*BI109/(BH109+BI109)*2.71828^(-0.69315/半Cs137*(NOW()-R109)/365.25)</f>
        <v>224.93740623922946</v>
      </c>
      <c r="BX109" s="147">
        <f ca="1">(AT109)*BH109/(BH109+BI109)*2.71828^(-0.69315/半Cs134*(NOW()-R109)/365.25)+(AT109)*BI109/(BH109+BI109)*2.71828^(-0.69315/半Cs137*(NOW()-R109)/365.25)</f>
        <v>224.93740623922946</v>
      </c>
    </row>
    <row r="110" spans="1:76" ht="9.9499999999999993" customHeight="1" x14ac:dyDescent="0.15">
      <c r="A110" s="9"/>
      <c r="R110" s="191">
        <v>43266</v>
      </c>
      <c r="S110" s="65">
        <v>43266</v>
      </c>
      <c r="T110" s="56">
        <v>29</v>
      </c>
      <c r="U110" s="56">
        <v>270</v>
      </c>
      <c r="V110" s="62">
        <f t="shared" si="31"/>
        <v>299</v>
      </c>
      <c r="W110" s="56">
        <v>4.3</v>
      </c>
      <c r="X110" s="56">
        <v>45</v>
      </c>
      <c r="Y110" s="349">
        <f t="shared" si="32"/>
        <v>49.3</v>
      </c>
      <c r="Z110" s="217"/>
      <c r="AA110" s="56"/>
      <c r="AB110" s="56"/>
      <c r="AC110" s="62"/>
      <c r="AD110" s="56"/>
      <c r="AE110" s="56"/>
      <c r="AF110" s="62"/>
      <c r="AG110" s="349"/>
      <c r="AH110" s="217"/>
      <c r="AI110" s="56"/>
      <c r="AJ110" s="56"/>
      <c r="AK110" s="62"/>
      <c r="AL110" s="56"/>
      <c r="AM110" s="56"/>
      <c r="AN110" s="62"/>
      <c r="AO110" s="349"/>
      <c r="AP110" s="344">
        <f>44284*0.089</f>
        <v>3941.2759999999998</v>
      </c>
      <c r="AQ110" s="161">
        <f t="shared" si="35"/>
        <v>469.01184399999994</v>
      </c>
      <c r="AR110" s="161">
        <f t="shared" si="33"/>
        <v>140.23454135599997</v>
      </c>
      <c r="AS110" s="161">
        <f t="shared" si="34"/>
        <v>23.122283909199997</v>
      </c>
      <c r="AT110" s="211">
        <f t="shared" si="42"/>
        <v>163.35682526519997</v>
      </c>
      <c r="AU110" s="217">
        <v>43264</v>
      </c>
      <c r="AV110" s="56">
        <v>10</v>
      </c>
      <c r="AW110" s="56">
        <v>100</v>
      </c>
      <c r="AX110" s="349">
        <v>110</v>
      </c>
      <c r="AY110" s="217">
        <v>43264</v>
      </c>
      <c r="AZ110" s="183">
        <v>0.39</v>
      </c>
      <c r="BA110" s="56">
        <v>8.1999999999999993</v>
      </c>
      <c r="BB110" s="224">
        <f t="shared" si="44"/>
        <v>8.59</v>
      </c>
      <c r="BC110" s="198">
        <f t="shared" si="36"/>
        <v>3.5038537698123741E-100</v>
      </c>
      <c r="BD110" s="148">
        <f t="shared" si="37"/>
        <v>8.7256815387051767E-2</v>
      </c>
      <c r="BE110" s="148">
        <f t="shared" si="38"/>
        <v>0.84599361647150306</v>
      </c>
      <c r="BF110" s="148">
        <f t="shared" si="43"/>
        <v>0.93325043185855483</v>
      </c>
      <c r="BG110" s="147">
        <f t="shared" si="39"/>
        <v>2333.1260796463871</v>
      </c>
      <c r="BH110" s="147">
        <f t="shared" si="40"/>
        <v>43.628407693525887</v>
      </c>
      <c r="BI110" s="147">
        <f t="shared" si="41"/>
        <v>422.99680823575153</v>
      </c>
      <c r="BK110" s="55"/>
      <c r="BL110" s="234"/>
      <c r="BM110" s="207"/>
      <c r="BN110" s="55"/>
      <c r="BO110" s="55"/>
      <c r="BP110" s="55"/>
      <c r="BQ110" s="55"/>
      <c r="BR110" s="55"/>
      <c r="BS110" s="55"/>
      <c r="BT110" s="55"/>
      <c r="BU110" s="55"/>
      <c r="BW110" s="147">
        <f ca="1">(AT110+BK110)*BH110/(BH110+BI110)*2.71828^(-0.69315/半Cs134*(NOW()-R110)/365.25)+(AT110+BK110)*BI110/(BH110+BI110)*2.71828^(-0.69315/半Cs137*(NOW()-R110)/365.25)</f>
        <v>152.21424224234863</v>
      </c>
      <c r="BX110" s="147">
        <f ca="1">(AT110)*BH110/(BH110+BI110)*2.71828^(-0.69315/半Cs134*(NOW()-R110)/365.25)+(AT110)*BI110/(BH110+BI110)*2.71828^(-0.69315/半Cs137*(NOW()-R110)/365.25)</f>
        <v>152.21424224234863</v>
      </c>
    </row>
    <row r="111" spans="1:76" ht="9.9499999999999993" customHeight="1" x14ac:dyDescent="0.15">
      <c r="A111" s="9"/>
      <c r="R111" s="191">
        <v>43296</v>
      </c>
      <c r="S111" s="65">
        <v>43300</v>
      </c>
      <c r="T111" s="56">
        <v>30</v>
      </c>
      <c r="U111" s="56">
        <v>310</v>
      </c>
      <c r="V111" s="62">
        <f t="shared" si="31"/>
        <v>340</v>
      </c>
      <c r="W111" s="56">
        <v>45</v>
      </c>
      <c r="X111" s="56">
        <v>52</v>
      </c>
      <c r="Y111" s="349">
        <f t="shared" si="32"/>
        <v>97</v>
      </c>
      <c r="Z111" s="217"/>
      <c r="AA111" s="56"/>
      <c r="AB111" s="56"/>
      <c r="AC111" s="62"/>
      <c r="AD111" s="56"/>
      <c r="AE111" s="56"/>
      <c r="AF111" s="62"/>
      <c r="AG111" s="349"/>
      <c r="AH111" s="217"/>
      <c r="AI111" s="56"/>
      <c r="AJ111" s="56"/>
      <c r="AK111" s="62"/>
      <c r="AL111" s="56"/>
      <c r="AM111" s="56"/>
      <c r="AN111" s="62"/>
      <c r="AO111" s="349"/>
      <c r="AP111" s="344">
        <f>44284*0.095</f>
        <v>4206.9800000000005</v>
      </c>
      <c r="AQ111" s="161">
        <f t="shared" si="35"/>
        <v>500.63062000000002</v>
      </c>
      <c r="AR111" s="161">
        <f t="shared" si="33"/>
        <v>170.21441080000002</v>
      </c>
      <c r="AS111" s="161">
        <f t="shared" si="34"/>
        <v>48.561170140000002</v>
      </c>
      <c r="AT111" s="211">
        <f t="shared" si="42"/>
        <v>218.77558094000003</v>
      </c>
      <c r="AU111" s="217">
        <v>43299</v>
      </c>
      <c r="AV111" s="56">
        <v>9</v>
      </c>
      <c r="AW111" s="56">
        <v>96</v>
      </c>
      <c r="AX111" s="349">
        <v>104.6</v>
      </c>
      <c r="AY111" s="217">
        <v>43293</v>
      </c>
      <c r="AZ111" s="183">
        <v>0.39</v>
      </c>
      <c r="BA111" s="56">
        <v>8</v>
      </c>
      <c r="BB111" s="224">
        <f t="shared" si="44"/>
        <v>8.39</v>
      </c>
      <c r="BC111" s="198">
        <f t="shared" si="36"/>
        <v>2.8586799304719973E-101</v>
      </c>
      <c r="BD111" s="148">
        <f t="shared" si="37"/>
        <v>8.4958748471453266E-2</v>
      </c>
      <c r="BE111" s="148">
        <f t="shared" si="38"/>
        <v>0.84444668526047295</v>
      </c>
      <c r="BF111" s="148">
        <f t="shared" si="43"/>
        <v>0.92940543373192619</v>
      </c>
      <c r="BG111" s="147">
        <f t="shared" si="39"/>
        <v>2323.5135843298158</v>
      </c>
      <c r="BH111" s="147">
        <f t="shared" si="40"/>
        <v>42.479374235726631</v>
      </c>
      <c r="BI111" s="147">
        <f t="shared" si="41"/>
        <v>422.22334263023646</v>
      </c>
      <c r="BK111" s="55"/>
      <c r="BL111" s="234"/>
      <c r="BM111" s="207"/>
      <c r="BN111" s="55"/>
      <c r="BO111" s="55"/>
      <c r="BP111" s="55"/>
      <c r="BQ111" s="55"/>
      <c r="BR111" s="55"/>
      <c r="BS111" s="55"/>
      <c r="BT111" s="55"/>
      <c r="BU111" s="55"/>
      <c r="BW111" s="147">
        <f ca="1">(AT111+BK111)*BH111/(BH111+BI111)*2.71828^(-0.69315/半Cs134*(NOW()-R111)/365.25)+(AT111+BK111)*BI111/(BH111+BI111)*2.71828^(-0.69315/半Cs137*(NOW()-R111)/365.25)</f>
        <v>204.7197539689069</v>
      </c>
      <c r="BX111" s="147">
        <f ca="1">(AT111)*BH111/(BH111+BI111)*2.71828^(-0.69315/半Cs134*(NOW()-R111)/365.25)+(AT111)*BI111/(BH111+BI111)*2.71828^(-0.69315/半Cs137*(NOW()-R111)/365.25)</f>
        <v>204.7197539689069</v>
      </c>
    </row>
    <row r="112" spans="1:76" ht="9.9499999999999993" customHeight="1" x14ac:dyDescent="0.15">
      <c r="A112" s="9"/>
      <c r="R112" s="191">
        <v>43327</v>
      </c>
      <c r="S112" s="65">
        <v>43336</v>
      </c>
      <c r="T112" s="56">
        <v>29</v>
      </c>
      <c r="U112" s="56">
        <v>310</v>
      </c>
      <c r="V112" s="62">
        <f t="shared" si="31"/>
        <v>339</v>
      </c>
      <c r="W112" s="56">
        <v>47</v>
      </c>
      <c r="X112" s="56">
        <v>45</v>
      </c>
      <c r="Y112" s="349">
        <f t="shared" si="32"/>
        <v>92</v>
      </c>
      <c r="Z112" s="217"/>
      <c r="AA112" s="56"/>
      <c r="AB112" s="56"/>
      <c r="AC112" s="62"/>
      <c r="AD112" s="56"/>
      <c r="AE112" s="56"/>
      <c r="AF112" s="62"/>
      <c r="AG112" s="349"/>
      <c r="AH112" s="217"/>
      <c r="AI112" s="56"/>
      <c r="AJ112" s="56"/>
      <c r="AK112" s="62"/>
      <c r="AL112" s="56"/>
      <c r="AM112" s="56"/>
      <c r="AN112" s="62"/>
      <c r="AO112" s="349"/>
      <c r="AP112" s="344">
        <f>44284*0.098</f>
        <v>4339.8320000000003</v>
      </c>
      <c r="AQ112" s="161">
        <f t="shared" si="35"/>
        <v>516.44000800000003</v>
      </c>
      <c r="AR112" s="161">
        <f t="shared" si="33"/>
        <v>175.07316271200003</v>
      </c>
      <c r="AS112" s="161">
        <f t="shared" si="34"/>
        <v>47.512480736000008</v>
      </c>
      <c r="AT112" s="211">
        <f t="shared" si="42"/>
        <v>222.58564344800004</v>
      </c>
      <c r="AU112" s="217">
        <v>43334</v>
      </c>
      <c r="AV112" s="56">
        <v>13</v>
      </c>
      <c r="AW112" s="56">
        <v>140</v>
      </c>
      <c r="AX112" s="349">
        <v>153</v>
      </c>
      <c r="AY112" s="217">
        <v>43334</v>
      </c>
      <c r="AZ112" s="183">
        <v>0.39</v>
      </c>
      <c r="BA112" s="56">
        <v>6.4</v>
      </c>
      <c r="BB112" s="224">
        <f t="shared" si="44"/>
        <v>6.79</v>
      </c>
      <c r="BC112" s="198">
        <f t="shared" si="36"/>
        <v>8.2683865579976128E-103</v>
      </c>
      <c r="BD112" s="148">
        <f t="shared" si="37"/>
        <v>8.1812652536269223E-2</v>
      </c>
      <c r="BE112" s="148">
        <f t="shared" si="38"/>
        <v>0.84226446984865466</v>
      </c>
      <c r="BF112" s="148">
        <f t="shared" si="43"/>
        <v>0.9240771223849239</v>
      </c>
      <c r="BG112" s="147">
        <f t="shared" si="39"/>
        <v>2310.1928059623096</v>
      </c>
      <c r="BH112" s="147">
        <f t="shared" si="40"/>
        <v>40.906326268134613</v>
      </c>
      <c r="BI112" s="147">
        <f t="shared" si="41"/>
        <v>421.13223492432735</v>
      </c>
      <c r="BK112" s="55"/>
      <c r="BL112" s="234"/>
      <c r="BM112" s="207"/>
      <c r="BN112" s="55"/>
      <c r="BO112" s="55"/>
      <c r="BP112" s="55"/>
      <c r="BQ112" s="55"/>
      <c r="BR112" s="55"/>
      <c r="BS112" s="55"/>
      <c r="BT112" s="55"/>
      <c r="BU112" s="55"/>
      <c r="BW112" s="147">
        <f ca="1">(AT112+BK112)*BH112/(BH112+BI112)*2.71828^(-0.69315/半Cs134*(NOW()-R112)/365.25)+(AT112+BK112)*BI112/(BH112+BI112)*2.71828^(-0.69315/半Cs137*(NOW()-R112)/365.25)</f>
        <v>209.24581576493142</v>
      </c>
      <c r="BX112" s="147">
        <f ca="1">(AT112)*BH112/(BH112+BI112)*2.71828^(-0.69315/半Cs134*(NOW()-R112)/365.25)+(AT112)*BI112/(BH112+BI112)*2.71828^(-0.69315/半Cs137*(NOW()-R112)/365.25)</f>
        <v>209.24581576493142</v>
      </c>
    </row>
    <row r="113" spans="1:76" ht="9.9499999999999993" customHeight="1" x14ac:dyDescent="0.15">
      <c r="A113" s="9"/>
      <c r="R113" s="191">
        <v>43358</v>
      </c>
      <c r="S113" s="65">
        <v>43355</v>
      </c>
      <c r="T113" s="56">
        <v>26</v>
      </c>
      <c r="U113" s="56">
        <v>260</v>
      </c>
      <c r="V113" s="62">
        <f t="shared" si="31"/>
        <v>286</v>
      </c>
      <c r="W113" s="56">
        <v>44</v>
      </c>
      <c r="X113" s="56">
        <v>39</v>
      </c>
      <c r="Y113" s="349">
        <f t="shared" si="32"/>
        <v>83</v>
      </c>
      <c r="Z113" s="217"/>
      <c r="AA113" s="56"/>
      <c r="AB113" s="56"/>
      <c r="AC113" s="62"/>
      <c r="AD113" s="56"/>
      <c r="AE113" s="56"/>
      <c r="AF113" s="62"/>
      <c r="AG113" s="349"/>
      <c r="AH113" s="217"/>
      <c r="AI113" s="56"/>
      <c r="AJ113" s="56"/>
      <c r="AK113" s="62"/>
      <c r="AL113" s="56"/>
      <c r="AM113" s="56"/>
      <c r="AN113" s="62"/>
      <c r="AO113" s="349"/>
      <c r="AP113" s="344">
        <f>44284*0.091</f>
        <v>4029.8440000000001</v>
      </c>
      <c r="AQ113" s="161">
        <f t="shared" si="35"/>
        <v>479.55143599999997</v>
      </c>
      <c r="AR113" s="161">
        <f t="shared" si="33"/>
        <v>137.15171069599998</v>
      </c>
      <c r="AS113" s="161">
        <f t="shared" si="34"/>
        <v>39.802769187999999</v>
      </c>
      <c r="AT113" s="211">
        <f t="shared" si="42"/>
        <v>176.95447988399997</v>
      </c>
      <c r="AU113" s="217">
        <v>43369</v>
      </c>
      <c r="AV113" s="56">
        <v>15</v>
      </c>
      <c r="AW113" s="56">
        <v>170</v>
      </c>
      <c r="AX113" s="349">
        <v>185</v>
      </c>
      <c r="AY113" s="217">
        <v>43369</v>
      </c>
      <c r="AZ113" s="183">
        <v>0.39</v>
      </c>
      <c r="BA113" s="56">
        <v>5.5</v>
      </c>
      <c r="BB113" s="224">
        <f t="shared" si="44"/>
        <v>5.89</v>
      </c>
      <c r="BC113" s="198">
        <f t="shared" si="36"/>
        <v>4.0165961894989591E-104</v>
      </c>
      <c r="BD113" s="148">
        <f t="shared" si="37"/>
        <v>7.9219305586352137E-2</v>
      </c>
      <c r="BE113" s="148">
        <f t="shared" si="38"/>
        <v>0.8404060653639841</v>
      </c>
      <c r="BF113" s="148">
        <f t="shared" si="43"/>
        <v>0.91962537095033625</v>
      </c>
      <c r="BG113" s="147">
        <f t="shared" si="39"/>
        <v>2299.0634273758405</v>
      </c>
      <c r="BH113" s="147">
        <f t="shared" si="40"/>
        <v>39.609652793176068</v>
      </c>
      <c r="BI113" s="147">
        <f t="shared" si="41"/>
        <v>420.20303268199206</v>
      </c>
      <c r="BK113" s="55"/>
      <c r="BL113" s="234"/>
      <c r="BM113" s="207"/>
      <c r="BN113" s="55"/>
      <c r="BO113" s="55"/>
      <c r="BP113" s="55"/>
      <c r="BQ113" s="55"/>
      <c r="BR113" s="55"/>
      <c r="BS113" s="55"/>
      <c r="BT113" s="55"/>
      <c r="BU113" s="55"/>
      <c r="BW113" s="147">
        <f ca="1">(AT113+BK113)*BH113/(BH113+BI113)*2.71828^(-0.69315/半Cs134*(NOW()-R113)/365.25)+(AT113+BK113)*BI113/(BH113+BI113)*2.71828^(-0.69315/半Cs137*(NOW()-R113)/365.25)</f>
        <v>167.07815438164994</v>
      </c>
      <c r="BX113" s="147">
        <f ca="1">(AT113)*BH113/(BH113+BI113)*2.71828^(-0.69315/半Cs134*(NOW()-R113)/365.25)+(AT113)*BI113/(BH113+BI113)*2.71828^(-0.69315/半Cs137*(NOW()-R113)/365.25)</f>
        <v>167.07815438164994</v>
      </c>
    </row>
    <row r="114" spans="1:76" ht="9.9499999999999993" customHeight="1" x14ac:dyDescent="0.15">
      <c r="A114" s="9"/>
      <c r="R114" s="191">
        <v>43388</v>
      </c>
      <c r="S114" s="65">
        <v>43384</v>
      </c>
      <c r="T114" s="56">
        <v>25</v>
      </c>
      <c r="U114" s="56">
        <v>270</v>
      </c>
      <c r="V114" s="62">
        <f t="shared" si="31"/>
        <v>295</v>
      </c>
      <c r="W114" s="56">
        <v>4.2</v>
      </c>
      <c r="X114" s="56">
        <v>42</v>
      </c>
      <c r="Y114" s="349">
        <f t="shared" si="32"/>
        <v>46.2</v>
      </c>
      <c r="Z114" s="217"/>
      <c r="AA114" s="56"/>
      <c r="AB114" s="56"/>
      <c r="AC114" s="62"/>
      <c r="AD114" s="56"/>
      <c r="AE114" s="56"/>
      <c r="AF114" s="62"/>
      <c r="AG114" s="349"/>
      <c r="AH114" s="217"/>
      <c r="AI114" s="56"/>
      <c r="AJ114" s="56"/>
      <c r="AK114" s="62"/>
      <c r="AL114" s="56"/>
      <c r="AM114" s="56"/>
      <c r="AN114" s="62"/>
      <c r="AO114" s="349"/>
      <c r="AP114" s="344">
        <f>44284*0.094</f>
        <v>4162.6959999999999</v>
      </c>
      <c r="AQ114" s="161">
        <f t="shared" si="35"/>
        <v>495.36082399999998</v>
      </c>
      <c r="AR114" s="161">
        <f t="shared" si="33"/>
        <v>146.13144308</v>
      </c>
      <c r="AS114" s="161">
        <f t="shared" si="34"/>
        <v>22.885670068800003</v>
      </c>
      <c r="AT114" s="211">
        <f t="shared" si="42"/>
        <v>169.01711314880001</v>
      </c>
      <c r="AU114" s="217">
        <v>43397</v>
      </c>
      <c r="AV114" s="56">
        <v>8.4</v>
      </c>
      <c r="AW114" s="56">
        <v>100</v>
      </c>
      <c r="AX114" s="349">
        <v>108.4</v>
      </c>
      <c r="AY114" s="217">
        <v>43397</v>
      </c>
      <c r="AZ114" s="183">
        <v>0.39</v>
      </c>
      <c r="BA114" s="56">
        <v>3.5</v>
      </c>
      <c r="BB114" s="224">
        <f t="shared" si="44"/>
        <v>3.89</v>
      </c>
      <c r="BC114" s="198">
        <f t="shared" si="36"/>
        <v>3.5727949480114354E-105</v>
      </c>
      <c r="BD114" s="148">
        <f t="shared" si="37"/>
        <v>7.7203942256962241E-2</v>
      </c>
      <c r="BE114" s="148">
        <f t="shared" si="38"/>
        <v>0.83892229453813016</v>
      </c>
      <c r="BF114" s="148">
        <f t="shared" si="43"/>
        <v>0.91612623679509242</v>
      </c>
      <c r="BG114" s="147">
        <f t="shared" si="39"/>
        <v>2290.3155919877308</v>
      </c>
      <c r="BH114" s="147">
        <f t="shared" si="40"/>
        <v>38.601971128481118</v>
      </c>
      <c r="BI114" s="147">
        <f t="shared" si="41"/>
        <v>419.46114726906507</v>
      </c>
      <c r="BK114" s="55"/>
      <c r="BL114" s="234"/>
      <c r="BM114" s="207"/>
      <c r="BN114" s="55"/>
      <c r="BO114" s="55"/>
      <c r="BP114" s="55"/>
      <c r="BQ114" s="55"/>
      <c r="BR114" s="55"/>
      <c r="BS114" s="55"/>
      <c r="BT114" s="55"/>
      <c r="BU114" s="55"/>
      <c r="BW114" s="147">
        <f ca="1">(AT114+BK114)*BH114/(BH114+BI114)*2.71828^(-0.69315/半Cs134*(NOW()-R114)/365.25)+(AT114+BK114)*BI114/(BH114+BI114)*2.71828^(-0.69315/半Cs137*(NOW()-R114)/365.25)</f>
        <v>160.2299783722172</v>
      </c>
      <c r="BX114" s="147">
        <f ca="1">(AT114)*BH114/(BH114+BI114)*2.71828^(-0.69315/半Cs134*(NOW()-R114)/365.25)+(AT114)*BI114/(BH114+BI114)*2.71828^(-0.69315/半Cs137*(NOW()-R114)/365.25)</f>
        <v>160.2299783722172</v>
      </c>
    </row>
    <row r="115" spans="1:76" ht="9.9499999999999993" customHeight="1" x14ac:dyDescent="0.15">
      <c r="A115" s="9"/>
      <c r="R115" s="191">
        <v>43419</v>
      </c>
      <c r="S115" s="65">
        <v>43419</v>
      </c>
      <c r="T115" s="56">
        <v>22</v>
      </c>
      <c r="U115" s="56">
        <v>230</v>
      </c>
      <c r="V115" s="62">
        <f t="shared" si="31"/>
        <v>252</v>
      </c>
      <c r="W115" s="56">
        <v>3.9</v>
      </c>
      <c r="X115" s="56">
        <v>39</v>
      </c>
      <c r="Y115" s="349">
        <f t="shared" si="32"/>
        <v>42.9</v>
      </c>
      <c r="Z115" s="217"/>
      <c r="AA115" s="56"/>
      <c r="AB115" s="56"/>
      <c r="AC115" s="62"/>
      <c r="AD115" s="56"/>
      <c r="AE115" s="56"/>
      <c r="AF115" s="62"/>
      <c r="AG115" s="349"/>
      <c r="AH115" s="217"/>
      <c r="AI115" s="56"/>
      <c r="AJ115" s="56"/>
      <c r="AK115" s="62"/>
      <c r="AL115" s="56"/>
      <c r="AM115" s="56"/>
      <c r="AN115" s="62"/>
      <c r="AO115" s="349"/>
      <c r="AP115" s="344">
        <f>44284*0.083</f>
        <v>3675.5720000000001</v>
      </c>
      <c r="AQ115" s="161">
        <f t="shared" si="35"/>
        <v>437.39306799999997</v>
      </c>
      <c r="AR115" s="161">
        <f t="shared" si="33"/>
        <v>110.22305313599999</v>
      </c>
      <c r="AS115" s="161">
        <f t="shared" si="34"/>
        <v>18.7641626172</v>
      </c>
      <c r="AT115" s="211">
        <f t="shared" si="42"/>
        <v>128.98721575319999</v>
      </c>
      <c r="AU115" s="217">
        <v>43432</v>
      </c>
      <c r="AV115" s="56">
        <v>10</v>
      </c>
      <c r="AW115" s="56">
        <v>120</v>
      </c>
      <c r="AX115" s="349">
        <v>130</v>
      </c>
      <c r="AY115" s="217">
        <v>43410</v>
      </c>
      <c r="AZ115" s="183">
        <v>0.39</v>
      </c>
      <c r="BA115" s="184">
        <v>0.6</v>
      </c>
      <c r="BB115" s="224">
        <f t="shared" si="44"/>
        <v>0.99</v>
      </c>
      <c r="BC115" s="198">
        <f t="shared" si="36"/>
        <v>1.1617519536953982E-105</v>
      </c>
      <c r="BD115" s="148">
        <f t="shared" si="37"/>
        <v>7.6285746185143832E-2</v>
      </c>
      <c r="BE115" s="148">
        <f t="shared" si="38"/>
        <v>0.83823429170433961</v>
      </c>
      <c r="BF115" s="148">
        <f t="shared" si="43"/>
        <v>0.91452003788948344</v>
      </c>
      <c r="BG115" s="147">
        <f t="shared" si="39"/>
        <v>2286.3000947237083</v>
      </c>
      <c r="BH115" s="147">
        <f t="shared" si="40"/>
        <v>38.142873092571918</v>
      </c>
      <c r="BI115" s="147">
        <f t="shared" si="41"/>
        <v>419.11714585216981</v>
      </c>
      <c r="BK115" s="55"/>
      <c r="BL115" s="234"/>
      <c r="BM115" s="207"/>
      <c r="BN115" s="55"/>
      <c r="BO115" s="55"/>
      <c r="BP115" s="55"/>
      <c r="BQ115" s="55"/>
      <c r="BR115" s="55"/>
      <c r="BS115" s="55"/>
      <c r="BT115" s="55"/>
      <c r="BU115" s="55"/>
      <c r="BW115" s="147">
        <f ca="1">(AT115+BK115)*BH115/(BH115+BI115)*2.71828^(-0.69315/半Cs134*(NOW()-R115)/365.25)+(AT115+BK115)*BI115/(BH115+BI115)*2.71828^(-0.69315/半Cs137*(NOW()-R115)/365.25)</f>
        <v>122.74940088268816</v>
      </c>
      <c r="BX115" s="147">
        <f ca="1">(AT115)*BH115/(BH115+BI115)*2.71828^(-0.69315/半Cs134*(NOW()-R115)/365.25)+(AT115)*BI115/(BH115+BI115)*2.71828^(-0.69315/半Cs137*(NOW()-R115)/365.25)</f>
        <v>122.74940088268816</v>
      </c>
    </row>
    <row r="116" spans="1:76" ht="9.9499999999999993" customHeight="1" x14ac:dyDescent="0.15">
      <c r="A116" s="9"/>
      <c r="R116" s="191">
        <v>43449</v>
      </c>
      <c r="S116" s="65">
        <v>43451</v>
      </c>
      <c r="T116" s="56">
        <v>11</v>
      </c>
      <c r="U116" s="56">
        <v>130</v>
      </c>
      <c r="V116" s="62">
        <f t="shared" si="31"/>
        <v>141</v>
      </c>
      <c r="W116" s="183">
        <v>0.75</v>
      </c>
      <c r="X116" s="56">
        <v>18</v>
      </c>
      <c r="Y116" s="350">
        <f t="shared" si="32"/>
        <v>18.75</v>
      </c>
      <c r="Z116" s="217"/>
      <c r="AA116" s="56"/>
      <c r="AB116" s="56"/>
      <c r="AC116" s="62"/>
      <c r="AD116" s="56"/>
      <c r="AE116" s="56"/>
      <c r="AF116" s="62"/>
      <c r="AG116" s="349"/>
      <c r="AH116" s="217"/>
      <c r="AI116" s="56"/>
      <c r="AJ116" s="56"/>
      <c r="AK116" s="62"/>
      <c r="AL116" s="56"/>
      <c r="AM116" s="56"/>
      <c r="AN116" s="62"/>
      <c r="AO116" s="349"/>
      <c r="AP116" s="344">
        <f>44284*0.08</f>
        <v>3542.7200000000003</v>
      </c>
      <c r="AQ116" s="161">
        <f t="shared" si="35"/>
        <v>421.58368000000002</v>
      </c>
      <c r="AR116" s="161">
        <f t="shared" si="33"/>
        <v>59.44329888</v>
      </c>
      <c r="AS116" s="161">
        <f t="shared" si="34"/>
        <v>7.9046940000000001</v>
      </c>
      <c r="AT116" s="211">
        <f t="shared" si="42"/>
        <v>67.347992880000007</v>
      </c>
      <c r="AU116" s="217">
        <v>43453</v>
      </c>
      <c r="AV116" s="56">
        <v>8.3000000000000007</v>
      </c>
      <c r="AW116" s="56">
        <v>100</v>
      </c>
      <c r="AX116" s="349">
        <v>108.3</v>
      </c>
      <c r="AY116" s="217">
        <v>43453</v>
      </c>
      <c r="AZ116" s="183">
        <v>0.39</v>
      </c>
      <c r="BA116" s="56">
        <v>5.7</v>
      </c>
      <c r="BB116" s="224">
        <f t="shared" si="44"/>
        <v>6.09</v>
      </c>
      <c r="BC116" s="198">
        <f t="shared" si="36"/>
        <v>2.826883630896003E-107</v>
      </c>
      <c r="BD116" s="148">
        <f t="shared" si="37"/>
        <v>7.3325725612519779E-2</v>
      </c>
      <c r="BE116" s="148">
        <f t="shared" si="38"/>
        <v>0.83596260723313887</v>
      </c>
      <c r="BF116" s="148">
        <f t="shared" si="43"/>
        <v>0.90928833284565869</v>
      </c>
      <c r="BG116" s="147">
        <f t="shared" si="39"/>
        <v>2273.2208321141466</v>
      </c>
      <c r="BH116" s="147">
        <f t="shared" si="40"/>
        <v>36.662862806259888</v>
      </c>
      <c r="BI116" s="147">
        <f t="shared" si="41"/>
        <v>417.98130361656945</v>
      </c>
      <c r="BK116" s="55"/>
      <c r="BL116" s="234"/>
      <c r="BM116" s="207"/>
      <c r="BN116" s="55"/>
      <c r="BO116" s="55"/>
      <c r="BP116" s="55"/>
      <c r="BQ116" s="55"/>
      <c r="BR116" s="55"/>
      <c r="BS116" s="55"/>
      <c r="BT116" s="55"/>
      <c r="BU116" s="55"/>
      <c r="BW116" s="147">
        <f ca="1">(AT116+BK116)*BH116/(BH116+BI116)*2.71828^(-0.69315/半Cs134*(NOW()-R116)/365.25)+(AT116+BK116)*BI116/(BH116+BI116)*2.71828^(-0.69315/半Cs137*(NOW()-R116)/365.25)</f>
        <v>64.363578013846819</v>
      </c>
      <c r="BX116" s="147">
        <f ca="1">(AT116)*BH116/(BH116+BI116)*2.71828^(-0.69315/半Cs134*(NOW()-R116)/365.25)+(AT116)*BI116/(BH116+BI116)*2.71828^(-0.69315/半Cs137*(NOW()-R116)/365.25)</f>
        <v>64.363578013846819</v>
      </c>
    </row>
    <row r="117" spans="1:76" ht="9.9499999999999993" customHeight="1" x14ac:dyDescent="0.15">
      <c r="A117" s="9"/>
      <c r="R117" s="191">
        <v>43480</v>
      </c>
      <c r="S117" s="65">
        <v>43487</v>
      </c>
      <c r="T117" s="56">
        <v>8.3000000000000007</v>
      </c>
      <c r="U117" s="56">
        <v>98</v>
      </c>
      <c r="V117" s="62">
        <f t="shared" si="31"/>
        <v>106.3</v>
      </c>
      <c r="W117" s="183">
        <v>0.75</v>
      </c>
      <c r="X117" s="56">
        <v>14</v>
      </c>
      <c r="Y117" s="350">
        <f t="shared" si="32"/>
        <v>14.75</v>
      </c>
      <c r="Z117" s="217"/>
      <c r="AA117" s="56"/>
      <c r="AB117" s="56"/>
      <c r="AC117" s="62"/>
      <c r="AD117" s="56"/>
      <c r="AE117" s="56"/>
      <c r="AF117" s="62"/>
      <c r="AG117" s="349"/>
      <c r="AH117" s="217"/>
      <c r="AI117" s="56"/>
      <c r="AJ117" s="56"/>
      <c r="AK117" s="62"/>
      <c r="AL117" s="56"/>
      <c r="AM117" s="56"/>
      <c r="AN117" s="62"/>
      <c r="AO117" s="349"/>
      <c r="AP117" s="344">
        <f>44284*0.072</f>
        <v>3188.4479999999999</v>
      </c>
      <c r="AQ117" s="161">
        <f t="shared" si="35"/>
        <v>379.42531199999996</v>
      </c>
      <c r="AR117" s="161">
        <f t="shared" si="33"/>
        <v>40.332910665599996</v>
      </c>
      <c r="AS117" s="161">
        <f t="shared" si="34"/>
        <v>5.5965233519999993</v>
      </c>
      <c r="AT117" s="211">
        <f t="shared" si="42"/>
        <v>45.929434017599995</v>
      </c>
      <c r="AU117" s="217">
        <v>43480</v>
      </c>
      <c r="AV117" s="56">
        <v>6.8</v>
      </c>
      <c r="AW117" s="56">
        <v>90</v>
      </c>
      <c r="AX117" s="349">
        <v>96.8</v>
      </c>
      <c r="AY117" s="217">
        <v>43480</v>
      </c>
      <c r="AZ117" s="183">
        <v>0.39</v>
      </c>
      <c r="BA117" s="56">
        <v>7.3</v>
      </c>
      <c r="BB117" s="224">
        <f t="shared" si="44"/>
        <v>7.6899999999999995</v>
      </c>
      <c r="BC117" s="198">
        <f t="shared" si="36"/>
        <v>2.7414997510518673E-108</v>
      </c>
      <c r="BD117" s="148">
        <f t="shared" si="37"/>
        <v>7.1526094763267448E-2</v>
      </c>
      <c r="BE117" s="148">
        <f t="shared" si="38"/>
        <v>0.83453934824707987</v>
      </c>
      <c r="BF117" s="148">
        <f t="shared" si="43"/>
        <v>0.9060654430103473</v>
      </c>
      <c r="BG117" s="147">
        <f t="shared" si="39"/>
        <v>2265.1636075258684</v>
      </c>
      <c r="BH117" s="147">
        <f t="shared" si="40"/>
        <v>35.763047381633726</v>
      </c>
      <c r="BI117" s="147">
        <f t="shared" si="41"/>
        <v>417.26967412353991</v>
      </c>
      <c r="BK117" s="55"/>
      <c r="BL117" s="234"/>
      <c r="BM117" s="207"/>
      <c r="BN117" s="55"/>
      <c r="BO117" s="55"/>
      <c r="BP117" s="55"/>
      <c r="BQ117" s="55"/>
      <c r="BR117" s="55"/>
      <c r="BS117" s="55"/>
      <c r="BT117" s="55"/>
      <c r="BU117" s="55"/>
      <c r="BW117" s="147">
        <f ca="1">(AT117+BK117)*BH117/(BH117+BI117)*2.71828^(-0.69315/半Cs134*(NOW()-R117)/365.25)+(AT117+BK117)*BI117/(BH117+BI117)*2.71828^(-0.69315/半Cs137*(NOW()-R117)/365.25)</f>
        <v>44.070499329050577</v>
      </c>
      <c r="BX117" s="147">
        <f ca="1">(AT117)*BH117/(BH117+BI117)*2.71828^(-0.69315/半Cs134*(NOW()-R117)/365.25)+(AT117)*BI117/(BH117+BI117)*2.71828^(-0.69315/半Cs137*(NOW()-R117)/365.25)</f>
        <v>44.070499329050577</v>
      </c>
    </row>
    <row r="118" spans="1:76" ht="9.9499999999999993" customHeight="1" x14ac:dyDescent="0.15">
      <c r="A118" s="9"/>
      <c r="R118" s="191">
        <v>43511</v>
      </c>
      <c r="S118" s="65">
        <v>43518</v>
      </c>
      <c r="T118" s="56">
        <v>8.5</v>
      </c>
      <c r="U118" s="56">
        <v>96</v>
      </c>
      <c r="V118" s="62">
        <f t="shared" si="31"/>
        <v>104.5</v>
      </c>
      <c r="W118" s="183">
        <v>0.75</v>
      </c>
      <c r="X118" s="56">
        <v>14</v>
      </c>
      <c r="Y118" s="350">
        <f t="shared" si="32"/>
        <v>14.75</v>
      </c>
      <c r="Z118" s="217"/>
      <c r="AA118" s="56"/>
      <c r="AB118" s="56"/>
      <c r="AC118" s="62"/>
      <c r="AD118" s="56"/>
      <c r="AE118" s="56"/>
      <c r="AF118" s="62"/>
      <c r="AG118" s="349"/>
      <c r="AH118" s="217"/>
      <c r="AI118" s="56"/>
      <c r="AJ118" s="56"/>
      <c r="AK118" s="62"/>
      <c r="AL118" s="56"/>
      <c r="AM118" s="56"/>
      <c r="AN118" s="62"/>
      <c r="AO118" s="349"/>
      <c r="AP118" s="344">
        <f>44284*0.061</f>
        <v>2701.3240000000001</v>
      </c>
      <c r="AQ118" s="161">
        <f t="shared" si="35"/>
        <v>321.45755600000001</v>
      </c>
      <c r="AR118" s="161">
        <f t="shared" si="33"/>
        <v>33.592314602000002</v>
      </c>
      <c r="AS118" s="161">
        <f t="shared" si="34"/>
        <v>4.7414989510000005</v>
      </c>
      <c r="AT118" s="211">
        <f t="shared" si="42"/>
        <v>38.333813552999999</v>
      </c>
      <c r="AU118" s="217">
        <v>43518</v>
      </c>
      <c r="AV118" s="56">
        <v>8.4</v>
      </c>
      <c r="AW118" s="56">
        <v>87</v>
      </c>
      <c r="AX118" s="349">
        <v>95.4</v>
      </c>
      <c r="AY118" s="217">
        <v>43517</v>
      </c>
      <c r="AZ118" s="183">
        <v>0.39</v>
      </c>
      <c r="BA118" s="56">
        <v>6.4</v>
      </c>
      <c r="BB118" s="224">
        <f t="shared" si="44"/>
        <v>6.79</v>
      </c>
      <c r="BC118" s="198">
        <f t="shared" si="36"/>
        <v>1.1203788205624721E-109</v>
      </c>
      <c r="BD118" s="148">
        <f t="shared" si="37"/>
        <v>6.9131451352928711E-2</v>
      </c>
      <c r="BE118" s="148">
        <f t="shared" si="38"/>
        <v>0.8325928910235838</v>
      </c>
      <c r="BF118" s="148">
        <f t="shared" si="43"/>
        <v>0.90172434237651256</v>
      </c>
      <c r="BG118" s="147">
        <f t="shared" si="39"/>
        <v>2254.3108559412813</v>
      </c>
      <c r="BH118" s="147">
        <f t="shared" si="40"/>
        <v>34.565725676464353</v>
      </c>
      <c r="BI118" s="147">
        <f t="shared" si="41"/>
        <v>416.29644551179189</v>
      </c>
      <c r="BK118" s="55"/>
      <c r="BL118" s="234"/>
      <c r="BM118" s="207"/>
      <c r="BN118" s="55"/>
      <c r="BO118" s="55"/>
      <c r="BP118" s="55"/>
      <c r="BQ118" s="55"/>
      <c r="BR118" s="55"/>
      <c r="BS118" s="55"/>
      <c r="BT118" s="55"/>
      <c r="BU118" s="55"/>
      <c r="BW118" s="147">
        <f ca="1">(AT118+BK118)*BH118/(BH118+BI118)*2.71828^(-0.69315/半Cs134*(NOW()-R118)/365.25)+(AT118+BK118)*BI118/(BH118+BI118)*2.71828^(-0.69315/半Cs137*(NOW()-R118)/365.25)</f>
        <v>36.933956107205617</v>
      </c>
      <c r="BX118" s="147">
        <f ca="1">(AT118)*BH118/(BH118+BI118)*2.71828^(-0.69315/半Cs134*(NOW()-R118)/365.25)+(AT118)*BI118/(BH118+BI118)*2.71828^(-0.69315/半Cs137*(NOW()-R118)/365.25)</f>
        <v>36.933956107205617</v>
      </c>
    </row>
    <row r="119" spans="1:76" ht="9.9499999999999993" customHeight="1" x14ac:dyDescent="0.15">
      <c r="A119" s="9"/>
      <c r="R119" s="191">
        <v>43539</v>
      </c>
      <c r="S119" s="65">
        <v>43532</v>
      </c>
      <c r="T119" s="56">
        <v>13</v>
      </c>
      <c r="U119" s="56">
        <v>130</v>
      </c>
      <c r="V119" s="62">
        <f t="shared" si="31"/>
        <v>143</v>
      </c>
      <c r="W119" s="56">
        <v>1.5</v>
      </c>
      <c r="X119" s="56">
        <v>16</v>
      </c>
      <c r="Y119" s="350">
        <f t="shared" si="32"/>
        <v>17.5</v>
      </c>
      <c r="Z119" s="217"/>
      <c r="AA119" s="56"/>
      <c r="AB119" s="56"/>
      <c r="AC119" s="62"/>
      <c r="AD119" s="56"/>
      <c r="AE119" s="56"/>
      <c r="AF119" s="62"/>
      <c r="AG119" s="349"/>
      <c r="AH119" s="217"/>
      <c r="AI119" s="56"/>
      <c r="AJ119" s="56"/>
      <c r="AK119" s="62"/>
      <c r="AL119" s="56"/>
      <c r="AM119" s="56"/>
      <c r="AN119" s="62"/>
      <c r="AO119" s="349"/>
      <c r="AP119" s="344">
        <f>44284*0.074</f>
        <v>3277.0159999999996</v>
      </c>
      <c r="AQ119" s="161">
        <f t="shared" si="35"/>
        <v>389.96490399999993</v>
      </c>
      <c r="AR119" s="161">
        <f t="shared" si="33"/>
        <v>55.764981271999993</v>
      </c>
      <c r="AS119" s="161">
        <f t="shared" si="34"/>
        <v>6.8243858199999989</v>
      </c>
      <c r="AT119" s="211">
        <f t="shared" si="42"/>
        <v>62.589367091999989</v>
      </c>
      <c r="AU119" s="217">
        <v>43532</v>
      </c>
      <c r="AV119" s="56">
        <v>4.8</v>
      </c>
      <c r="AW119" s="56">
        <v>67</v>
      </c>
      <c r="AX119" s="349">
        <v>71.8</v>
      </c>
      <c r="AY119" s="217">
        <v>43530</v>
      </c>
      <c r="AZ119" s="183">
        <v>0.39</v>
      </c>
      <c r="BA119" s="56">
        <v>7.1</v>
      </c>
      <c r="BB119" s="224">
        <f t="shared" si="44"/>
        <v>7.4899999999999993</v>
      </c>
      <c r="BC119" s="198">
        <f t="shared" si="36"/>
        <v>3.6430926000714835E-110</v>
      </c>
      <c r="BD119" s="148">
        <f t="shared" si="37"/>
        <v>6.8309262417808131E-2</v>
      </c>
      <c r="BE119" s="148">
        <f t="shared" si="38"/>
        <v>0.83191007895368474</v>
      </c>
      <c r="BF119" s="148">
        <f t="shared" si="43"/>
        <v>0.90021934137149284</v>
      </c>
      <c r="BG119" s="147">
        <f t="shared" si="39"/>
        <v>2250.5483534287323</v>
      </c>
      <c r="BH119" s="147">
        <f t="shared" si="40"/>
        <v>34.154631208904064</v>
      </c>
      <c r="BI119" s="147">
        <f t="shared" si="41"/>
        <v>415.95503947684239</v>
      </c>
      <c r="BK119" s="55"/>
      <c r="BL119" s="234"/>
      <c r="BM119" s="207"/>
      <c r="BN119" s="55"/>
      <c r="BO119" s="55"/>
      <c r="BP119" s="55"/>
      <c r="BQ119" s="55"/>
      <c r="BR119" s="55"/>
      <c r="BS119" s="55"/>
      <c r="BT119" s="55"/>
      <c r="BU119" s="55"/>
      <c r="BW119" s="147">
        <f ca="1">(AT119+BK119)*BH119/(BH119+BI119)*2.71828^(-0.69315/半Cs134*(NOW()-R119)/365.25)+(AT119+BK119)*BI119/(BH119+BI119)*2.71828^(-0.69315/半Cs137*(NOW()-R119)/365.25)</f>
        <v>60.508746852265965</v>
      </c>
      <c r="BX119" s="147">
        <f ca="1">(AT119)*BH119/(BH119+BI119)*2.71828^(-0.69315/半Cs134*(NOW()-R119)/365.25)+(AT119)*BI119/(BH119+BI119)*2.71828^(-0.69315/半Cs137*(NOW()-R119)/365.25)</f>
        <v>60.508746852265965</v>
      </c>
    </row>
    <row r="120" spans="1:76" ht="12" customHeight="1" x14ac:dyDescent="0.15">
      <c r="R120" s="191"/>
      <c r="S120" s="65"/>
      <c r="T120" s="55" t="s">
        <v>70</v>
      </c>
      <c r="U120" s="55"/>
      <c r="V120" s="55"/>
      <c r="W120" s="55" t="s">
        <v>70</v>
      </c>
      <c r="X120" s="55"/>
      <c r="Y120" s="234"/>
      <c r="Z120" s="217"/>
      <c r="AA120" s="54" t="s">
        <v>54</v>
      </c>
      <c r="AB120" s="54"/>
      <c r="AC120" s="54"/>
      <c r="AD120" s="54"/>
      <c r="AE120" s="54"/>
      <c r="AF120" s="54"/>
      <c r="AG120" s="354"/>
      <c r="AH120" s="217"/>
      <c r="AI120" s="54" t="s">
        <v>85</v>
      </c>
      <c r="AJ120" s="54"/>
      <c r="AK120" s="54"/>
      <c r="AL120" s="55"/>
      <c r="AM120" s="55"/>
      <c r="AN120" s="55"/>
      <c r="AO120" s="234"/>
      <c r="AP120" s="207"/>
      <c r="AQ120" s="55"/>
      <c r="AR120" s="55"/>
      <c r="AS120" s="55"/>
      <c r="AT120" s="212"/>
      <c r="AU120" s="217"/>
      <c r="AV120" s="55" t="s">
        <v>56</v>
      </c>
      <c r="AW120" s="55"/>
      <c r="AX120" s="234"/>
      <c r="AY120" s="217"/>
      <c r="AZ120" s="57" t="s">
        <v>271</v>
      </c>
      <c r="BA120" s="55"/>
      <c r="BB120" s="220"/>
      <c r="BC120" s="207"/>
      <c r="BD120" s="55"/>
      <c r="BE120" s="55"/>
      <c r="BF120" s="55"/>
      <c r="BG120" s="55"/>
      <c r="BH120" s="55"/>
      <c r="BI120" s="55"/>
      <c r="BK120" s="55"/>
      <c r="BL120" s="234"/>
      <c r="BM120" s="207"/>
      <c r="BN120" s="55"/>
      <c r="BO120" s="55"/>
      <c r="BP120" s="55"/>
      <c r="BQ120" s="55"/>
      <c r="BR120" s="55"/>
      <c r="BS120" s="55"/>
      <c r="BT120" s="55"/>
      <c r="BU120" s="55"/>
      <c r="BW120" s="55"/>
      <c r="BX120" s="55"/>
    </row>
    <row r="121" spans="1:76" ht="12" customHeight="1" x14ac:dyDescent="0.15">
      <c r="R121" s="191"/>
      <c r="S121" s="65"/>
      <c r="T121" s="55" t="s">
        <v>80</v>
      </c>
      <c r="U121" s="55"/>
      <c r="V121" s="55"/>
      <c r="W121" s="55" t="s">
        <v>270</v>
      </c>
      <c r="X121" s="55"/>
      <c r="Y121" s="234"/>
      <c r="Z121" s="217"/>
      <c r="AA121" s="54" t="s">
        <v>79</v>
      </c>
      <c r="AB121" s="54"/>
      <c r="AC121" s="54"/>
      <c r="AD121" s="54" t="s">
        <v>62</v>
      </c>
      <c r="AE121" s="54"/>
      <c r="AF121" s="54"/>
      <c r="AG121" s="354"/>
      <c r="AH121" s="217"/>
      <c r="AI121" s="54" t="s">
        <v>80</v>
      </c>
      <c r="AJ121" s="55"/>
      <c r="AK121" s="55"/>
      <c r="AL121" s="55" t="s">
        <v>62</v>
      </c>
      <c r="AM121" s="55"/>
      <c r="AN121" s="55"/>
      <c r="AO121" s="234"/>
      <c r="AP121" s="207"/>
      <c r="AQ121" s="55"/>
      <c r="AR121" s="55"/>
      <c r="AS121" s="55"/>
      <c r="AT121" s="212"/>
      <c r="AU121" s="217"/>
      <c r="AV121" s="55" t="s">
        <v>81</v>
      </c>
      <c r="AW121" s="55"/>
      <c r="AX121" s="234"/>
      <c r="AY121" s="217"/>
      <c r="AZ121" s="55" t="s">
        <v>53</v>
      </c>
      <c r="BA121" s="55"/>
      <c r="BB121" s="220"/>
      <c r="BC121" s="208"/>
      <c r="BD121" s="206"/>
      <c r="BE121" s="136"/>
      <c r="BF121" s="136"/>
      <c r="BG121" s="136"/>
      <c r="BH121" s="206"/>
      <c r="BI121" s="206"/>
      <c r="BK121" s="55"/>
      <c r="BL121" s="234"/>
      <c r="BM121" s="207"/>
      <c r="BN121" s="55"/>
      <c r="BO121" s="55"/>
      <c r="BP121" s="55"/>
      <c r="BQ121" s="55"/>
      <c r="BR121" s="55"/>
      <c r="BS121" s="55"/>
      <c r="BT121" s="55"/>
      <c r="BU121" s="55"/>
      <c r="BW121" s="55"/>
      <c r="BX121" s="55"/>
    </row>
    <row r="122" spans="1:76" ht="9.9499999999999993" customHeight="1" x14ac:dyDescent="0.15">
      <c r="A122" s="9"/>
      <c r="R122" s="59"/>
      <c r="S122" s="59"/>
      <c r="T122" s="9"/>
      <c r="W122" s="59"/>
      <c r="X122" s="9"/>
      <c r="Y122" s="51"/>
      <c r="Z122" s="51"/>
      <c r="AB122" s="48"/>
      <c r="AC122" s="48"/>
      <c r="AE122" s="51"/>
      <c r="AF122" s="51"/>
      <c r="AG122" s="51"/>
      <c r="AH122" s="59"/>
      <c r="AJ122" s="52"/>
      <c r="AK122" s="52"/>
      <c r="AL122" s="59"/>
      <c r="AN122" s="51"/>
      <c r="AO122" s="51"/>
      <c r="AP122" s="51"/>
      <c r="AR122" s="51"/>
      <c r="AT122" s="59"/>
      <c r="AU122" s="9"/>
      <c r="BA122" s="9"/>
    </row>
    <row r="123" spans="1:76" ht="9.9499999999999993" customHeight="1" x14ac:dyDescent="0.15">
      <c r="A123" s="9"/>
      <c r="R123" s="59"/>
      <c r="S123" s="59"/>
      <c r="T123" s="9"/>
      <c r="X123" s="9"/>
      <c r="Y123" s="47"/>
      <c r="Z123" s="47"/>
      <c r="AB123" s="48"/>
      <c r="AC123" s="48"/>
      <c r="AE123" s="47"/>
      <c r="AF123" s="47"/>
      <c r="AG123" s="47"/>
      <c r="AH123" s="59"/>
      <c r="AJ123" s="48"/>
      <c r="AK123" s="48"/>
      <c r="AL123" s="59"/>
      <c r="AN123" s="51"/>
      <c r="AO123" s="51"/>
      <c r="AP123" s="51"/>
      <c r="AR123" s="51"/>
      <c r="AT123" s="59"/>
      <c r="AU123" s="9"/>
      <c r="BA123" s="9"/>
    </row>
    <row r="124" spans="1:76" ht="9.9499999999999993" customHeight="1" x14ac:dyDescent="0.15">
      <c r="A124" s="9"/>
      <c r="R124" s="59"/>
      <c r="AE124" s="51"/>
      <c r="AF124" s="51"/>
      <c r="AG124" s="51"/>
      <c r="AH124" s="59"/>
      <c r="AJ124" s="47"/>
      <c r="AK124" s="47"/>
      <c r="AL124" s="59"/>
      <c r="AN124" s="51"/>
      <c r="AO124" s="51"/>
      <c r="AP124" s="51"/>
      <c r="AR124" s="51"/>
      <c r="AT124" s="59"/>
      <c r="AU124" s="9"/>
      <c r="BA124" s="9"/>
    </row>
    <row r="125" spans="1:76" ht="9.9499999999999993" customHeight="1" x14ac:dyDescent="0.15">
      <c r="A125" s="9"/>
      <c r="T125" s="226" t="s">
        <v>400</v>
      </c>
      <c r="X125" s="9"/>
      <c r="AE125" s="9"/>
      <c r="AN125" s="9"/>
      <c r="AO125" s="9"/>
      <c r="AU125" s="9"/>
      <c r="BA125" s="9"/>
    </row>
    <row r="126" spans="1:76" ht="9.9499999999999993" customHeight="1" x14ac:dyDescent="0.15">
      <c r="A126" s="9"/>
      <c r="S126" s="65">
        <v>43419</v>
      </c>
      <c r="T126" s="56">
        <v>22</v>
      </c>
      <c r="U126" s="56">
        <v>230</v>
      </c>
      <c r="V126" s="62">
        <v>252</v>
      </c>
      <c r="W126" s="56">
        <v>3.9</v>
      </c>
      <c r="X126" s="56">
        <v>39</v>
      </c>
      <c r="Y126" s="62">
        <v>42.9</v>
      </c>
      <c r="AE126" s="9"/>
      <c r="AN126" s="9"/>
      <c r="AO126" s="9"/>
      <c r="AU126" s="9"/>
      <c r="BA126" s="9"/>
    </row>
    <row r="127" spans="1:76" ht="9.9499999999999993" customHeight="1" x14ac:dyDescent="0.15">
      <c r="A127" s="9"/>
      <c r="J127" s="53"/>
      <c r="K127" s="53"/>
      <c r="M127" s="48"/>
      <c r="N127" s="48"/>
      <c r="O127" s="48"/>
      <c r="P127" s="48"/>
      <c r="T127" s="9"/>
      <c r="X127" s="9"/>
      <c r="AE127" s="9"/>
      <c r="AN127" s="9"/>
      <c r="AO127" s="9"/>
      <c r="AU127" s="9"/>
      <c r="BA127" s="9"/>
    </row>
    <row r="128" spans="1:76" ht="9.9499999999999993" customHeight="1" x14ac:dyDescent="0.15">
      <c r="A128" s="9"/>
      <c r="J128" s="53"/>
      <c r="K128" s="53"/>
      <c r="M128" s="48"/>
      <c r="N128" s="48"/>
      <c r="O128" s="48"/>
      <c r="P128" s="48"/>
      <c r="T128" s="9"/>
      <c r="X128" s="9"/>
      <c r="AE128" s="9"/>
      <c r="AN128" s="9"/>
      <c r="AO128" s="9"/>
      <c r="AU128" s="9"/>
      <c r="BA128" s="9"/>
    </row>
    <row r="129" spans="1:61" ht="12" customHeight="1" x14ac:dyDescent="0.15">
      <c r="A129" s="9"/>
      <c r="J129" s="53"/>
      <c r="K129" s="53"/>
      <c r="M129" s="48"/>
      <c r="N129" s="48"/>
      <c r="O129" s="48"/>
      <c r="P129" s="48"/>
      <c r="T129" s="9"/>
      <c r="X129" s="9"/>
      <c r="AE129" s="9"/>
      <c r="AN129" s="9"/>
      <c r="AO129" s="9"/>
      <c r="AU129" s="9"/>
      <c r="BA129" s="9"/>
    </row>
    <row r="130" spans="1:61" ht="12" customHeight="1" x14ac:dyDescent="0.15">
      <c r="A130" s="9"/>
      <c r="J130" s="53"/>
      <c r="K130" s="53"/>
      <c r="M130" s="48"/>
      <c r="N130" s="48"/>
      <c r="O130" s="48"/>
      <c r="P130" s="48"/>
      <c r="T130" s="9"/>
      <c r="X130" s="9"/>
      <c r="AE130" s="9"/>
      <c r="AN130" s="9"/>
      <c r="AO130" s="9"/>
      <c r="AU130" s="9"/>
      <c r="BA130" s="9"/>
    </row>
    <row r="131" spans="1:61" ht="12" customHeight="1" x14ac:dyDescent="0.15">
      <c r="A131" s="9"/>
      <c r="J131" s="52"/>
      <c r="K131" s="52"/>
      <c r="M131" s="48"/>
      <c r="N131" s="48"/>
      <c r="O131" s="48"/>
      <c r="P131" s="48"/>
      <c r="S131" s="52"/>
      <c r="V131" s="48"/>
      <c r="W131" s="48"/>
      <c r="Z131" s="51"/>
      <c r="AA131" s="51"/>
      <c r="AC131" s="51"/>
      <c r="AN131" s="9"/>
      <c r="AO131" s="9"/>
      <c r="AU131" s="9"/>
      <c r="BA131" s="9"/>
    </row>
    <row r="132" spans="1:61" ht="12" customHeight="1" x14ac:dyDescent="0.15">
      <c r="A132" s="9"/>
      <c r="J132" s="53"/>
      <c r="K132" s="53"/>
      <c r="M132" s="48"/>
      <c r="N132" s="48"/>
      <c r="O132" s="48"/>
      <c r="P132" s="48"/>
      <c r="S132" s="53"/>
      <c r="V132" s="47"/>
      <c r="W132" s="47"/>
      <c r="Z132" s="51"/>
      <c r="AA132" s="51"/>
      <c r="AC132" s="51"/>
      <c r="AN132" s="9"/>
      <c r="AO132" s="9"/>
      <c r="AU132" s="9"/>
      <c r="BA132" s="9"/>
      <c r="BC132" s="137"/>
      <c r="BD132" s="137"/>
      <c r="BH132" s="137"/>
      <c r="BI132" s="137"/>
    </row>
    <row r="133" spans="1:61" ht="12" customHeight="1" x14ac:dyDescent="0.15">
      <c r="A133" s="9"/>
      <c r="J133" s="52"/>
      <c r="K133" s="52"/>
      <c r="M133" s="48"/>
      <c r="N133" s="48"/>
      <c r="O133" s="48"/>
      <c r="P133" s="48"/>
      <c r="S133" s="52"/>
      <c r="V133" s="51"/>
      <c r="W133" s="51"/>
      <c r="Z133" s="51"/>
      <c r="AA133" s="51"/>
      <c r="AC133" s="51"/>
      <c r="AN133" s="9"/>
      <c r="AO133" s="9"/>
      <c r="AU133" s="9"/>
      <c r="BA133" s="9"/>
      <c r="BC133" s="137"/>
      <c r="BD133" s="137"/>
      <c r="BH133" s="137"/>
      <c r="BI133" s="137"/>
    </row>
    <row r="134" spans="1:61" ht="12" customHeight="1" x14ac:dyDescent="0.15">
      <c r="A134" s="9"/>
      <c r="M134" s="48"/>
      <c r="N134" s="48"/>
      <c r="O134" s="48"/>
      <c r="P134" s="48"/>
      <c r="U134" s="47"/>
      <c r="Z134" s="51"/>
      <c r="AA134" s="51"/>
      <c r="AC134" s="51"/>
      <c r="AN134" s="9"/>
      <c r="AO134" s="9"/>
      <c r="AU134" s="9"/>
      <c r="BA134" s="9"/>
      <c r="BC134" s="137"/>
      <c r="BD134" s="137"/>
      <c r="BH134" s="137"/>
      <c r="BI134" s="137"/>
    </row>
    <row r="135" spans="1:61" ht="12" customHeight="1" x14ac:dyDescent="0.15">
      <c r="A135" s="9"/>
      <c r="M135" s="48"/>
      <c r="N135" s="48"/>
      <c r="O135" s="48"/>
      <c r="P135" s="48"/>
      <c r="U135" s="47"/>
      <c r="V135" s="51"/>
      <c r="W135" s="51"/>
      <c r="Z135" s="51"/>
      <c r="AA135" s="51"/>
      <c r="AC135" s="51"/>
      <c r="AN135" s="9"/>
      <c r="AO135" s="9"/>
      <c r="AU135" s="9"/>
      <c r="BA135" s="9"/>
      <c r="BC135" s="137"/>
      <c r="BD135" s="137"/>
      <c r="BH135" s="137"/>
      <c r="BI135" s="137"/>
    </row>
    <row r="136" spans="1:61" ht="12" customHeight="1" x14ac:dyDescent="0.15">
      <c r="A136" s="9"/>
      <c r="M136" s="48"/>
      <c r="N136" s="48"/>
      <c r="O136" s="48"/>
      <c r="P136" s="48"/>
      <c r="U136" s="47"/>
      <c r="V136" s="51"/>
      <c r="W136" s="51"/>
      <c r="Z136" s="51"/>
      <c r="AA136" s="51"/>
      <c r="AC136" s="51"/>
      <c r="AN136" s="9"/>
      <c r="AO136" s="9"/>
      <c r="AU136" s="9"/>
      <c r="BA136" s="9"/>
      <c r="BC136" s="137"/>
      <c r="BD136" s="137"/>
      <c r="BH136" s="137"/>
      <c r="BI136" s="137"/>
    </row>
    <row r="137" spans="1:61" ht="12" customHeight="1" x14ac:dyDescent="0.15">
      <c r="A137" s="9"/>
      <c r="M137" s="48"/>
      <c r="N137" s="48"/>
      <c r="O137" s="48"/>
      <c r="P137" s="48"/>
      <c r="U137" s="47"/>
      <c r="V137" s="47"/>
      <c r="W137" s="47"/>
      <c r="Z137" s="51"/>
      <c r="AA137" s="51"/>
      <c r="AC137" s="47"/>
      <c r="AN137" s="9"/>
      <c r="AO137" s="9"/>
      <c r="AU137" s="9"/>
      <c r="BA137" s="9"/>
      <c r="BC137" s="137"/>
      <c r="BD137" s="137"/>
      <c r="BH137" s="137"/>
      <c r="BI137" s="137"/>
    </row>
    <row r="138" spans="1:61" ht="12" customHeight="1" x14ac:dyDescent="0.15">
      <c r="A138" s="9"/>
      <c r="M138" s="48"/>
      <c r="N138" s="48"/>
      <c r="O138" s="48"/>
      <c r="P138" s="48"/>
      <c r="U138" s="51"/>
      <c r="V138" s="47"/>
      <c r="W138" s="47"/>
      <c r="Z138" s="51"/>
      <c r="AA138" s="51"/>
      <c r="AC138" s="51"/>
      <c r="AN138" s="9"/>
      <c r="AO138" s="9"/>
      <c r="AU138" s="9"/>
      <c r="BA138" s="9"/>
      <c r="BC138" s="137"/>
      <c r="BD138" s="137"/>
      <c r="BH138" s="137"/>
      <c r="BI138" s="137"/>
    </row>
    <row r="139" spans="1:61" ht="12" customHeight="1" x14ac:dyDescent="0.15">
      <c r="A139" s="9"/>
      <c r="M139" s="48"/>
      <c r="N139" s="48"/>
      <c r="O139" s="48"/>
      <c r="P139" s="48"/>
      <c r="U139" s="47"/>
      <c r="V139" s="47"/>
      <c r="W139" s="47"/>
      <c r="Z139" s="51"/>
      <c r="AA139" s="51"/>
      <c r="AC139" s="51"/>
      <c r="AN139" s="9"/>
      <c r="AO139" s="9"/>
      <c r="AU139" s="9"/>
      <c r="BA139" s="9"/>
      <c r="BC139" s="137"/>
      <c r="BD139" s="137"/>
      <c r="BH139" s="137"/>
      <c r="BI139" s="137"/>
    </row>
    <row r="140" spans="1:61" ht="12" customHeight="1" x14ac:dyDescent="0.15">
      <c r="A140" s="9"/>
      <c r="M140" s="48"/>
      <c r="N140" s="48"/>
      <c r="O140" s="48"/>
      <c r="P140" s="48"/>
      <c r="V140" s="47"/>
      <c r="W140" s="47"/>
      <c r="AN140" s="9"/>
      <c r="AO140" s="9"/>
      <c r="AU140" s="9"/>
      <c r="BA140" s="9"/>
      <c r="BC140" s="137"/>
      <c r="BD140" s="137"/>
      <c r="BH140" s="137"/>
      <c r="BI140" s="137"/>
    </row>
    <row r="141" spans="1:61" ht="12" customHeight="1" x14ac:dyDescent="0.15">
      <c r="A141" s="9"/>
      <c r="M141" s="48"/>
      <c r="N141" s="48"/>
      <c r="O141" s="48"/>
      <c r="P141" s="48"/>
      <c r="U141" s="48"/>
      <c r="V141" s="47"/>
      <c r="W141" s="47"/>
      <c r="AN141" s="9"/>
      <c r="AO141" s="9"/>
      <c r="AU141" s="9"/>
      <c r="BA141" s="9"/>
      <c r="BC141" s="137"/>
      <c r="BD141" s="137"/>
      <c r="BH141" s="137"/>
      <c r="BI141" s="137"/>
    </row>
    <row r="142" spans="1:61" ht="12" customHeight="1" x14ac:dyDescent="0.15">
      <c r="A142" s="9"/>
      <c r="M142" s="48"/>
      <c r="N142" s="48"/>
      <c r="O142" s="48"/>
      <c r="P142" s="48"/>
      <c r="U142" s="47"/>
      <c r="V142" s="47"/>
      <c r="W142" s="47"/>
      <c r="AN142" s="9"/>
      <c r="AO142" s="9"/>
      <c r="AU142" s="9"/>
      <c r="BA142" s="9"/>
      <c r="BC142" s="137"/>
      <c r="BD142" s="137"/>
      <c r="BH142" s="137"/>
      <c r="BI142" s="137"/>
    </row>
    <row r="143" spans="1:61" ht="12" customHeight="1" x14ac:dyDescent="0.15">
      <c r="A143" s="9"/>
      <c r="M143" s="48"/>
      <c r="N143" s="48"/>
      <c r="O143" s="48"/>
      <c r="P143" s="48"/>
      <c r="U143" s="53"/>
      <c r="V143" s="47"/>
      <c r="W143" s="47"/>
      <c r="AN143" s="9"/>
      <c r="AO143" s="9"/>
      <c r="AU143" s="9"/>
      <c r="BA143" s="9"/>
      <c r="BC143" s="137"/>
      <c r="BD143" s="137"/>
      <c r="BH143" s="137"/>
      <c r="BI143" s="137"/>
    </row>
    <row r="144" spans="1:61" ht="12" customHeight="1" x14ac:dyDescent="0.15">
      <c r="A144" s="9"/>
      <c r="M144" s="48"/>
      <c r="N144" s="48"/>
      <c r="O144" s="48"/>
      <c r="P144" s="48"/>
      <c r="U144" s="53"/>
      <c r="V144" s="51"/>
      <c r="W144" s="51"/>
      <c r="AN144" s="9"/>
      <c r="AO144" s="9"/>
      <c r="AU144" s="9"/>
      <c r="BA144" s="9"/>
      <c r="BC144" s="137"/>
      <c r="BD144" s="137"/>
      <c r="BH144" s="137"/>
      <c r="BI144" s="137"/>
    </row>
    <row r="145" spans="1:61" ht="12" customHeight="1" x14ac:dyDescent="0.15">
      <c r="A145" s="9"/>
      <c r="M145" s="48"/>
      <c r="N145" s="48"/>
      <c r="O145" s="48"/>
      <c r="P145" s="48"/>
      <c r="U145" s="52"/>
      <c r="V145" s="47"/>
      <c r="W145" s="47"/>
      <c r="AN145" s="9"/>
      <c r="AO145" s="9"/>
      <c r="AU145" s="9"/>
      <c r="BA145" s="9"/>
      <c r="BC145" s="137"/>
      <c r="BD145" s="137"/>
      <c r="BH145" s="137"/>
      <c r="BI145" s="137"/>
    </row>
    <row r="146" spans="1:61" ht="12" customHeight="1" x14ac:dyDescent="0.15">
      <c r="A146" s="9"/>
      <c r="M146" s="48"/>
      <c r="N146" s="48"/>
      <c r="O146" s="48"/>
      <c r="P146" s="48"/>
      <c r="U146" s="53"/>
      <c r="AN146" s="9"/>
      <c r="AO146" s="9"/>
      <c r="AU146" s="9"/>
      <c r="BA146" s="9"/>
      <c r="BC146" s="137"/>
      <c r="BD146" s="137"/>
      <c r="BH146" s="137"/>
      <c r="BI146" s="137"/>
    </row>
    <row r="147" spans="1:61" ht="12" customHeight="1" x14ac:dyDescent="0.15">
      <c r="A147" s="9"/>
      <c r="M147" s="48"/>
      <c r="N147" s="48"/>
      <c r="O147" s="48"/>
      <c r="P147" s="48"/>
      <c r="U147" s="53"/>
      <c r="V147" s="48"/>
      <c r="W147" s="48"/>
      <c r="AN147" s="9"/>
      <c r="AO147" s="9"/>
      <c r="AU147" s="9"/>
      <c r="BA147" s="9"/>
      <c r="BC147" s="137"/>
      <c r="BD147" s="137"/>
      <c r="BH147" s="137"/>
      <c r="BI147" s="137"/>
    </row>
    <row r="148" spans="1:61" ht="12" customHeight="1" x14ac:dyDescent="0.15">
      <c r="A148" s="9"/>
      <c r="M148" s="48"/>
      <c r="N148" s="48"/>
      <c r="O148" s="48"/>
      <c r="P148" s="48"/>
      <c r="U148" s="53"/>
      <c r="V148" s="47"/>
      <c r="W148" s="47"/>
      <c r="AN148" s="9"/>
      <c r="AO148" s="9"/>
      <c r="AU148" s="9"/>
      <c r="BA148" s="9"/>
    </row>
    <row r="149" spans="1:61" ht="12" customHeight="1" x14ac:dyDescent="0.15">
      <c r="A149" s="9"/>
      <c r="M149" s="48"/>
      <c r="N149" s="48"/>
      <c r="O149" s="48"/>
      <c r="P149" s="48"/>
      <c r="U149" s="52"/>
      <c r="V149" s="53"/>
      <c r="W149" s="53"/>
      <c r="AN149" s="9"/>
      <c r="AO149" s="9"/>
      <c r="AU149" s="9"/>
      <c r="BA149" s="9"/>
    </row>
    <row r="150" spans="1:61" ht="12" customHeight="1" x14ac:dyDescent="0.15">
      <c r="A150" s="9"/>
      <c r="M150" s="48"/>
      <c r="N150" s="48"/>
      <c r="O150" s="48"/>
      <c r="P150" s="48"/>
      <c r="U150" s="53"/>
      <c r="V150" s="53"/>
      <c r="W150" s="53"/>
      <c r="AN150" s="9"/>
      <c r="AO150" s="9"/>
      <c r="AU150" s="9"/>
      <c r="BA150" s="9"/>
    </row>
    <row r="151" spans="1:61" ht="12" customHeight="1" x14ac:dyDescent="0.15">
      <c r="A151" s="9"/>
      <c r="M151" s="48"/>
      <c r="N151" s="48"/>
      <c r="O151" s="48"/>
      <c r="P151" s="48"/>
      <c r="U151" s="50"/>
      <c r="V151" s="52"/>
      <c r="W151" s="52"/>
      <c r="AN151" s="9"/>
      <c r="AO151" s="9"/>
      <c r="AU151" s="9"/>
      <c r="BA151" s="9"/>
    </row>
    <row r="152" spans="1:61" ht="12" customHeight="1" x14ac:dyDescent="0.15">
      <c r="A152" s="9"/>
      <c r="U152" s="50"/>
      <c r="V152" s="53"/>
      <c r="W152" s="53"/>
      <c r="AN152" s="9"/>
      <c r="AO152" s="9"/>
      <c r="AU152" s="9"/>
      <c r="BA152" s="9"/>
    </row>
    <row r="153" spans="1:61" ht="12" customHeight="1" x14ac:dyDescent="0.15">
      <c r="A153" s="9"/>
      <c r="U153" s="47"/>
      <c r="V153" s="53"/>
      <c r="W153" s="53"/>
      <c r="AN153" s="9"/>
      <c r="AO153" s="9"/>
      <c r="AU153" s="9"/>
      <c r="BA153" s="9"/>
    </row>
    <row r="154" spans="1:61" ht="12" customHeight="1" x14ac:dyDescent="0.15">
      <c r="A154" s="9"/>
      <c r="U154" s="51"/>
      <c r="V154" s="53"/>
      <c r="W154" s="53"/>
      <c r="AN154" s="9"/>
      <c r="AO154" s="9"/>
      <c r="AU154" s="9"/>
      <c r="BA154" s="9"/>
    </row>
    <row r="155" spans="1:61" ht="12" customHeight="1" x14ac:dyDescent="0.15">
      <c r="A155" s="9"/>
      <c r="U155" s="51"/>
      <c r="V155" s="52"/>
      <c r="W155" s="52"/>
      <c r="AN155" s="9"/>
      <c r="AO155" s="9"/>
      <c r="AU155" s="9"/>
      <c r="BA155" s="9"/>
    </row>
    <row r="156" spans="1:61" ht="12" customHeight="1" x14ac:dyDescent="0.15">
      <c r="A156" s="9"/>
      <c r="U156" s="51"/>
      <c r="V156" s="53"/>
      <c r="W156" s="53"/>
      <c r="AN156" s="9"/>
      <c r="AO156" s="9"/>
      <c r="AU156" s="9"/>
      <c r="BA156" s="9"/>
    </row>
    <row r="157" spans="1:61" ht="12" customHeight="1" x14ac:dyDescent="0.15">
      <c r="A157" s="9"/>
      <c r="U157" s="51"/>
      <c r="V157" s="50"/>
      <c r="W157" s="50"/>
      <c r="AN157" s="9"/>
      <c r="AO157" s="9"/>
      <c r="AU157" s="9"/>
      <c r="BA157" s="9"/>
    </row>
    <row r="158" spans="1:61" ht="12" customHeight="1" x14ac:dyDescent="0.15">
      <c r="A158" s="9"/>
      <c r="U158" s="51"/>
      <c r="V158" s="50"/>
      <c r="W158" s="50"/>
      <c r="AN158" s="9"/>
      <c r="AO158" s="9"/>
      <c r="AU158" s="9"/>
      <c r="BA158" s="9"/>
    </row>
    <row r="159" spans="1:61" ht="12" customHeight="1" x14ac:dyDescent="0.15">
      <c r="A159" s="9"/>
      <c r="U159" s="51"/>
      <c r="V159" s="47"/>
      <c r="W159" s="47"/>
      <c r="AN159" s="9"/>
      <c r="AO159" s="9"/>
      <c r="AU159" s="9"/>
      <c r="BA159" s="9"/>
    </row>
    <row r="160" spans="1:61" ht="12" customHeight="1" x14ac:dyDescent="0.15">
      <c r="A160" s="9"/>
      <c r="U160" s="51"/>
      <c r="V160" s="51"/>
      <c r="W160" s="51"/>
      <c r="AN160" s="9"/>
      <c r="AO160" s="9"/>
      <c r="AU160" s="9"/>
      <c r="BA160" s="9"/>
    </row>
    <row r="161" spans="1:61" ht="12" customHeight="1" x14ac:dyDescent="0.15">
      <c r="A161" s="9"/>
      <c r="U161" s="51"/>
      <c r="V161" s="51"/>
      <c r="W161" s="51"/>
      <c r="AN161" s="9"/>
      <c r="AO161" s="9"/>
      <c r="AU161" s="9"/>
      <c r="BA161" s="9"/>
    </row>
    <row r="162" spans="1:61" ht="12" customHeight="1" x14ac:dyDescent="0.15">
      <c r="A162" s="9"/>
      <c r="U162" s="51"/>
      <c r="V162" s="51"/>
      <c r="W162" s="51"/>
      <c r="AN162" s="9"/>
      <c r="AO162" s="9"/>
      <c r="AU162" s="9"/>
      <c r="BA162" s="9"/>
    </row>
    <row r="163" spans="1:61" ht="12" customHeight="1" x14ac:dyDescent="0.15">
      <c r="A163" s="9"/>
      <c r="U163" s="51"/>
      <c r="V163" s="51"/>
      <c r="W163" s="51"/>
      <c r="AN163" s="9"/>
      <c r="AO163" s="9"/>
      <c r="AU163" s="9"/>
      <c r="BA163" s="9"/>
    </row>
    <row r="164" spans="1:61" ht="12" customHeight="1" x14ac:dyDescent="0.15">
      <c r="A164" s="9"/>
      <c r="U164" s="51"/>
      <c r="V164" s="51"/>
      <c r="W164" s="51"/>
      <c r="AN164" s="9"/>
      <c r="AO164" s="9"/>
      <c r="AU164" s="9"/>
      <c r="BA164" s="9"/>
    </row>
    <row r="165" spans="1:61" ht="12" customHeight="1" x14ac:dyDescent="0.15">
      <c r="A165" s="9"/>
      <c r="U165" s="51"/>
      <c r="V165" s="51"/>
      <c r="W165" s="51"/>
      <c r="AN165" s="9"/>
      <c r="AO165" s="9"/>
      <c r="AU165" s="9"/>
      <c r="BA165" s="9"/>
      <c r="BC165" s="137"/>
      <c r="BD165" s="137"/>
      <c r="BH165" s="137"/>
      <c r="BI165" s="137"/>
    </row>
    <row r="166" spans="1:61" ht="12" customHeight="1" x14ac:dyDescent="0.15">
      <c r="A166" s="9"/>
      <c r="U166" s="51"/>
      <c r="V166" s="51"/>
      <c r="W166" s="51"/>
      <c r="AN166" s="9"/>
      <c r="AO166" s="9"/>
      <c r="AU166" s="9"/>
      <c r="BA166" s="9"/>
      <c r="BC166" s="137"/>
      <c r="BD166" s="137"/>
      <c r="BH166" s="137"/>
      <c r="BI166" s="137"/>
    </row>
    <row r="167" spans="1:61" ht="12" customHeight="1" x14ac:dyDescent="0.15">
      <c r="A167" s="9"/>
      <c r="U167" s="51"/>
      <c r="V167" s="51"/>
      <c r="W167" s="51"/>
      <c r="AN167" s="9"/>
      <c r="AO167" s="9"/>
      <c r="AU167" s="9"/>
      <c r="BA167" s="9"/>
      <c r="BC167" s="137"/>
      <c r="BD167" s="137"/>
      <c r="BH167" s="137"/>
      <c r="BI167" s="137"/>
    </row>
    <row r="168" spans="1:61" ht="12" customHeight="1" x14ac:dyDescent="0.15">
      <c r="A168" s="9"/>
      <c r="U168" s="51"/>
      <c r="V168" s="51"/>
      <c r="W168" s="51"/>
      <c r="AN168" s="9"/>
      <c r="AO168" s="9"/>
      <c r="AU168" s="9"/>
      <c r="BA168" s="9"/>
    </row>
    <row r="169" spans="1:61" ht="12" customHeight="1" x14ac:dyDescent="0.15">
      <c r="A169" s="9"/>
      <c r="U169" s="51"/>
      <c r="V169" s="51"/>
      <c r="W169" s="51"/>
      <c r="AN169" s="9"/>
      <c r="AO169" s="9"/>
      <c r="AU169" s="9"/>
      <c r="BA169" s="9"/>
    </row>
    <row r="170" spans="1:61" ht="12" customHeight="1" x14ac:dyDescent="0.15">
      <c r="A170" s="9"/>
      <c r="U170" s="51"/>
      <c r="V170" s="51"/>
      <c r="W170" s="51"/>
      <c r="AN170" s="9"/>
      <c r="AO170" s="9"/>
      <c r="AU170" s="9"/>
      <c r="BA170" s="9"/>
    </row>
    <row r="171" spans="1:61" ht="12" customHeight="1" x14ac:dyDescent="0.15">
      <c r="A171" s="9"/>
      <c r="U171" s="51"/>
      <c r="V171" s="51"/>
      <c r="W171" s="51"/>
      <c r="AN171" s="9"/>
      <c r="AO171" s="9"/>
      <c r="AU171" s="9"/>
      <c r="BA171" s="9"/>
    </row>
    <row r="172" spans="1:61" ht="12" customHeight="1" x14ac:dyDescent="0.15">
      <c r="A172" s="9"/>
      <c r="U172" s="51"/>
      <c r="V172" s="51"/>
      <c r="W172" s="51"/>
      <c r="AN172" s="9"/>
      <c r="AO172" s="9"/>
      <c r="AU172" s="9"/>
      <c r="BA172" s="9"/>
    </row>
    <row r="173" spans="1:61" ht="12" customHeight="1" x14ac:dyDescent="0.15">
      <c r="A173" s="9"/>
      <c r="U173" s="51"/>
      <c r="V173" s="51"/>
      <c r="W173" s="51"/>
      <c r="AN173" s="9"/>
      <c r="AO173" s="9"/>
      <c r="AU173" s="9"/>
      <c r="BA173" s="9"/>
    </row>
    <row r="174" spans="1:61" ht="12" customHeight="1" x14ac:dyDescent="0.15">
      <c r="A174" s="9"/>
      <c r="U174" s="51"/>
      <c r="V174" s="51"/>
      <c r="W174" s="51"/>
      <c r="AN174" s="9"/>
      <c r="AO174" s="9"/>
      <c r="AU174" s="9"/>
      <c r="BA174" s="9"/>
    </row>
    <row r="175" spans="1:61" ht="12" customHeight="1" x14ac:dyDescent="0.15">
      <c r="A175" s="9"/>
      <c r="U175" s="51"/>
      <c r="V175" s="51"/>
      <c r="W175" s="51"/>
      <c r="AN175" s="9"/>
      <c r="AO175" s="9"/>
      <c r="AU175" s="9"/>
      <c r="BA175" s="9"/>
    </row>
    <row r="176" spans="1:61" ht="12" customHeight="1" x14ac:dyDescent="0.15">
      <c r="A176" s="9"/>
      <c r="U176" s="51"/>
      <c r="V176" s="51"/>
      <c r="W176" s="51"/>
      <c r="AN176" s="9"/>
      <c r="AO176" s="9"/>
      <c r="AU176" s="9"/>
      <c r="BA176" s="9"/>
    </row>
    <row r="177" spans="1:53" ht="12" customHeight="1" x14ac:dyDescent="0.15">
      <c r="A177" s="9"/>
      <c r="U177" s="51"/>
      <c r="V177" s="51"/>
      <c r="W177" s="51"/>
      <c r="AN177" s="9"/>
      <c r="AO177" s="9"/>
      <c r="AU177" s="9"/>
      <c r="BA177" s="9"/>
    </row>
    <row r="178" spans="1:53" ht="12" customHeight="1" x14ac:dyDescent="0.15">
      <c r="A178" s="9"/>
      <c r="U178" s="51"/>
      <c r="V178" s="51"/>
      <c r="W178" s="51"/>
      <c r="AN178" s="9"/>
      <c r="AO178" s="9"/>
      <c r="AU178" s="9"/>
      <c r="BA178" s="9"/>
    </row>
    <row r="179" spans="1:53" ht="12" customHeight="1" x14ac:dyDescent="0.15">
      <c r="A179" s="9"/>
      <c r="U179" s="51"/>
      <c r="V179" s="51"/>
      <c r="W179" s="51"/>
      <c r="AN179" s="9"/>
      <c r="AO179" s="9"/>
      <c r="AU179" s="9"/>
      <c r="BA179" s="9"/>
    </row>
    <row r="180" spans="1:53" ht="12" customHeight="1" x14ac:dyDescent="0.15">
      <c r="A180" s="9"/>
      <c r="U180" s="53"/>
      <c r="V180" s="51"/>
      <c r="W180" s="51"/>
      <c r="AN180" s="9"/>
      <c r="AO180" s="9"/>
      <c r="AU180" s="9"/>
      <c r="BA180" s="9"/>
    </row>
    <row r="181" spans="1:53" ht="12" customHeight="1" x14ac:dyDescent="0.15">
      <c r="A181" s="9"/>
      <c r="U181" s="53"/>
      <c r="V181" s="51"/>
      <c r="W181" s="51"/>
      <c r="AN181" s="9"/>
      <c r="AO181" s="9"/>
      <c r="AU181" s="9"/>
      <c r="BA181" s="9"/>
    </row>
    <row r="182" spans="1:53" ht="12" customHeight="1" x14ac:dyDescent="0.15">
      <c r="A182" s="9"/>
      <c r="U182" s="53"/>
      <c r="V182" s="51"/>
      <c r="W182" s="51"/>
      <c r="AN182" s="9"/>
      <c r="AO182" s="9"/>
      <c r="AU182" s="9"/>
      <c r="BA182" s="9"/>
    </row>
    <row r="183" spans="1:53" ht="12" customHeight="1" x14ac:dyDescent="0.15">
      <c r="A183" s="9"/>
      <c r="U183" s="53"/>
      <c r="V183" s="51"/>
      <c r="W183" s="51"/>
      <c r="AN183" s="9"/>
      <c r="AO183" s="9"/>
      <c r="AU183" s="9"/>
      <c r="BA183" s="9"/>
    </row>
    <row r="184" spans="1:53" ht="12" customHeight="1" x14ac:dyDescent="0.15">
      <c r="A184" s="9"/>
      <c r="U184" s="53"/>
      <c r="V184" s="51"/>
      <c r="W184" s="51"/>
      <c r="AN184" s="9"/>
      <c r="AO184" s="9"/>
      <c r="AU184" s="9"/>
      <c r="BA184" s="9"/>
    </row>
    <row r="185" spans="1:53" ht="12" customHeight="1" x14ac:dyDescent="0.15">
      <c r="A185" s="9"/>
      <c r="U185" s="53"/>
      <c r="V185" s="51"/>
      <c r="W185" s="51"/>
      <c r="AN185" s="9"/>
      <c r="AO185" s="9"/>
      <c r="AU185" s="9"/>
      <c r="BA185" s="9"/>
    </row>
    <row r="186" spans="1:53" ht="12" customHeight="1" x14ac:dyDescent="0.15">
      <c r="A186" s="9"/>
      <c r="U186" s="53"/>
      <c r="V186" s="53"/>
      <c r="W186" s="53"/>
      <c r="AN186" s="9"/>
      <c r="AO186" s="9"/>
      <c r="AU186" s="9"/>
      <c r="BA186" s="9"/>
    </row>
    <row r="187" spans="1:53" ht="12" customHeight="1" x14ac:dyDescent="0.15">
      <c r="A187" s="9"/>
      <c r="U187" s="53"/>
      <c r="V187" s="53"/>
      <c r="W187" s="53"/>
      <c r="AN187" s="9"/>
      <c r="AO187" s="9"/>
      <c r="AU187" s="9"/>
      <c r="BA187" s="9"/>
    </row>
    <row r="188" spans="1:53" ht="12" customHeight="1" x14ac:dyDescent="0.15">
      <c r="A188" s="9"/>
      <c r="U188" s="53"/>
      <c r="V188" s="53"/>
      <c r="W188" s="53"/>
      <c r="AN188" s="9"/>
      <c r="AO188" s="9"/>
      <c r="AU188" s="9"/>
      <c r="BA188" s="9"/>
    </row>
    <row r="189" spans="1:53" ht="12" customHeight="1" x14ac:dyDescent="0.15">
      <c r="A189" s="9"/>
      <c r="U189" s="53"/>
      <c r="V189" s="53"/>
      <c r="W189" s="53"/>
      <c r="AN189" s="9"/>
      <c r="AO189" s="9"/>
      <c r="AU189" s="9"/>
      <c r="BA189" s="9"/>
    </row>
    <row r="190" spans="1:53" ht="12" customHeight="1" x14ac:dyDescent="0.15">
      <c r="A190" s="9"/>
      <c r="U190" s="47"/>
      <c r="V190" s="53"/>
      <c r="W190" s="53"/>
      <c r="AN190" s="9"/>
      <c r="AO190" s="9"/>
      <c r="AU190" s="9"/>
      <c r="BA190" s="9"/>
    </row>
    <row r="191" spans="1:53" ht="12" customHeight="1" x14ac:dyDescent="0.15">
      <c r="A191" s="9"/>
      <c r="U191" s="47"/>
      <c r="V191" s="53"/>
      <c r="W191" s="53"/>
      <c r="AN191" s="9"/>
      <c r="AO191" s="9"/>
      <c r="AU191" s="9"/>
      <c r="BA191" s="9"/>
    </row>
    <row r="192" spans="1:53" ht="12" customHeight="1" x14ac:dyDescent="0.15">
      <c r="A192" s="9"/>
      <c r="U192" s="47"/>
      <c r="V192" s="53"/>
      <c r="W192" s="53"/>
      <c r="AN192" s="9"/>
      <c r="AO192" s="9"/>
      <c r="AU192" s="9"/>
      <c r="BA192" s="9"/>
    </row>
    <row r="193" spans="1:53" ht="12" customHeight="1" x14ac:dyDescent="0.15">
      <c r="A193" s="9"/>
      <c r="U193" s="51"/>
      <c r="V193" s="53"/>
      <c r="W193" s="53"/>
      <c r="AN193" s="9"/>
      <c r="AO193" s="9"/>
      <c r="AU193" s="9"/>
      <c r="BA193" s="9"/>
    </row>
    <row r="194" spans="1:53" ht="12" customHeight="1" x14ac:dyDescent="0.15">
      <c r="A194" s="9"/>
      <c r="U194" s="51"/>
      <c r="V194" s="53"/>
      <c r="W194" s="53"/>
      <c r="AN194" s="9"/>
      <c r="AO194" s="9"/>
      <c r="AU194" s="9"/>
      <c r="BA194" s="9"/>
    </row>
    <row r="195" spans="1:53" ht="12" customHeight="1" x14ac:dyDescent="0.15">
      <c r="A195" s="9"/>
      <c r="U195" s="51"/>
      <c r="V195" s="53"/>
      <c r="W195" s="53"/>
      <c r="AN195" s="9"/>
      <c r="AO195" s="9"/>
      <c r="AU195" s="9"/>
      <c r="BA195" s="9"/>
    </row>
    <row r="196" spans="1:53" ht="12" customHeight="1" x14ac:dyDescent="0.15">
      <c r="A196" s="9"/>
      <c r="U196" s="51"/>
      <c r="V196" s="47"/>
      <c r="W196" s="47"/>
      <c r="AN196" s="9"/>
      <c r="AO196" s="9"/>
      <c r="AU196" s="9"/>
      <c r="BA196" s="9"/>
    </row>
    <row r="197" spans="1:53" ht="12" customHeight="1" x14ac:dyDescent="0.15">
      <c r="A197" s="9"/>
      <c r="U197" s="47"/>
      <c r="V197" s="47"/>
      <c r="W197" s="47"/>
      <c r="AN197" s="9"/>
      <c r="AO197" s="9"/>
      <c r="AU197" s="9"/>
      <c r="BA197" s="9"/>
    </row>
    <row r="198" spans="1:53" ht="12" customHeight="1" x14ac:dyDescent="0.15">
      <c r="A198" s="9"/>
      <c r="U198" s="51"/>
      <c r="V198" s="47"/>
      <c r="W198" s="47"/>
      <c r="AN198" s="9"/>
      <c r="AO198" s="9"/>
      <c r="AU198" s="9"/>
      <c r="BA198" s="9"/>
    </row>
    <row r="199" spans="1:53" ht="12" customHeight="1" x14ac:dyDescent="0.15">
      <c r="A199" s="9"/>
      <c r="U199" s="51"/>
      <c r="V199" s="51"/>
      <c r="W199" s="51"/>
      <c r="AN199" s="9"/>
      <c r="AO199" s="9"/>
      <c r="AU199" s="9"/>
      <c r="BA199" s="9"/>
    </row>
    <row r="200" spans="1:53" ht="12" customHeight="1" x14ac:dyDescent="0.15">
      <c r="A200" s="9"/>
      <c r="U200" s="47"/>
      <c r="V200" s="51"/>
      <c r="W200" s="51"/>
      <c r="AN200" s="9"/>
      <c r="AO200" s="9"/>
      <c r="AU200" s="9"/>
      <c r="BA200" s="9"/>
    </row>
    <row r="201" spans="1:53" ht="12" customHeight="1" x14ac:dyDescent="0.15">
      <c r="A201" s="9"/>
      <c r="U201" s="47"/>
      <c r="V201" s="51"/>
      <c r="W201" s="51"/>
      <c r="AN201" s="9"/>
      <c r="AO201" s="9"/>
      <c r="AU201" s="9"/>
      <c r="BA201" s="9"/>
    </row>
    <row r="202" spans="1:53" ht="12" customHeight="1" x14ac:dyDescent="0.15">
      <c r="A202" s="9"/>
      <c r="U202" s="47"/>
      <c r="V202" s="51"/>
      <c r="W202" s="51"/>
      <c r="AN202" s="9"/>
      <c r="AO202" s="9"/>
      <c r="AU202" s="9"/>
      <c r="BA202" s="9"/>
    </row>
    <row r="203" spans="1:53" ht="12" customHeight="1" x14ac:dyDescent="0.15">
      <c r="A203" s="9"/>
      <c r="U203" s="47"/>
      <c r="V203" s="47"/>
      <c r="W203" s="47"/>
      <c r="AN203" s="9"/>
      <c r="AO203" s="9"/>
      <c r="AU203" s="9"/>
      <c r="BA203" s="9"/>
    </row>
    <row r="204" spans="1:53" ht="12" customHeight="1" x14ac:dyDescent="0.15">
      <c r="A204" s="9"/>
      <c r="U204" s="47"/>
      <c r="V204" s="51"/>
      <c r="W204" s="51"/>
      <c r="AN204" s="9"/>
      <c r="AO204" s="9"/>
      <c r="AU204" s="9"/>
      <c r="BA204" s="9"/>
    </row>
    <row r="205" spans="1:53" ht="12" customHeight="1" x14ac:dyDescent="0.15">
      <c r="A205" s="9"/>
      <c r="U205" s="47"/>
      <c r="V205" s="51"/>
      <c r="W205" s="51"/>
      <c r="AN205" s="9"/>
      <c r="AO205" s="9"/>
      <c r="AU205" s="9"/>
      <c r="BA205" s="9"/>
    </row>
    <row r="206" spans="1:53" ht="12" customHeight="1" x14ac:dyDescent="0.15">
      <c r="A206" s="9"/>
      <c r="U206" s="47"/>
      <c r="V206" s="47"/>
      <c r="W206" s="47"/>
      <c r="AN206" s="9"/>
      <c r="AO206" s="9"/>
      <c r="AU206" s="9"/>
      <c r="BA206" s="9"/>
    </row>
    <row r="207" spans="1:53" ht="12" customHeight="1" x14ac:dyDescent="0.15">
      <c r="A207" s="9"/>
      <c r="U207" s="47"/>
      <c r="V207" s="47"/>
      <c r="W207" s="47"/>
      <c r="AN207" s="9"/>
      <c r="AO207" s="9"/>
      <c r="AU207" s="9"/>
      <c r="BA207" s="9"/>
    </row>
    <row r="208" spans="1:53" ht="12" customHeight="1" x14ac:dyDescent="0.15">
      <c r="A208" s="9"/>
      <c r="U208" s="47"/>
      <c r="V208" s="47"/>
      <c r="W208" s="47"/>
      <c r="AN208" s="9"/>
      <c r="AO208" s="9"/>
      <c r="AU208" s="9"/>
      <c r="BA208" s="9"/>
    </row>
    <row r="209" spans="1:53" ht="12" customHeight="1" x14ac:dyDescent="0.15">
      <c r="A209" s="9"/>
      <c r="U209" s="47"/>
      <c r="V209" s="47"/>
      <c r="W209" s="47"/>
      <c r="AN209" s="9"/>
      <c r="AO209" s="9"/>
      <c r="AU209" s="9"/>
      <c r="BA209" s="9"/>
    </row>
    <row r="210" spans="1:53" ht="12" customHeight="1" x14ac:dyDescent="0.15">
      <c r="A210" s="9"/>
      <c r="U210" s="52"/>
      <c r="V210" s="47"/>
      <c r="W210" s="47"/>
      <c r="AN210" s="9"/>
      <c r="AO210" s="9"/>
      <c r="AU210" s="9"/>
      <c r="BA210" s="9"/>
    </row>
    <row r="211" spans="1:53" ht="12" customHeight="1" x14ac:dyDescent="0.15">
      <c r="A211" s="9"/>
      <c r="U211" s="47"/>
      <c r="V211" s="47"/>
      <c r="W211" s="47"/>
      <c r="AN211" s="9"/>
      <c r="AO211" s="9"/>
      <c r="AU211" s="9"/>
      <c r="BA211" s="9"/>
    </row>
    <row r="212" spans="1:53" ht="12" customHeight="1" x14ac:dyDescent="0.15">
      <c r="A212" s="9"/>
      <c r="U212" s="51"/>
      <c r="V212" s="47"/>
      <c r="W212" s="47"/>
      <c r="AN212" s="9"/>
      <c r="AO212" s="9"/>
      <c r="AU212" s="9"/>
      <c r="BA212" s="9"/>
    </row>
    <row r="213" spans="1:53" ht="12" customHeight="1" x14ac:dyDescent="0.15">
      <c r="A213" s="9"/>
      <c r="U213" s="47"/>
      <c r="V213" s="47"/>
      <c r="W213" s="47"/>
      <c r="AN213" s="9"/>
      <c r="AO213" s="9"/>
      <c r="AU213" s="9"/>
      <c r="BA213" s="9"/>
    </row>
    <row r="214" spans="1:53" ht="12" customHeight="1" x14ac:dyDescent="0.15">
      <c r="A214" s="9"/>
      <c r="U214" s="51"/>
      <c r="V214" s="47"/>
      <c r="W214" s="47"/>
      <c r="AN214" s="9"/>
      <c r="AO214" s="9"/>
      <c r="AU214" s="9"/>
      <c r="BA214" s="9"/>
    </row>
    <row r="215" spans="1:53" ht="12" customHeight="1" x14ac:dyDescent="0.15">
      <c r="A215" s="9"/>
      <c r="U215" s="51"/>
      <c r="V215" s="47"/>
      <c r="W215" s="47"/>
      <c r="AN215" s="9"/>
      <c r="AO215" s="9"/>
      <c r="AU215" s="9"/>
      <c r="BA215" s="9"/>
    </row>
    <row r="216" spans="1:53" ht="12" customHeight="1" x14ac:dyDescent="0.15">
      <c r="A216" s="9"/>
      <c r="U216" s="47"/>
      <c r="V216" s="52"/>
      <c r="W216" s="52"/>
      <c r="AN216" s="9"/>
      <c r="AO216" s="9"/>
      <c r="AU216" s="9"/>
      <c r="BA216" s="9"/>
    </row>
    <row r="217" spans="1:53" ht="12" customHeight="1" x14ac:dyDescent="0.15">
      <c r="A217" s="9"/>
      <c r="U217" s="52"/>
      <c r="V217" s="47"/>
      <c r="W217" s="47"/>
      <c r="AN217" s="9"/>
      <c r="AO217" s="9"/>
      <c r="AU217" s="9"/>
      <c r="BA217" s="9"/>
    </row>
    <row r="218" spans="1:53" ht="12" customHeight="1" x14ac:dyDescent="0.15">
      <c r="A218" s="9"/>
      <c r="U218" s="52"/>
      <c r="V218" s="51"/>
      <c r="W218" s="51"/>
      <c r="AN218" s="9"/>
      <c r="AO218" s="9"/>
      <c r="AU218" s="9"/>
      <c r="BA218" s="9"/>
    </row>
    <row r="219" spans="1:53" ht="12" customHeight="1" x14ac:dyDescent="0.15">
      <c r="A219" s="9"/>
      <c r="U219" s="52"/>
      <c r="V219" s="47"/>
      <c r="W219" s="47"/>
      <c r="AN219" s="9"/>
      <c r="AO219" s="9"/>
      <c r="AU219" s="9"/>
      <c r="BA219" s="9"/>
    </row>
    <row r="220" spans="1:53" ht="12" customHeight="1" x14ac:dyDescent="0.15">
      <c r="A220" s="9"/>
      <c r="U220" s="52"/>
      <c r="V220" s="51"/>
      <c r="W220" s="51"/>
      <c r="AN220" s="9"/>
      <c r="AO220" s="9"/>
      <c r="AU220" s="9"/>
      <c r="BA220" s="9"/>
    </row>
    <row r="221" spans="1:53" ht="12" customHeight="1" x14ac:dyDescent="0.15">
      <c r="A221" s="9"/>
      <c r="U221" s="52"/>
      <c r="V221" s="51"/>
      <c r="W221" s="51"/>
      <c r="AN221" s="9"/>
      <c r="AO221" s="9"/>
      <c r="AU221" s="9"/>
      <c r="BA221" s="9"/>
    </row>
    <row r="222" spans="1:53" ht="12" customHeight="1" x14ac:dyDescent="0.15">
      <c r="A222" s="9"/>
      <c r="U222" s="52"/>
      <c r="V222" s="47"/>
      <c r="W222" s="47"/>
      <c r="AN222" s="9"/>
      <c r="AO222" s="9"/>
      <c r="AU222" s="9"/>
      <c r="BA222" s="9"/>
    </row>
    <row r="223" spans="1:53" ht="12" customHeight="1" x14ac:dyDescent="0.15">
      <c r="A223" s="9"/>
      <c r="U223" s="52"/>
      <c r="V223" s="52"/>
      <c r="W223" s="52"/>
      <c r="AN223" s="9"/>
      <c r="AO223" s="9"/>
      <c r="AU223" s="9"/>
      <c r="BA223" s="9"/>
    </row>
    <row r="224" spans="1:53" ht="12" customHeight="1" x14ac:dyDescent="0.15">
      <c r="A224" s="9"/>
      <c r="U224" s="53"/>
      <c r="V224" s="52"/>
      <c r="W224" s="52"/>
      <c r="AN224" s="9"/>
      <c r="AO224" s="9"/>
      <c r="AU224" s="9"/>
      <c r="BA224" s="9"/>
    </row>
    <row r="225" spans="1:61" ht="12" customHeight="1" x14ac:dyDescent="0.15">
      <c r="A225" s="9"/>
      <c r="U225" s="53"/>
      <c r="V225" s="52"/>
      <c r="W225" s="52"/>
      <c r="AN225" s="9"/>
      <c r="AO225" s="9"/>
      <c r="AU225" s="9"/>
      <c r="BA225" s="9"/>
    </row>
    <row r="226" spans="1:61" ht="12" customHeight="1" x14ac:dyDescent="0.15">
      <c r="A226" s="9"/>
      <c r="U226" s="53"/>
      <c r="V226" s="52"/>
      <c r="W226" s="52"/>
      <c r="AN226" s="9"/>
      <c r="AO226" s="9"/>
      <c r="AU226" s="9"/>
      <c r="BA226" s="9"/>
    </row>
    <row r="227" spans="1:61" ht="12" customHeight="1" x14ac:dyDescent="0.15">
      <c r="A227" s="9"/>
      <c r="V227" s="52"/>
      <c r="W227" s="52"/>
      <c r="AN227" s="9"/>
      <c r="AO227" s="9"/>
      <c r="AU227" s="9"/>
      <c r="BA227" s="9"/>
    </row>
    <row r="228" spans="1:61" ht="12" customHeight="1" x14ac:dyDescent="0.15">
      <c r="A228" s="9"/>
      <c r="V228" s="52"/>
      <c r="W228" s="52"/>
      <c r="AN228" s="9"/>
      <c r="AO228" s="9"/>
      <c r="AU228" s="9"/>
      <c r="BA228" s="9"/>
    </row>
    <row r="229" spans="1:61" ht="12" customHeight="1" x14ac:dyDescent="0.15">
      <c r="A229" s="9"/>
      <c r="V229" s="52"/>
      <c r="W229" s="52"/>
      <c r="AN229" s="9"/>
      <c r="AO229" s="9"/>
      <c r="AU229" s="9"/>
      <c r="BA229" s="9"/>
    </row>
    <row r="230" spans="1:61" ht="12" customHeight="1" x14ac:dyDescent="0.15">
      <c r="A230" s="9"/>
      <c r="V230" s="53"/>
      <c r="W230" s="53"/>
      <c r="AN230" s="9"/>
      <c r="AO230" s="9"/>
      <c r="AU230" s="9"/>
      <c r="BA230" s="9"/>
      <c r="BC230" s="137"/>
      <c r="BD230" s="137"/>
      <c r="BH230" s="137"/>
      <c r="BI230" s="137"/>
    </row>
    <row r="231" spans="1:61" ht="12" customHeight="1" x14ac:dyDescent="0.15">
      <c r="A231" s="9"/>
      <c r="V231" s="53"/>
      <c r="W231" s="53"/>
      <c r="AN231" s="9"/>
      <c r="AO231" s="9"/>
      <c r="AU231" s="9"/>
      <c r="BA231" s="9"/>
      <c r="BC231" s="137"/>
      <c r="BD231" s="137"/>
      <c r="BH231" s="137"/>
      <c r="BI231" s="137"/>
    </row>
    <row r="232" spans="1:61" ht="12" customHeight="1" x14ac:dyDescent="0.15">
      <c r="A232" s="9"/>
      <c r="V232" s="53"/>
      <c r="W232" s="53"/>
      <c r="AN232" s="9"/>
      <c r="AO232" s="9"/>
      <c r="AU232" s="9"/>
      <c r="BA232" s="9"/>
      <c r="BC232" s="137"/>
      <c r="BD232" s="137"/>
      <c r="BH232" s="137"/>
      <c r="BI232" s="137"/>
    </row>
    <row r="233" spans="1:61" ht="12" customHeight="1" x14ac:dyDescent="0.15">
      <c r="A233" s="9"/>
      <c r="AN233" s="9"/>
      <c r="AO233" s="9"/>
      <c r="AU233" s="9"/>
      <c r="BA233" s="9"/>
      <c r="BC233" s="137"/>
      <c r="BD233" s="137"/>
      <c r="BH233" s="137"/>
      <c r="BI233" s="137"/>
    </row>
    <row r="234" spans="1:61" ht="12" customHeight="1" x14ac:dyDescent="0.15">
      <c r="A234" s="9"/>
      <c r="AN234" s="9"/>
      <c r="AO234" s="9"/>
      <c r="AU234" s="9"/>
      <c r="BA234" s="9"/>
      <c r="BC234" s="137"/>
      <c r="BD234" s="137"/>
      <c r="BH234" s="137"/>
      <c r="BI234" s="137"/>
    </row>
    <row r="235" spans="1:61" ht="12" customHeight="1" x14ac:dyDescent="0.15">
      <c r="A235" s="9"/>
      <c r="AN235" s="9"/>
      <c r="AO235" s="9"/>
      <c r="AU235" s="9"/>
      <c r="BA235" s="9"/>
      <c r="BC235" s="137"/>
      <c r="BD235" s="137"/>
      <c r="BH235" s="137"/>
      <c r="BI235" s="137"/>
    </row>
    <row r="236" spans="1:61" ht="12" customHeight="1" x14ac:dyDescent="0.15">
      <c r="A236" s="9"/>
      <c r="AN236" s="9"/>
      <c r="AO236" s="9"/>
      <c r="AU236" s="9"/>
      <c r="BA236" s="9"/>
      <c r="BC236" s="137"/>
      <c r="BD236" s="137"/>
      <c r="BH236" s="137"/>
      <c r="BI236" s="137"/>
    </row>
    <row r="237" spans="1:61" ht="12" customHeight="1" x14ac:dyDescent="0.15">
      <c r="A237" s="9"/>
      <c r="AN237" s="9"/>
      <c r="AO237" s="9"/>
      <c r="AU237" s="9"/>
      <c r="BA237" s="9"/>
      <c r="BC237" s="137"/>
      <c r="BD237" s="137"/>
      <c r="BH237" s="137"/>
      <c r="BI237" s="137"/>
    </row>
    <row r="238" spans="1:61" ht="12" customHeight="1" x14ac:dyDescent="0.15">
      <c r="A238" s="9"/>
      <c r="AN238" s="9"/>
      <c r="AO238" s="9"/>
      <c r="AU238" s="9"/>
      <c r="BA238" s="9"/>
      <c r="BC238" s="137"/>
      <c r="BD238" s="137"/>
      <c r="BH238" s="137"/>
      <c r="BI238" s="137"/>
    </row>
    <row r="239" spans="1:61" ht="12" customHeight="1" x14ac:dyDescent="0.15">
      <c r="A239" s="9"/>
      <c r="AN239" s="9"/>
      <c r="AO239" s="9"/>
      <c r="AU239" s="9"/>
      <c r="BA239" s="9"/>
      <c r="BC239" s="137"/>
      <c r="BD239" s="137"/>
      <c r="BH239" s="137"/>
      <c r="BI239" s="137"/>
    </row>
    <row r="240" spans="1:61" ht="12" customHeight="1" x14ac:dyDescent="0.15">
      <c r="A240" s="9"/>
      <c r="AN240" s="9"/>
      <c r="AO240" s="9"/>
      <c r="AU240" s="9"/>
      <c r="BA240" s="9"/>
      <c r="BC240" s="137"/>
      <c r="BD240" s="137"/>
      <c r="BH240" s="137"/>
      <c r="BI240" s="137"/>
    </row>
    <row r="241" spans="1:61" ht="12" customHeight="1" x14ac:dyDescent="0.15">
      <c r="A241" s="9"/>
      <c r="AN241" s="9"/>
      <c r="AO241" s="9"/>
      <c r="AU241" s="9"/>
      <c r="BA241" s="9"/>
      <c r="BC241" s="137"/>
      <c r="BD241" s="137"/>
      <c r="BH241" s="137"/>
      <c r="BI241" s="137"/>
    </row>
    <row r="242" spans="1:61" ht="12" customHeight="1" x14ac:dyDescent="0.15">
      <c r="A242" s="9"/>
      <c r="AN242" s="9"/>
      <c r="AO242" s="9"/>
      <c r="AU242" s="9"/>
      <c r="BA242" s="9"/>
      <c r="BC242" s="137"/>
      <c r="BD242" s="137"/>
      <c r="BH242" s="137"/>
      <c r="BI242" s="137"/>
    </row>
    <row r="243" spans="1:61" ht="12" customHeight="1" x14ac:dyDescent="0.15">
      <c r="A243" s="9"/>
      <c r="AN243" s="9"/>
      <c r="AO243" s="9"/>
      <c r="AU243" s="9"/>
      <c r="BA243" s="9"/>
      <c r="BC243" s="137"/>
      <c r="BD243" s="137"/>
      <c r="BH243" s="137"/>
      <c r="BI243" s="137"/>
    </row>
    <row r="244" spans="1:61" ht="12" customHeight="1" x14ac:dyDescent="0.15">
      <c r="A244" s="9"/>
      <c r="AN244" s="9"/>
      <c r="AO244" s="9"/>
      <c r="AU244" s="9"/>
      <c r="BA244" s="9"/>
      <c r="BC244" s="137"/>
      <c r="BD244" s="137"/>
      <c r="BH244" s="137"/>
      <c r="BI244" s="137"/>
    </row>
    <row r="245" spans="1:61" ht="12" customHeight="1" x14ac:dyDescent="0.15">
      <c r="A245" s="9"/>
      <c r="AN245" s="9"/>
      <c r="AO245" s="9"/>
      <c r="AU245" s="9"/>
      <c r="BA245" s="9"/>
      <c r="BC245" s="137"/>
      <c r="BD245" s="137"/>
      <c r="BH245" s="137"/>
      <c r="BI245" s="137"/>
    </row>
    <row r="246" spans="1:61" ht="12" customHeight="1" x14ac:dyDescent="0.15">
      <c r="A246" s="9"/>
      <c r="AN246" s="9"/>
      <c r="AO246" s="9"/>
      <c r="AU246" s="9"/>
      <c r="BA246" s="9"/>
    </row>
    <row r="247" spans="1:61" ht="12" customHeight="1" x14ac:dyDescent="0.15">
      <c r="A247" s="9"/>
      <c r="AN247" s="9"/>
      <c r="AO247" s="9"/>
      <c r="AU247" s="9"/>
      <c r="BA247" s="9"/>
      <c r="BC247" s="137"/>
      <c r="BD247" s="137"/>
      <c r="BH247" s="137"/>
      <c r="BI247" s="137"/>
    </row>
    <row r="248" spans="1:61" ht="12" customHeight="1" x14ac:dyDescent="0.15">
      <c r="A248" s="9"/>
      <c r="AN248" s="9"/>
      <c r="AO248" s="9"/>
      <c r="AU248" s="9"/>
      <c r="BA248" s="9"/>
      <c r="BC248" s="137"/>
      <c r="BD248" s="137"/>
      <c r="BH248" s="137"/>
      <c r="BI248" s="137"/>
    </row>
    <row r="249" spans="1:61" ht="12" customHeight="1" x14ac:dyDescent="0.15">
      <c r="A249" s="9"/>
      <c r="AN249" s="9"/>
      <c r="AO249" s="9"/>
      <c r="AU249" s="9"/>
      <c r="BA249" s="9"/>
      <c r="BC249" s="137"/>
      <c r="BD249" s="137"/>
      <c r="BH249" s="137"/>
      <c r="BI249" s="137"/>
    </row>
    <row r="250" spans="1:61" ht="12" customHeight="1" x14ac:dyDescent="0.15">
      <c r="A250" s="9"/>
      <c r="AN250" s="9"/>
      <c r="AO250" s="9"/>
      <c r="AU250" s="9"/>
      <c r="BA250" s="9"/>
      <c r="BC250" s="137"/>
      <c r="BD250" s="137"/>
      <c r="BH250" s="137"/>
      <c r="BI250" s="137"/>
    </row>
    <row r="251" spans="1:61" ht="12" customHeight="1" x14ac:dyDescent="0.15">
      <c r="A251" s="9"/>
      <c r="AN251" s="9"/>
      <c r="AO251" s="9"/>
      <c r="AU251" s="9"/>
      <c r="BA251" s="9"/>
      <c r="BC251" s="137"/>
      <c r="BD251" s="137"/>
      <c r="BH251" s="137"/>
      <c r="BI251" s="137"/>
    </row>
    <row r="252" spans="1:61" ht="12" customHeight="1" x14ac:dyDescent="0.15">
      <c r="A252" s="9"/>
      <c r="AN252" s="9"/>
      <c r="AO252" s="9"/>
      <c r="AU252" s="9"/>
      <c r="BA252" s="9"/>
      <c r="BC252" s="137"/>
      <c r="BD252" s="137"/>
      <c r="BH252" s="137"/>
      <c r="BI252" s="137"/>
    </row>
    <row r="253" spans="1:61" ht="12" customHeight="1" x14ac:dyDescent="0.15">
      <c r="A253" s="9"/>
      <c r="AN253" s="9"/>
      <c r="AO253" s="9"/>
      <c r="AU253" s="9"/>
      <c r="BA253" s="9"/>
      <c r="BC253" s="137"/>
      <c r="BD253" s="137"/>
      <c r="BH253" s="137"/>
      <c r="BI253" s="137"/>
    </row>
    <row r="254" spans="1:61" ht="12" customHeight="1" x14ac:dyDescent="0.15">
      <c r="A254" s="9"/>
      <c r="AN254" s="9"/>
      <c r="AO254" s="9"/>
      <c r="AU254" s="9"/>
      <c r="BA254" s="9"/>
      <c r="BC254" s="137"/>
      <c r="BD254" s="137"/>
      <c r="BH254" s="137"/>
      <c r="BI254" s="137"/>
    </row>
    <row r="255" spans="1:61" ht="12" customHeight="1" x14ac:dyDescent="0.15">
      <c r="A255" s="9"/>
      <c r="AN255" s="9"/>
      <c r="AO255" s="9"/>
      <c r="AU255" s="9"/>
      <c r="BA255" s="9"/>
      <c r="BC255" s="137"/>
      <c r="BD255" s="137"/>
      <c r="BH255" s="137"/>
      <c r="BI255" s="137"/>
    </row>
    <row r="256" spans="1:61" ht="12" customHeight="1" x14ac:dyDescent="0.15">
      <c r="A256" s="9"/>
      <c r="AN256" s="9"/>
      <c r="AO256" s="9"/>
      <c r="AU256" s="9"/>
      <c r="BA256" s="9"/>
    </row>
    <row r="257" spans="1:60" ht="12" customHeight="1" x14ac:dyDescent="0.15">
      <c r="A257" s="9"/>
      <c r="AN257" s="9"/>
      <c r="AO257" s="9"/>
      <c r="AU257" s="9"/>
      <c r="BA257" s="9"/>
    </row>
    <row r="258" spans="1:60" ht="12" customHeight="1" x14ac:dyDescent="0.15">
      <c r="A258" s="9"/>
      <c r="AN258" s="9"/>
      <c r="AO258" s="9"/>
      <c r="AU258" s="9"/>
      <c r="BA258" s="9"/>
    </row>
    <row r="259" spans="1:60" ht="12" customHeight="1" x14ac:dyDescent="0.15">
      <c r="A259" s="9"/>
      <c r="AN259" s="9"/>
      <c r="AO259" s="9"/>
      <c r="AU259" s="9"/>
      <c r="BA259" s="9"/>
    </row>
    <row r="260" spans="1:60" ht="12" customHeight="1" x14ac:dyDescent="0.15">
      <c r="A260" s="9"/>
      <c r="AN260" s="9"/>
      <c r="AO260" s="9"/>
      <c r="AU260" s="9"/>
      <c r="BA260" s="9"/>
    </row>
    <row r="261" spans="1:60" ht="12" customHeight="1" x14ac:dyDescent="0.15">
      <c r="A261" s="9"/>
      <c r="AN261" s="9"/>
      <c r="AO261" s="9"/>
      <c r="AU261" s="9"/>
      <c r="BA261" s="9"/>
    </row>
    <row r="262" spans="1:60" ht="12" customHeight="1" x14ac:dyDescent="0.15">
      <c r="A262" s="9"/>
      <c r="AN262" s="9"/>
      <c r="AO262" s="9"/>
      <c r="AU262" s="9"/>
      <c r="BA262" s="9"/>
      <c r="BC262" s="137"/>
      <c r="BD262" s="137"/>
    </row>
    <row r="263" spans="1:60" ht="12" customHeight="1" x14ac:dyDescent="0.15">
      <c r="A263" s="9"/>
      <c r="AN263" s="9"/>
      <c r="AO263" s="9"/>
      <c r="AU263" s="9"/>
      <c r="BA263" s="9"/>
      <c r="BC263" s="146"/>
      <c r="BD263" s="137"/>
      <c r="BH263" s="137"/>
    </row>
    <row r="264" spans="1:60" ht="12" customHeight="1" x14ac:dyDescent="0.15">
      <c r="A264" s="9"/>
      <c r="AN264" s="9"/>
      <c r="AO264" s="9"/>
      <c r="AU264" s="9"/>
      <c r="BA264" s="9"/>
      <c r="BC264" s="137"/>
      <c r="BD264" s="137"/>
      <c r="BH264" s="137"/>
    </row>
    <row r="265" spans="1:60" ht="12" customHeight="1" x14ac:dyDescent="0.15">
      <c r="A265" s="9"/>
      <c r="AN265" s="9"/>
      <c r="AO265" s="9"/>
      <c r="AU265" s="9"/>
      <c r="BA265" s="9"/>
      <c r="BC265" s="137"/>
      <c r="BD265" s="137"/>
      <c r="BH265" s="137"/>
    </row>
    <row r="266" spans="1:60" ht="12" customHeight="1" x14ac:dyDescent="0.15">
      <c r="A266" s="9"/>
      <c r="AN266" s="9"/>
      <c r="AO266" s="9"/>
      <c r="AU266" s="9"/>
      <c r="BA266" s="9"/>
      <c r="BC266" s="137"/>
      <c r="BD266" s="137"/>
      <c r="BH266" s="137"/>
    </row>
    <row r="267" spans="1:60" ht="12" customHeight="1" x14ac:dyDescent="0.15">
      <c r="A267" s="9"/>
      <c r="AN267" s="9"/>
      <c r="AO267" s="9"/>
      <c r="AU267" s="9"/>
      <c r="BA267" s="9"/>
      <c r="BC267" s="137"/>
      <c r="BD267" s="137"/>
      <c r="BH267" s="137"/>
    </row>
    <row r="268" spans="1:60" ht="12" customHeight="1" x14ac:dyDescent="0.15">
      <c r="A268" s="9"/>
      <c r="AN268" s="9"/>
      <c r="AO268" s="9"/>
      <c r="AU268" s="9"/>
      <c r="BA268" s="9"/>
      <c r="BC268" s="137"/>
      <c r="BD268" s="137"/>
      <c r="BH268" s="137"/>
    </row>
    <row r="269" spans="1:60" ht="12" customHeight="1" x14ac:dyDescent="0.15">
      <c r="A269" s="9"/>
      <c r="AN269" s="9"/>
      <c r="AO269" s="9"/>
      <c r="AU269" s="9"/>
      <c r="BA269" s="9"/>
      <c r="BC269" s="137"/>
      <c r="BE269" s="192"/>
      <c r="BF269" s="192"/>
      <c r="BG269" s="192"/>
    </row>
    <row r="270" spans="1:60" ht="12" customHeight="1" x14ac:dyDescent="0.15">
      <c r="A270" s="9"/>
      <c r="AN270" s="9"/>
      <c r="AO270" s="9"/>
      <c r="AU270" s="9"/>
      <c r="BA270" s="9"/>
      <c r="BC270" s="137"/>
      <c r="BE270" s="192"/>
      <c r="BF270" s="192"/>
      <c r="BG270" s="192"/>
    </row>
    <row r="271" spans="1:60" ht="12" customHeight="1" x14ac:dyDescent="0.15">
      <c r="A271" s="9"/>
      <c r="AN271" s="9"/>
      <c r="AO271" s="9"/>
      <c r="AU271" s="9"/>
      <c r="BA271" s="9"/>
      <c r="BC271" s="137"/>
      <c r="BE271" s="192"/>
      <c r="BF271" s="192"/>
      <c r="BG271" s="192"/>
    </row>
    <row r="272" spans="1:60" ht="12" customHeight="1" x14ac:dyDescent="0.15">
      <c r="A272" s="9"/>
      <c r="AN272" s="9"/>
      <c r="AO272" s="9"/>
      <c r="AU272" s="9"/>
      <c r="BA272" s="9"/>
      <c r="BC272" s="137"/>
      <c r="BE272" s="192"/>
      <c r="BF272" s="192"/>
      <c r="BG272" s="192"/>
    </row>
    <row r="273" spans="1:59" ht="12" customHeight="1" x14ac:dyDescent="0.15">
      <c r="A273" s="9"/>
      <c r="AN273" s="9"/>
      <c r="AO273" s="9"/>
      <c r="AU273" s="9"/>
      <c r="BA273" s="9"/>
      <c r="BC273" s="137"/>
      <c r="BE273" s="192"/>
      <c r="BF273" s="192"/>
      <c r="BG273" s="192"/>
    </row>
    <row r="274" spans="1:59" ht="12" customHeight="1" x14ac:dyDescent="0.15">
      <c r="A274" s="9"/>
      <c r="AN274" s="9"/>
      <c r="AO274" s="9"/>
      <c r="AU274" s="9"/>
      <c r="BA274" s="9"/>
      <c r="BC274" s="137"/>
      <c r="BE274" s="192"/>
      <c r="BF274" s="192"/>
      <c r="BG274" s="192"/>
    </row>
    <row r="275" spans="1:59" ht="12" customHeight="1" x14ac:dyDescent="0.15">
      <c r="A275" s="9"/>
      <c r="AN275" s="9"/>
      <c r="AO275" s="9"/>
      <c r="AU275" s="9"/>
      <c r="BA275" s="9"/>
      <c r="BC275" s="137"/>
      <c r="BE275" s="192"/>
      <c r="BF275" s="192"/>
      <c r="BG275" s="192"/>
    </row>
    <row r="276" spans="1:59" ht="12" customHeight="1" x14ac:dyDescent="0.15">
      <c r="A276" s="9"/>
      <c r="AN276" s="9"/>
      <c r="AO276" s="9"/>
      <c r="AU276" s="9"/>
      <c r="BA276" s="9"/>
      <c r="BC276" s="137"/>
      <c r="BE276" s="192"/>
      <c r="BF276" s="192"/>
      <c r="BG276" s="192"/>
    </row>
    <row r="277" spans="1:59" ht="12" customHeight="1" x14ac:dyDescent="0.15">
      <c r="A277" s="9"/>
      <c r="AN277" s="9"/>
      <c r="AO277" s="9"/>
      <c r="AU277" s="9"/>
      <c r="BA277" s="9"/>
    </row>
    <row r="278" spans="1:59" ht="12" customHeight="1" x14ac:dyDescent="0.15">
      <c r="A278" s="9"/>
      <c r="AN278" s="9"/>
      <c r="AO278" s="9"/>
      <c r="AU278" s="9"/>
      <c r="BA278" s="9"/>
    </row>
    <row r="279" spans="1:59" ht="12" customHeight="1" x14ac:dyDescent="0.15">
      <c r="A279" s="9"/>
      <c r="AN279" s="9"/>
      <c r="AO279" s="9"/>
      <c r="AU279" s="9"/>
      <c r="BA279" s="9"/>
    </row>
    <row r="280" spans="1:59" ht="12" customHeight="1" x14ac:dyDescent="0.15">
      <c r="A280" s="9"/>
      <c r="AN280" s="9"/>
      <c r="AO280" s="9"/>
      <c r="AU280" s="9"/>
      <c r="BA280" s="9"/>
    </row>
    <row r="281" spans="1:59" ht="12" customHeight="1" x14ac:dyDescent="0.15">
      <c r="A281" s="9"/>
      <c r="AN281" s="9"/>
      <c r="AO281" s="9"/>
      <c r="AU281" s="9"/>
      <c r="BA281" s="9"/>
    </row>
    <row r="282" spans="1:59" ht="12" customHeight="1" x14ac:dyDescent="0.15">
      <c r="A282" s="9"/>
      <c r="AN282" s="9"/>
      <c r="AO282" s="9"/>
      <c r="AU282" s="9"/>
      <c r="BA282" s="9"/>
    </row>
    <row r="283" spans="1:59" ht="12" customHeight="1" x14ac:dyDescent="0.15">
      <c r="A283" s="9"/>
      <c r="AN283" s="9"/>
      <c r="AO283" s="9"/>
      <c r="AU283" s="9"/>
      <c r="BA283" s="9"/>
    </row>
    <row r="284" spans="1:59" ht="12" customHeight="1" x14ac:dyDescent="0.15">
      <c r="A284" s="9"/>
      <c r="AN284" s="9"/>
      <c r="AO284" s="9"/>
      <c r="AU284" s="9"/>
      <c r="BA284" s="9"/>
    </row>
    <row r="285" spans="1:59" ht="12" customHeight="1" x14ac:dyDescent="0.15">
      <c r="A285" s="9"/>
      <c r="AN285" s="9"/>
      <c r="AO285" s="9"/>
      <c r="AU285" s="9"/>
      <c r="BA285" s="9"/>
    </row>
    <row r="286" spans="1:59" ht="12" customHeight="1" x14ac:dyDescent="0.15">
      <c r="A286" s="9"/>
      <c r="AN286" s="9"/>
      <c r="AO286" s="9"/>
      <c r="AU286" s="9"/>
      <c r="BA286" s="9"/>
    </row>
    <row r="287" spans="1:59" ht="12" customHeight="1" x14ac:dyDescent="0.15">
      <c r="A287" s="9"/>
      <c r="AN287" s="9"/>
      <c r="AO287" s="9"/>
      <c r="AU287" s="9"/>
      <c r="BA287" s="9"/>
    </row>
    <row r="288" spans="1:59" ht="12" customHeight="1" x14ac:dyDescent="0.15">
      <c r="A288" s="9"/>
      <c r="AN288" s="9"/>
      <c r="AO288" s="9"/>
      <c r="AU288" s="9"/>
      <c r="BA288" s="9"/>
    </row>
    <row r="289" spans="1:53" ht="12" customHeight="1" x14ac:dyDescent="0.15">
      <c r="A289" s="9"/>
      <c r="AN289" s="9"/>
      <c r="AO289" s="9"/>
      <c r="AU289" s="9"/>
      <c r="BA289" s="9"/>
    </row>
    <row r="290" spans="1:53" ht="12" customHeight="1" x14ac:dyDescent="0.15">
      <c r="A290" s="9"/>
      <c r="AN290" s="9"/>
      <c r="AO290" s="9"/>
      <c r="AU290" s="9"/>
      <c r="BA290" s="9"/>
    </row>
    <row r="291" spans="1:53" ht="12" customHeight="1" x14ac:dyDescent="0.15">
      <c r="A291" s="9"/>
      <c r="AN291" s="9"/>
      <c r="AO291" s="9"/>
      <c r="AU291" s="9"/>
      <c r="BA291" s="9"/>
    </row>
    <row r="292" spans="1:53" ht="11.25" customHeight="1" x14ac:dyDescent="0.15">
      <c r="A292" s="9"/>
      <c r="AN292" s="9"/>
      <c r="AO292" s="9"/>
      <c r="AU292" s="9"/>
      <c r="BA292" s="9"/>
    </row>
    <row r="293" spans="1:53" ht="12" customHeight="1" x14ac:dyDescent="0.15">
      <c r="A293" s="9"/>
      <c r="AN293" s="9"/>
      <c r="AO293" s="9"/>
      <c r="AU293" s="9"/>
      <c r="BA293" s="9"/>
    </row>
    <row r="294" spans="1:53" ht="12" customHeight="1" x14ac:dyDescent="0.15">
      <c r="A294" s="9"/>
      <c r="AN294" s="9"/>
      <c r="AO294" s="9"/>
      <c r="AU294" s="9"/>
      <c r="BA294" s="9"/>
    </row>
    <row r="295" spans="1:53" ht="12" customHeight="1" x14ac:dyDescent="0.15">
      <c r="A295" s="9"/>
      <c r="AN295" s="9"/>
      <c r="AO295" s="9"/>
      <c r="AU295" s="9"/>
      <c r="BA295" s="9"/>
    </row>
    <row r="296" spans="1:53" ht="12" customHeight="1" x14ac:dyDescent="0.15">
      <c r="A296" s="9"/>
      <c r="AN296" s="9"/>
      <c r="AO296" s="9"/>
      <c r="AU296" s="9"/>
      <c r="BA296" s="9"/>
    </row>
    <row r="297" spans="1:53" ht="12" customHeight="1" x14ac:dyDescent="0.15">
      <c r="A297" s="9"/>
      <c r="AN297" s="9"/>
      <c r="AO297" s="9"/>
      <c r="AU297" s="9"/>
      <c r="BA297" s="9"/>
    </row>
    <row r="298" spans="1:53" ht="12" customHeight="1" x14ac:dyDescent="0.15">
      <c r="A298" s="9"/>
      <c r="AN298" s="9"/>
      <c r="AO298" s="9"/>
      <c r="AU298" s="9"/>
      <c r="BA298" s="9"/>
    </row>
    <row r="299" spans="1:53" ht="12" customHeight="1" x14ac:dyDescent="0.15">
      <c r="A299" s="9"/>
      <c r="AN299" s="9"/>
      <c r="AO299" s="9"/>
      <c r="AU299" s="9"/>
      <c r="BA299" s="9"/>
    </row>
    <row r="300" spans="1:53" ht="12" customHeight="1" x14ac:dyDescent="0.15">
      <c r="A300" s="9"/>
      <c r="AN300" s="9"/>
      <c r="AO300" s="9"/>
      <c r="AU300" s="9"/>
      <c r="BA300" s="9"/>
    </row>
    <row r="301" spans="1:53" ht="12" customHeight="1" x14ac:dyDescent="0.15">
      <c r="A301" s="9"/>
      <c r="AN301" s="9"/>
      <c r="AO301" s="9"/>
      <c r="AU301" s="9"/>
      <c r="BA301" s="9"/>
    </row>
    <row r="302" spans="1:53" ht="12" customHeight="1" x14ac:dyDescent="0.15">
      <c r="A302" s="9"/>
      <c r="AN302" s="9"/>
      <c r="AO302" s="9"/>
      <c r="AU302" s="9"/>
      <c r="BA302" s="9"/>
    </row>
    <row r="303" spans="1:53" ht="12" customHeight="1" x14ac:dyDescent="0.15">
      <c r="A303" s="9"/>
      <c r="AN303" s="9"/>
      <c r="AO303" s="9"/>
      <c r="AU303" s="9"/>
      <c r="BA303" s="9"/>
    </row>
    <row r="304" spans="1:53" ht="12" customHeight="1" x14ac:dyDescent="0.15">
      <c r="A304" s="9"/>
      <c r="AN304" s="9"/>
      <c r="AO304" s="9"/>
      <c r="AU304" s="9"/>
      <c r="BA304" s="9"/>
    </row>
    <row r="305" spans="1:61" ht="12" customHeight="1" x14ac:dyDescent="0.15">
      <c r="A305" s="9"/>
      <c r="AN305" s="9"/>
      <c r="AO305" s="9"/>
      <c r="AU305" s="9"/>
      <c r="BA305" s="9"/>
      <c r="BC305" s="9"/>
      <c r="BD305" s="9"/>
      <c r="BE305" s="9"/>
      <c r="BF305" s="9"/>
      <c r="BG305" s="9"/>
      <c r="BH305" s="9"/>
      <c r="BI305" s="9"/>
    </row>
    <row r="306" spans="1:61" ht="12" customHeight="1" x14ac:dyDescent="0.15">
      <c r="A306" s="9"/>
      <c r="AN306" s="9"/>
      <c r="AO306" s="9"/>
      <c r="AU306" s="9"/>
      <c r="BA306" s="9"/>
    </row>
    <row r="307" spans="1:61" ht="12" customHeight="1" x14ac:dyDescent="0.15">
      <c r="A307" s="9"/>
      <c r="AN307" s="9"/>
      <c r="AO307" s="9"/>
      <c r="AU307" s="9"/>
      <c r="BA307" s="9"/>
    </row>
    <row r="308" spans="1:61" ht="12" customHeight="1" x14ac:dyDescent="0.15">
      <c r="A308" s="9"/>
      <c r="AN308" s="9"/>
      <c r="AO308" s="9"/>
      <c r="AU308" s="9"/>
      <c r="BA308" s="9"/>
    </row>
    <row r="309" spans="1:61" ht="12" customHeight="1" x14ac:dyDescent="0.15">
      <c r="A309" s="9"/>
      <c r="AN309" s="9"/>
      <c r="AO309" s="9"/>
      <c r="AU309" s="9"/>
      <c r="BA309" s="9"/>
    </row>
    <row r="310" spans="1:61" ht="12" customHeight="1" x14ac:dyDescent="0.15">
      <c r="A310" s="9"/>
      <c r="AN310" s="9"/>
      <c r="AO310" s="9"/>
      <c r="AU310" s="9"/>
      <c r="BA310" s="9"/>
    </row>
    <row r="311" spans="1:61" ht="12" customHeight="1" x14ac:dyDescent="0.15">
      <c r="A311" s="9"/>
      <c r="AN311" s="9"/>
      <c r="AO311" s="9"/>
      <c r="AU311" s="9"/>
      <c r="BA311" s="9"/>
    </row>
    <row r="312" spans="1:61" ht="12" customHeight="1" x14ac:dyDescent="0.15">
      <c r="A312" s="9"/>
      <c r="AN312" s="9"/>
      <c r="AO312" s="9"/>
      <c r="AU312" s="9"/>
      <c r="BA312" s="9"/>
    </row>
    <row r="313" spans="1:61" ht="12" customHeight="1" x14ac:dyDescent="0.15">
      <c r="A313" s="9"/>
      <c r="AN313" s="9"/>
      <c r="AO313" s="9"/>
      <c r="AU313" s="9"/>
      <c r="BA313" s="9"/>
    </row>
    <row r="314" spans="1:61" ht="12" customHeight="1" x14ac:dyDescent="0.15">
      <c r="A314" s="9"/>
      <c r="AN314" s="9"/>
      <c r="AO314" s="9"/>
      <c r="AU314" s="9"/>
      <c r="BA314" s="9"/>
    </row>
    <row r="315" spans="1:61" ht="12" customHeight="1" x14ac:dyDescent="0.15">
      <c r="A315" s="9"/>
      <c r="AN315" s="9"/>
      <c r="AO315" s="9"/>
      <c r="AU315" s="9"/>
      <c r="BA315" s="9"/>
    </row>
    <row r="316" spans="1:61" ht="12" customHeight="1" x14ac:dyDescent="0.15">
      <c r="A316" s="9"/>
      <c r="AN316" s="9"/>
      <c r="AO316" s="9"/>
      <c r="AU316" s="9"/>
      <c r="BA316" s="9"/>
    </row>
    <row r="317" spans="1:61" ht="12" customHeight="1" x14ac:dyDescent="0.15">
      <c r="A317" s="9"/>
      <c r="AN317" s="9"/>
      <c r="AO317" s="9"/>
      <c r="AU317" s="9"/>
      <c r="BA317" s="9"/>
    </row>
    <row r="318" spans="1:61" ht="12" customHeight="1" x14ac:dyDescent="0.15">
      <c r="A318" s="9"/>
      <c r="AN318" s="9"/>
      <c r="AO318" s="9"/>
      <c r="AU318" s="9"/>
      <c r="BA318" s="9"/>
    </row>
    <row r="319" spans="1:61" ht="12" customHeight="1" x14ac:dyDescent="0.15">
      <c r="A319" s="9"/>
      <c r="AN319" s="9"/>
      <c r="AO319" s="9"/>
      <c r="AU319" s="9"/>
      <c r="BA319" s="9"/>
    </row>
    <row r="320" spans="1:61" ht="12" customHeight="1" x14ac:dyDescent="0.15">
      <c r="A320" s="9"/>
      <c r="AN320" s="9"/>
      <c r="AO320" s="9"/>
      <c r="AU320" s="9"/>
      <c r="BA320" s="9"/>
    </row>
    <row r="321" spans="1:53" ht="12" customHeight="1" x14ac:dyDescent="0.15">
      <c r="A321" s="9"/>
      <c r="AN321" s="9"/>
      <c r="AO321" s="9"/>
      <c r="AU321" s="9"/>
      <c r="BA321" s="9"/>
    </row>
    <row r="322" spans="1:53" ht="12" customHeight="1" x14ac:dyDescent="0.15">
      <c r="A322" s="9"/>
      <c r="AN322" s="9"/>
      <c r="AO322" s="9"/>
      <c r="AU322" s="9"/>
      <c r="BA322" s="9"/>
    </row>
    <row r="323" spans="1:53" ht="12" customHeight="1" x14ac:dyDescent="0.15">
      <c r="A323" s="9"/>
      <c r="AN323" s="9"/>
      <c r="AO323" s="9"/>
      <c r="AU323" s="9"/>
      <c r="BA323" s="9"/>
    </row>
    <row r="324" spans="1:53" ht="12" customHeight="1" x14ac:dyDescent="0.15">
      <c r="A324" s="9"/>
      <c r="AN324" s="9"/>
      <c r="AO324" s="9"/>
      <c r="AU324" s="9"/>
      <c r="BA324" s="9"/>
    </row>
    <row r="325" spans="1:53" ht="12" customHeight="1" x14ac:dyDescent="0.15">
      <c r="A325" s="9"/>
      <c r="AN325" s="9"/>
      <c r="AO325" s="9"/>
      <c r="AU325" s="9"/>
      <c r="BA325" s="9"/>
    </row>
    <row r="326" spans="1:53" ht="12" customHeight="1" x14ac:dyDescent="0.15">
      <c r="A326" s="9"/>
      <c r="AN326" s="9"/>
      <c r="AO326" s="9"/>
      <c r="AU326" s="9"/>
      <c r="BA326" s="9"/>
    </row>
    <row r="327" spans="1:53" ht="12" customHeight="1" x14ac:dyDescent="0.15">
      <c r="A327" s="9"/>
      <c r="AN327" s="9"/>
      <c r="AO327" s="9"/>
      <c r="AU327" s="9"/>
      <c r="BA327" s="9"/>
    </row>
    <row r="328" spans="1:53" ht="12" customHeight="1" x14ac:dyDescent="0.15">
      <c r="A328" s="9"/>
      <c r="AN328" s="9"/>
      <c r="AO328" s="9"/>
      <c r="AU328" s="9"/>
      <c r="BA328" s="9"/>
    </row>
    <row r="329" spans="1:53" ht="12" customHeight="1" x14ac:dyDescent="0.15">
      <c r="A329" s="9"/>
      <c r="AN329" s="9"/>
      <c r="AO329" s="9"/>
      <c r="AU329" s="9"/>
      <c r="BA329" s="9"/>
    </row>
    <row r="330" spans="1:53" ht="12" customHeight="1" x14ac:dyDescent="0.15">
      <c r="A330" s="9"/>
      <c r="AN330" s="9"/>
      <c r="AO330" s="9"/>
      <c r="AU330" s="9"/>
      <c r="BA330" s="9"/>
    </row>
    <row r="331" spans="1:53" ht="12" customHeight="1" x14ac:dyDescent="0.15">
      <c r="A331" s="9"/>
      <c r="AN331" s="9"/>
      <c r="AO331" s="9"/>
      <c r="AU331" s="9"/>
      <c r="BA331" s="9"/>
    </row>
    <row r="332" spans="1:53" ht="12" customHeight="1" x14ac:dyDescent="0.15">
      <c r="A332" s="9"/>
      <c r="AN332" s="9"/>
      <c r="AO332" s="9"/>
      <c r="AU332" s="9"/>
      <c r="BA332" s="9"/>
    </row>
    <row r="333" spans="1:53" ht="12" customHeight="1" x14ac:dyDescent="0.15">
      <c r="A333" s="9"/>
      <c r="AN333" s="9"/>
      <c r="AO333" s="9"/>
      <c r="AU333" s="9"/>
      <c r="BA333" s="9"/>
    </row>
    <row r="334" spans="1:53" ht="12" customHeight="1" x14ac:dyDescent="0.15">
      <c r="A334" s="9"/>
      <c r="AN334" s="9"/>
      <c r="AO334" s="9"/>
      <c r="AU334" s="9"/>
      <c r="BA334" s="9"/>
    </row>
    <row r="335" spans="1:53" ht="12" customHeight="1" x14ac:dyDescent="0.15">
      <c r="A335" s="9"/>
      <c r="AN335" s="9"/>
      <c r="AO335" s="9"/>
      <c r="AU335" s="9"/>
      <c r="BA335" s="9"/>
    </row>
    <row r="336" spans="1:53" ht="12" customHeight="1" x14ac:dyDescent="0.15">
      <c r="A336" s="9"/>
      <c r="AN336" s="9"/>
      <c r="AO336" s="9"/>
      <c r="AU336" s="9"/>
      <c r="BA336" s="9"/>
    </row>
    <row r="337" spans="1:53" ht="12" customHeight="1" x14ac:dyDescent="0.15">
      <c r="A337" s="9"/>
      <c r="AN337" s="9"/>
      <c r="AO337" s="9"/>
      <c r="AU337" s="9"/>
      <c r="BA337" s="9"/>
    </row>
    <row r="338" spans="1:53" ht="12" customHeight="1" x14ac:dyDescent="0.15">
      <c r="A338" s="9"/>
      <c r="AN338" s="9"/>
      <c r="AO338" s="9"/>
      <c r="AU338" s="9"/>
      <c r="BA338" s="9"/>
    </row>
    <row r="339" spans="1:53" ht="12" customHeight="1" x14ac:dyDescent="0.15">
      <c r="A339" s="9"/>
      <c r="AN339" s="9"/>
      <c r="AO339" s="9"/>
      <c r="AU339" s="9"/>
      <c r="BA339" s="9"/>
    </row>
    <row r="340" spans="1:53" ht="12" customHeight="1" x14ac:dyDescent="0.15">
      <c r="A340" s="9"/>
      <c r="AN340" s="9"/>
      <c r="AO340" s="9"/>
      <c r="AU340" s="9"/>
      <c r="BA340" s="9"/>
    </row>
    <row r="341" spans="1:53" ht="12" customHeight="1" x14ac:dyDescent="0.15">
      <c r="A341" s="9"/>
      <c r="AN341" s="9"/>
      <c r="AO341" s="9"/>
      <c r="AU341" s="9"/>
      <c r="BA341" s="9"/>
    </row>
    <row r="342" spans="1:53" ht="12" customHeight="1" x14ac:dyDescent="0.15">
      <c r="A342" s="9"/>
      <c r="AN342" s="9"/>
      <c r="AO342" s="9"/>
      <c r="AU342" s="9"/>
      <c r="BA342" s="9"/>
    </row>
    <row r="343" spans="1:53" ht="12" customHeight="1" x14ac:dyDescent="0.15">
      <c r="A343" s="9"/>
      <c r="AN343" s="9"/>
      <c r="AO343" s="9"/>
      <c r="AU343" s="9"/>
      <c r="BA343" s="9"/>
    </row>
    <row r="344" spans="1:53" ht="12" customHeight="1" x14ac:dyDescent="0.15">
      <c r="A344" s="9"/>
      <c r="AN344" s="9"/>
      <c r="AO344" s="9"/>
      <c r="AU344" s="9"/>
      <c r="BA344" s="9"/>
    </row>
    <row r="345" spans="1:53" ht="12" customHeight="1" x14ac:dyDescent="0.15">
      <c r="A345" s="9"/>
      <c r="AN345" s="9"/>
      <c r="AO345" s="9"/>
      <c r="AU345" s="9"/>
      <c r="BA345" s="9"/>
    </row>
    <row r="346" spans="1:53" ht="12" customHeight="1" x14ac:dyDescent="0.15">
      <c r="A346" s="9"/>
      <c r="AN346" s="9"/>
      <c r="AO346" s="9"/>
      <c r="AU346" s="9"/>
      <c r="BA346" s="9"/>
    </row>
    <row r="347" spans="1:53" ht="12" customHeight="1" x14ac:dyDescent="0.15">
      <c r="A347" s="9"/>
      <c r="AN347" s="9"/>
      <c r="AO347" s="9"/>
      <c r="AU347" s="9"/>
      <c r="BA347" s="9"/>
    </row>
    <row r="348" spans="1:53" ht="12" customHeight="1" x14ac:dyDescent="0.15">
      <c r="A348" s="9"/>
      <c r="AN348" s="9"/>
      <c r="AO348" s="9"/>
      <c r="AU348" s="9"/>
      <c r="BA348" s="9"/>
    </row>
    <row r="349" spans="1:53" ht="12" customHeight="1" x14ac:dyDescent="0.15">
      <c r="A349" s="9"/>
      <c r="AN349" s="9"/>
      <c r="AO349" s="9"/>
      <c r="AU349" s="9"/>
      <c r="BA349" s="9"/>
    </row>
    <row r="350" spans="1:53" ht="12" customHeight="1" x14ac:dyDescent="0.15">
      <c r="A350" s="9"/>
      <c r="AN350" s="9"/>
      <c r="AO350" s="9"/>
      <c r="AU350" s="9"/>
      <c r="BA350" s="9"/>
    </row>
    <row r="351" spans="1:53" ht="12" customHeight="1" x14ac:dyDescent="0.15">
      <c r="A351" s="9"/>
      <c r="AN351" s="9"/>
      <c r="AO351" s="9"/>
      <c r="AU351" s="9"/>
      <c r="BA351" s="9"/>
    </row>
    <row r="352" spans="1:53" ht="12" customHeight="1" x14ac:dyDescent="0.15">
      <c r="A352" s="9"/>
      <c r="AN352" s="9"/>
      <c r="AO352" s="9"/>
      <c r="AU352" s="9"/>
      <c r="BA352" s="9"/>
    </row>
    <row r="353" spans="1:53" ht="12" customHeight="1" x14ac:dyDescent="0.15">
      <c r="A353" s="9"/>
      <c r="AN353" s="9"/>
      <c r="AO353" s="9"/>
      <c r="AU353" s="9"/>
      <c r="BA353" s="9"/>
    </row>
    <row r="354" spans="1:53" ht="12" customHeight="1" x14ac:dyDescent="0.15">
      <c r="A354" s="9"/>
      <c r="AN354" s="9"/>
      <c r="AO354" s="9"/>
      <c r="AU354" s="9"/>
      <c r="BA354" s="9"/>
    </row>
    <row r="355" spans="1:53" ht="12" customHeight="1" x14ac:dyDescent="0.15">
      <c r="A355" s="9"/>
      <c r="AN355" s="9"/>
      <c r="AO355" s="9"/>
      <c r="AU355" s="9"/>
      <c r="BA355" s="9"/>
    </row>
    <row r="356" spans="1:53" ht="12" customHeight="1" x14ac:dyDescent="0.15">
      <c r="A356" s="9"/>
      <c r="AN356" s="9"/>
      <c r="AO356" s="9"/>
      <c r="AU356" s="9"/>
      <c r="BA356" s="9"/>
    </row>
    <row r="357" spans="1:53" ht="12" customHeight="1" x14ac:dyDescent="0.15">
      <c r="A357" s="9"/>
      <c r="AN357" s="9"/>
      <c r="AO357" s="9"/>
      <c r="AU357" s="9"/>
      <c r="BA357" s="9"/>
    </row>
    <row r="358" spans="1:53" ht="12" customHeight="1" x14ac:dyDescent="0.15">
      <c r="A358" s="9"/>
      <c r="AN358" s="9"/>
      <c r="AO358" s="9"/>
      <c r="AU358" s="9"/>
      <c r="BA358" s="9"/>
    </row>
    <row r="359" spans="1:53" ht="12" customHeight="1" x14ac:dyDescent="0.15">
      <c r="A359" s="9"/>
      <c r="AN359" s="9"/>
      <c r="AO359" s="9"/>
      <c r="AU359" s="9"/>
      <c r="BA359" s="9"/>
    </row>
    <row r="360" spans="1:53" ht="12" customHeight="1" x14ac:dyDescent="0.15">
      <c r="A360" s="9"/>
      <c r="AN360" s="9"/>
      <c r="AO360" s="9"/>
      <c r="AU360" s="9"/>
      <c r="BA360" s="9"/>
    </row>
    <row r="361" spans="1:53" ht="12" customHeight="1" x14ac:dyDescent="0.15">
      <c r="A361" s="9"/>
      <c r="AN361" s="9"/>
      <c r="AO361" s="9"/>
      <c r="AU361" s="9"/>
      <c r="BA361" s="9"/>
    </row>
    <row r="362" spans="1:53" ht="12" customHeight="1" x14ac:dyDescent="0.15">
      <c r="A362" s="9"/>
      <c r="AN362" s="9"/>
      <c r="AO362" s="9"/>
      <c r="AU362" s="9"/>
      <c r="BA362" s="9"/>
    </row>
    <row r="363" spans="1:53" ht="12" customHeight="1" x14ac:dyDescent="0.15">
      <c r="A363" s="9"/>
      <c r="AN363" s="9"/>
      <c r="AO363" s="9"/>
      <c r="AU363" s="9"/>
      <c r="BA363" s="9"/>
    </row>
    <row r="364" spans="1:53" ht="12" customHeight="1" x14ac:dyDescent="0.15">
      <c r="A364" s="9"/>
      <c r="AN364" s="9"/>
      <c r="AO364" s="9"/>
      <c r="AU364" s="9"/>
      <c r="BA364" s="9"/>
    </row>
    <row r="365" spans="1:53" ht="12" customHeight="1" x14ac:dyDescent="0.15">
      <c r="A365" s="9"/>
      <c r="AN365" s="9"/>
      <c r="AO365" s="9"/>
      <c r="AU365" s="9"/>
      <c r="BA365" s="9"/>
    </row>
    <row r="366" spans="1:53" ht="12" customHeight="1" x14ac:dyDescent="0.15">
      <c r="A366" s="9"/>
      <c r="AN366" s="9"/>
      <c r="AO366" s="9"/>
      <c r="AU366" s="9"/>
      <c r="BA366" s="9"/>
    </row>
    <row r="367" spans="1:53" ht="12" customHeight="1" x14ac:dyDescent="0.15">
      <c r="A367" s="9"/>
      <c r="AN367" s="9"/>
      <c r="AO367" s="9"/>
      <c r="AU367" s="9"/>
      <c r="BA367" s="9"/>
    </row>
    <row r="368" spans="1:53" ht="12" customHeight="1" x14ac:dyDescent="0.15">
      <c r="A368" s="9"/>
      <c r="AN368" s="9"/>
      <c r="AO368" s="9"/>
      <c r="AU368" s="9"/>
      <c r="BA368" s="9"/>
    </row>
    <row r="369" spans="1:53" ht="12" customHeight="1" x14ac:dyDescent="0.15">
      <c r="A369" s="9"/>
      <c r="AN369" s="9"/>
      <c r="AO369" s="9"/>
      <c r="AU369" s="9"/>
      <c r="BA369" s="9"/>
    </row>
    <row r="370" spans="1:53" ht="12" customHeight="1" x14ac:dyDescent="0.15">
      <c r="A370" s="9"/>
      <c r="AN370" s="9"/>
      <c r="AO370" s="9"/>
      <c r="AU370" s="9"/>
      <c r="BA370" s="9"/>
    </row>
    <row r="371" spans="1:53" ht="12" customHeight="1" x14ac:dyDescent="0.15">
      <c r="A371" s="9"/>
      <c r="AN371" s="9"/>
      <c r="AO371" s="9"/>
      <c r="AU371" s="9"/>
      <c r="BA371" s="9"/>
    </row>
    <row r="372" spans="1:53" ht="12" customHeight="1" x14ac:dyDescent="0.15">
      <c r="A372" s="9"/>
      <c r="AN372" s="9"/>
      <c r="AO372" s="9"/>
      <c r="AU372" s="9"/>
      <c r="BA372" s="9"/>
    </row>
    <row r="373" spans="1:53" ht="12" customHeight="1" x14ac:dyDescent="0.15">
      <c r="A373" s="9"/>
      <c r="AN373" s="9"/>
      <c r="AO373" s="9"/>
      <c r="AU373" s="9"/>
      <c r="BA373" s="9"/>
    </row>
    <row r="374" spans="1:53" ht="12" customHeight="1" x14ac:dyDescent="0.15">
      <c r="A374" s="9"/>
      <c r="AN374" s="9"/>
      <c r="AO374" s="9"/>
      <c r="AU374" s="9"/>
      <c r="BA374" s="9"/>
    </row>
    <row r="375" spans="1:53" ht="12" customHeight="1" x14ac:dyDescent="0.15">
      <c r="A375" s="9"/>
      <c r="AN375" s="9"/>
      <c r="AO375" s="9"/>
      <c r="AU375" s="9"/>
      <c r="BA375" s="9"/>
    </row>
    <row r="376" spans="1:53" ht="12" customHeight="1" x14ac:dyDescent="0.15">
      <c r="A376" s="9"/>
      <c r="AN376" s="9"/>
      <c r="AO376" s="9"/>
      <c r="AU376" s="9"/>
      <c r="BA376" s="9"/>
    </row>
    <row r="377" spans="1:53" ht="12" customHeight="1" x14ac:dyDescent="0.15">
      <c r="A377" s="9"/>
      <c r="AN377" s="9"/>
      <c r="AO377" s="9"/>
      <c r="AU377" s="9"/>
      <c r="BA377" s="9"/>
    </row>
    <row r="378" spans="1:53" ht="12" customHeight="1" x14ac:dyDescent="0.15">
      <c r="A378" s="9"/>
      <c r="AN378" s="9"/>
      <c r="AO378" s="9"/>
      <c r="AU378" s="9"/>
      <c r="BA378" s="9"/>
    </row>
    <row r="379" spans="1:53" ht="12" customHeight="1" x14ac:dyDescent="0.15">
      <c r="A379" s="9"/>
      <c r="AN379" s="9"/>
      <c r="AO379" s="9"/>
      <c r="AU379" s="9"/>
      <c r="BA379" s="9"/>
    </row>
    <row r="380" spans="1:53" ht="12" customHeight="1" x14ac:dyDescent="0.15">
      <c r="A380" s="9"/>
      <c r="AN380" s="9"/>
      <c r="AO380" s="9"/>
      <c r="AU380" s="9"/>
      <c r="BA380" s="9"/>
    </row>
    <row r="381" spans="1:53" ht="12" customHeight="1" x14ac:dyDescent="0.15">
      <c r="A381" s="9"/>
      <c r="AN381" s="9"/>
      <c r="AO381" s="9"/>
      <c r="AU381" s="9"/>
      <c r="BA381" s="9"/>
    </row>
    <row r="382" spans="1:53" ht="12" customHeight="1" x14ac:dyDescent="0.15">
      <c r="A382" s="9"/>
      <c r="AN382" s="9"/>
      <c r="AO382" s="9"/>
      <c r="AU382" s="9"/>
      <c r="BA382" s="9"/>
    </row>
    <row r="383" spans="1:53" ht="12" customHeight="1" x14ac:dyDescent="0.15">
      <c r="A383" s="9"/>
      <c r="AN383" s="9"/>
      <c r="AO383" s="9"/>
      <c r="AU383" s="9"/>
      <c r="BA383" s="9"/>
    </row>
    <row r="384" spans="1:53" ht="12" customHeight="1" x14ac:dyDescent="0.15">
      <c r="A384" s="9"/>
      <c r="AN384" s="9"/>
      <c r="AO384" s="9"/>
      <c r="AU384" s="9"/>
      <c r="BA384" s="9"/>
    </row>
    <row r="385" spans="1:53" ht="12" customHeight="1" x14ac:dyDescent="0.15">
      <c r="A385" s="9"/>
      <c r="AN385" s="9"/>
      <c r="AO385" s="9"/>
      <c r="AU385" s="9"/>
      <c r="BA385" s="9"/>
    </row>
    <row r="386" spans="1:53" ht="12" customHeight="1" x14ac:dyDescent="0.15">
      <c r="A386" s="9"/>
      <c r="AN386" s="9"/>
      <c r="AO386" s="9"/>
      <c r="AU386" s="9"/>
      <c r="BA386" s="9"/>
    </row>
    <row r="387" spans="1:53" ht="12" customHeight="1" x14ac:dyDescent="0.15">
      <c r="A387" s="9"/>
      <c r="AN387" s="9"/>
      <c r="AO387" s="9"/>
      <c r="AU387" s="9"/>
      <c r="BA387" s="9"/>
    </row>
    <row r="388" spans="1:53" ht="12" customHeight="1" x14ac:dyDescent="0.15">
      <c r="A388" s="9"/>
      <c r="AN388" s="9"/>
      <c r="AO388" s="9"/>
      <c r="AU388" s="9"/>
      <c r="BA388" s="9"/>
    </row>
    <row r="389" spans="1:53" ht="12" customHeight="1" x14ac:dyDescent="0.15">
      <c r="A389" s="9"/>
      <c r="AN389" s="9"/>
      <c r="AO389" s="9"/>
      <c r="AU389" s="9"/>
      <c r="BA389" s="9"/>
    </row>
    <row r="390" spans="1:53" ht="12" customHeight="1" x14ac:dyDescent="0.15">
      <c r="A390" s="9"/>
      <c r="AN390" s="9"/>
      <c r="AO390" s="9"/>
      <c r="AU390" s="9"/>
      <c r="BA390" s="9"/>
    </row>
    <row r="391" spans="1:53" ht="12" customHeight="1" x14ac:dyDescent="0.15">
      <c r="A391" s="9"/>
      <c r="AN391" s="9"/>
      <c r="AO391" s="9"/>
      <c r="AU391" s="9"/>
      <c r="BA391" s="9"/>
    </row>
    <row r="392" spans="1:53" ht="12" customHeight="1" x14ac:dyDescent="0.15">
      <c r="A392" s="9"/>
      <c r="AN392" s="9"/>
      <c r="AO392" s="9"/>
      <c r="AU392" s="9"/>
      <c r="BA392" s="9"/>
    </row>
    <row r="393" spans="1:53" ht="12" customHeight="1" x14ac:dyDescent="0.15">
      <c r="A393" s="9"/>
      <c r="AN393" s="9"/>
      <c r="AO393" s="9"/>
      <c r="AU393" s="9"/>
      <c r="BA393" s="9"/>
    </row>
    <row r="394" spans="1:53" ht="12" customHeight="1" x14ac:dyDescent="0.15">
      <c r="A394" s="9"/>
      <c r="AN394" s="9"/>
      <c r="AO394" s="9"/>
      <c r="AU394" s="9"/>
      <c r="BA394" s="9"/>
    </row>
    <row r="395" spans="1:53" ht="12" customHeight="1" x14ac:dyDescent="0.15">
      <c r="A395" s="9"/>
      <c r="AN395" s="9"/>
      <c r="AO395" s="9"/>
      <c r="AU395" s="9"/>
      <c r="BA395" s="9"/>
    </row>
    <row r="396" spans="1:53" ht="12" customHeight="1" x14ac:dyDescent="0.15">
      <c r="A396" s="9"/>
      <c r="AN396" s="9"/>
      <c r="AO396" s="9"/>
      <c r="AU396" s="9"/>
      <c r="BA396" s="9"/>
    </row>
    <row r="397" spans="1:53" ht="12" customHeight="1" x14ac:dyDescent="0.15">
      <c r="A397" s="9"/>
      <c r="AN397" s="9"/>
      <c r="AO397" s="9"/>
      <c r="AU397" s="9"/>
      <c r="BA397" s="9"/>
    </row>
    <row r="398" spans="1:53" ht="12" customHeight="1" x14ac:dyDescent="0.15">
      <c r="A398" s="9"/>
      <c r="AN398" s="9"/>
      <c r="AO398" s="9"/>
      <c r="AU398" s="9"/>
      <c r="BA398" s="9"/>
    </row>
    <row r="399" spans="1:53" ht="12" customHeight="1" x14ac:dyDescent="0.15">
      <c r="A399" s="9"/>
      <c r="AN399" s="9"/>
      <c r="AO399" s="9"/>
      <c r="AU399" s="9"/>
      <c r="BA399" s="9"/>
    </row>
    <row r="400" spans="1:53" ht="12" customHeight="1" x14ac:dyDescent="0.15">
      <c r="A400" s="9"/>
      <c r="AN400" s="9"/>
      <c r="AO400" s="9"/>
      <c r="AU400" s="9"/>
      <c r="BA400" s="9"/>
    </row>
    <row r="401" spans="1:53" ht="12" customHeight="1" x14ac:dyDescent="0.15">
      <c r="A401" s="9"/>
      <c r="AN401" s="9"/>
      <c r="AO401" s="9"/>
      <c r="AU401" s="9"/>
      <c r="BA401" s="9"/>
    </row>
    <row r="402" spans="1:53" ht="12" customHeight="1" x14ac:dyDescent="0.15">
      <c r="A402" s="9"/>
      <c r="AN402" s="9"/>
      <c r="AO402" s="9"/>
      <c r="AU402" s="9"/>
      <c r="BA402" s="9"/>
    </row>
    <row r="403" spans="1:53" ht="12" customHeight="1" x14ac:dyDescent="0.15">
      <c r="A403" s="9"/>
      <c r="AN403" s="9"/>
      <c r="AO403" s="9"/>
      <c r="AU403" s="9"/>
      <c r="BA403" s="9"/>
    </row>
    <row r="404" spans="1:53" ht="12" customHeight="1" x14ac:dyDescent="0.15">
      <c r="A404" s="9"/>
      <c r="AN404" s="9"/>
      <c r="AO404" s="9"/>
      <c r="AU404" s="9"/>
      <c r="BA404" s="9"/>
    </row>
    <row r="405" spans="1:53" ht="12" customHeight="1" x14ac:dyDescent="0.15">
      <c r="A405" s="9"/>
      <c r="AN405" s="9"/>
      <c r="AO405" s="9"/>
      <c r="AU405" s="9"/>
      <c r="BA405" s="9"/>
    </row>
    <row r="406" spans="1:53" ht="12" customHeight="1" x14ac:dyDescent="0.15">
      <c r="A406" s="9"/>
      <c r="AN406" s="9"/>
      <c r="AO406" s="9"/>
      <c r="AU406" s="9"/>
      <c r="BA406" s="9"/>
    </row>
    <row r="407" spans="1:53" ht="12" customHeight="1" x14ac:dyDescent="0.15">
      <c r="A407" s="9"/>
      <c r="AN407" s="9"/>
      <c r="AO407" s="9"/>
      <c r="AU407" s="9"/>
      <c r="BA407" s="9"/>
    </row>
    <row r="408" spans="1:53" ht="12" customHeight="1" x14ac:dyDescent="0.15">
      <c r="A408" s="9"/>
      <c r="AN408" s="9"/>
      <c r="AO408" s="9"/>
      <c r="AU408" s="9"/>
      <c r="BA408" s="9"/>
    </row>
    <row r="409" spans="1:53" ht="12" customHeight="1" x14ac:dyDescent="0.15">
      <c r="A409" s="9"/>
      <c r="AN409" s="9"/>
      <c r="AO409" s="9"/>
      <c r="AU409" s="9"/>
      <c r="BA409" s="9"/>
    </row>
    <row r="410" spans="1:53" ht="12" customHeight="1" x14ac:dyDescent="0.15">
      <c r="A410" s="9"/>
      <c r="AN410" s="9"/>
      <c r="AO410" s="9"/>
      <c r="AU410" s="9"/>
      <c r="BA410" s="9"/>
    </row>
    <row r="411" spans="1:53" ht="12" customHeight="1" x14ac:dyDescent="0.15">
      <c r="A411" s="9"/>
      <c r="AN411" s="9"/>
      <c r="AO411" s="9"/>
      <c r="AU411" s="9"/>
      <c r="BA411" s="9"/>
    </row>
    <row r="412" spans="1:53" ht="12" customHeight="1" x14ac:dyDescent="0.15">
      <c r="A412" s="9"/>
      <c r="AN412" s="9"/>
      <c r="AO412" s="9"/>
      <c r="AU412" s="9"/>
      <c r="BA412" s="9"/>
    </row>
    <row r="413" spans="1:53" ht="12" customHeight="1" x14ac:dyDescent="0.15">
      <c r="A413" s="9"/>
      <c r="AN413" s="9"/>
      <c r="AO413" s="9"/>
      <c r="AU413" s="9"/>
      <c r="BA413" s="9"/>
    </row>
    <row r="414" spans="1:53" ht="12" customHeight="1" x14ac:dyDescent="0.15">
      <c r="A414" s="9"/>
      <c r="AN414" s="9"/>
      <c r="AO414" s="9"/>
      <c r="AU414" s="9"/>
      <c r="BA414" s="9"/>
    </row>
    <row r="415" spans="1:53" ht="12" customHeight="1" x14ac:dyDescent="0.15">
      <c r="A415" s="9"/>
      <c r="AN415" s="9"/>
      <c r="AO415" s="9"/>
      <c r="AU415" s="9"/>
      <c r="BA415" s="9"/>
    </row>
    <row r="416" spans="1:53" ht="12" customHeight="1" x14ac:dyDescent="0.15">
      <c r="A416" s="9"/>
      <c r="AN416" s="9"/>
      <c r="AO416" s="9"/>
      <c r="AU416" s="9"/>
      <c r="BA416" s="9"/>
    </row>
    <row r="417" spans="1:53" ht="12" customHeight="1" x14ac:dyDescent="0.15">
      <c r="A417" s="9"/>
      <c r="AN417" s="9"/>
      <c r="AO417" s="9"/>
      <c r="AU417" s="9"/>
      <c r="BA417" s="9"/>
    </row>
    <row r="418" spans="1:53" ht="12" customHeight="1" x14ac:dyDescent="0.15">
      <c r="A418" s="9"/>
      <c r="AN418" s="9"/>
      <c r="AO418" s="9"/>
      <c r="AU418" s="9"/>
      <c r="BA418" s="9"/>
    </row>
    <row r="419" spans="1:53" ht="12" customHeight="1" x14ac:dyDescent="0.15">
      <c r="A419" s="9"/>
      <c r="AN419" s="9"/>
      <c r="AO419" s="9"/>
      <c r="AU419" s="9"/>
      <c r="BA419" s="9"/>
    </row>
    <row r="420" spans="1:53" ht="12" customHeight="1" x14ac:dyDescent="0.15">
      <c r="A420" s="9"/>
      <c r="AN420" s="9"/>
      <c r="AO420" s="9"/>
      <c r="AU420" s="9"/>
      <c r="BA420" s="9"/>
    </row>
    <row r="421" spans="1:53" ht="12" customHeight="1" x14ac:dyDescent="0.15">
      <c r="A421" s="9"/>
      <c r="AN421" s="9"/>
      <c r="AO421" s="9"/>
      <c r="AU421" s="9"/>
      <c r="BA421" s="9"/>
    </row>
    <row r="422" spans="1:53" ht="12" customHeight="1" x14ac:dyDescent="0.15">
      <c r="A422" s="9"/>
      <c r="AN422" s="9"/>
      <c r="AO422" s="9"/>
      <c r="AU422" s="9"/>
      <c r="BA422" s="9"/>
    </row>
    <row r="423" spans="1:53" ht="12" customHeight="1" x14ac:dyDescent="0.15">
      <c r="A423" s="9"/>
      <c r="AN423" s="9"/>
      <c r="AO423" s="9"/>
      <c r="AU423" s="9"/>
      <c r="BA423" s="9"/>
    </row>
    <row r="424" spans="1:53" ht="12" customHeight="1" x14ac:dyDescent="0.15">
      <c r="A424" s="9"/>
      <c r="AN424" s="9"/>
      <c r="AO424" s="9"/>
      <c r="AU424" s="9"/>
      <c r="BA424" s="9"/>
    </row>
    <row r="425" spans="1:53" ht="12" customHeight="1" x14ac:dyDescent="0.15">
      <c r="A425" s="9"/>
      <c r="AN425" s="9"/>
      <c r="AO425" s="9"/>
      <c r="AU425" s="9"/>
      <c r="BA425" s="9"/>
    </row>
    <row r="426" spans="1:53" ht="12" customHeight="1" x14ac:dyDescent="0.15">
      <c r="A426" s="9"/>
      <c r="AN426" s="9"/>
      <c r="AO426" s="9"/>
      <c r="AU426" s="9"/>
      <c r="BA426" s="9"/>
    </row>
    <row r="427" spans="1:53" ht="12" customHeight="1" x14ac:dyDescent="0.15">
      <c r="A427" s="9"/>
      <c r="AN427" s="9"/>
      <c r="AO427" s="9"/>
      <c r="AU427" s="9"/>
      <c r="BA427" s="9"/>
    </row>
    <row r="428" spans="1:53" ht="12" customHeight="1" x14ac:dyDescent="0.15">
      <c r="A428" s="9"/>
      <c r="AN428" s="9"/>
      <c r="AO428" s="9"/>
      <c r="AU428" s="9"/>
      <c r="BA428" s="9"/>
    </row>
    <row r="429" spans="1:53" ht="12" customHeight="1" x14ac:dyDescent="0.15">
      <c r="A429" s="9"/>
      <c r="AN429" s="9"/>
      <c r="AO429" s="9"/>
      <c r="AU429" s="9"/>
      <c r="BA429" s="9"/>
    </row>
    <row r="430" spans="1:53" ht="12" customHeight="1" x14ac:dyDescent="0.15">
      <c r="A430" s="9"/>
      <c r="AN430" s="9"/>
      <c r="AO430" s="9"/>
      <c r="AU430" s="9"/>
      <c r="BA430" s="9"/>
    </row>
    <row r="431" spans="1:53" ht="12" customHeight="1" x14ac:dyDescent="0.15">
      <c r="A431" s="9"/>
      <c r="AN431" s="9"/>
      <c r="AO431" s="9"/>
      <c r="AU431" s="9"/>
      <c r="BA431" s="9"/>
    </row>
    <row r="432" spans="1:53" ht="12" customHeight="1" x14ac:dyDescent="0.15">
      <c r="A432" s="9"/>
      <c r="AN432" s="9"/>
      <c r="AO432" s="9"/>
      <c r="AU432" s="9"/>
      <c r="BA432" s="9"/>
    </row>
    <row r="433" spans="1:53" ht="12" customHeight="1" x14ac:dyDescent="0.15">
      <c r="A433" s="9"/>
      <c r="AN433" s="9"/>
      <c r="AO433" s="9"/>
      <c r="AU433" s="9"/>
      <c r="BA433" s="9"/>
    </row>
    <row r="434" spans="1:53" ht="12" customHeight="1" x14ac:dyDescent="0.15">
      <c r="A434" s="9"/>
      <c r="AN434" s="9"/>
      <c r="AO434" s="9"/>
      <c r="AU434" s="9"/>
      <c r="BA434" s="9"/>
    </row>
    <row r="435" spans="1:53" ht="12" customHeight="1" x14ac:dyDescent="0.15">
      <c r="A435" s="9"/>
      <c r="AN435" s="9"/>
      <c r="AO435" s="9"/>
      <c r="AU435" s="9"/>
      <c r="BA435" s="9"/>
    </row>
    <row r="436" spans="1:53" ht="12" customHeight="1" x14ac:dyDescent="0.15">
      <c r="A436" s="9"/>
      <c r="AN436" s="9"/>
      <c r="AO436" s="9"/>
      <c r="AU436" s="9"/>
      <c r="BA436" s="9"/>
    </row>
    <row r="437" spans="1:53" ht="12" customHeight="1" x14ac:dyDescent="0.15">
      <c r="A437" s="9"/>
      <c r="AN437" s="9"/>
      <c r="AO437" s="9"/>
      <c r="AU437" s="9"/>
      <c r="BA437" s="9"/>
    </row>
    <row r="438" spans="1:53" ht="12" customHeight="1" x14ac:dyDescent="0.15">
      <c r="A438" s="9"/>
      <c r="AN438" s="9"/>
      <c r="AO438" s="9"/>
      <c r="AU438" s="9"/>
      <c r="BA438" s="9"/>
    </row>
    <row r="439" spans="1:53" ht="12" customHeight="1" x14ac:dyDescent="0.15">
      <c r="A439" s="9"/>
      <c r="AN439" s="9"/>
      <c r="AO439" s="9"/>
      <c r="AU439" s="9"/>
      <c r="BA439" s="9"/>
    </row>
    <row r="440" spans="1:53" ht="12" customHeight="1" x14ac:dyDescent="0.15">
      <c r="A440" s="9"/>
      <c r="AN440" s="9"/>
      <c r="AO440" s="9"/>
      <c r="AU440" s="9"/>
      <c r="BA440" s="9"/>
    </row>
    <row r="441" spans="1:53" ht="12" customHeight="1" x14ac:dyDescent="0.15">
      <c r="A441" s="9"/>
      <c r="AN441" s="9"/>
      <c r="AO441" s="9"/>
      <c r="AU441" s="9"/>
      <c r="BA441" s="9"/>
    </row>
    <row r="442" spans="1:53" ht="12.95" customHeight="1" x14ac:dyDescent="0.15">
      <c r="A442" s="9"/>
      <c r="AN442" s="9"/>
      <c r="AO442" s="9"/>
      <c r="AU442" s="9"/>
      <c r="BA442" s="9"/>
    </row>
    <row r="443" spans="1:53" ht="12.95" customHeight="1" x14ac:dyDescent="0.15">
      <c r="A443" s="9"/>
      <c r="AN443" s="9"/>
      <c r="AO443" s="9"/>
      <c r="AU443" s="9"/>
      <c r="BA443" s="9"/>
    </row>
    <row r="444" spans="1:53" ht="12" customHeight="1" x14ac:dyDescent="0.15">
      <c r="A444" s="9"/>
      <c r="AN444" s="9"/>
      <c r="AO444" s="9"/>
      <c r="AU444" s="9"/>
      <c r="BA444" s="9"/>
    </row>
    <row r="445" spans="1:53" ht="12" customHeight="1" x14ac:dyDescent="0.15">
      <c r="A445" s="9"/>
      <c r="AN445" s="9"/>
      <c r="AO445" s="9"/>
      <c r="AU445" s="9"/>
      <c r="BA445" s="9"/>
    </row>
    <row r="446" spans="1:53" ht="12" customHeight="1" x14ac:dyDescent="0.15">
      <c r="A446" s="9"/>
      <c r="AN446" s="9"/>
      <c r="AO446" s="9"/>
      <c r="AU446" s="9"/>
      <c r="BA446" s="9"/>
    </row>
    <row r="447" spans="1:53" ht="12" customHeight="1" x14ac:dyDescent="0.15">
      <c r="A447" s="9"/>
      <c r="AN447" s="9"/>
      <c r="AO447" s="9"/>
      <c r="AU447" s="9"/>
      <c r="BA447" s="9"/>
    </row>
    <row r="448" spans="1:53" ht="12" customHeight="1" x14ac:dyDescent="0.15">
      <c r="A448" s="9"/>
      <c r="AN448" s="9"/>
      <c r="AO448" s="9"/>
      <c r="AU448" s="9"/>
      <c r="BA448" s="9"/>
    </row>
    <row r="449" spans="1:53" ht="12" customHeight="1" x14ac:dyDescent="0.15">
      <c r="A449" s="9"/>
      <c r="AN449" s="9"/>
      <c r="AO449" s="9"/>
      <c r="AU449" s="9"/>
      <c r="BA449" s="9"/>
    </row>
    <row r="450" spans="1:53" ht="12" customHeight="1" x14ac:dyDescent="0.15">
      <c r="A450" s="9"/>
      <c r="AN450" s="9"/>
      <c r="AO450" s="9"/>
      <c r="AU450" s="9"/>
      <c r="BA450" s="9"/>
    </row>
    <row r="451" spans="1:53" ht="12" customHeight="1" x14ac:dyDescent="0.15">
      <c r="A451" s="9"/>
      <c r="AN451" s="9"/>
      <c r="AO451" s="9"/>
      <c r="AU451" s="9"/>
      <c r="BA451" s="9"/>
    </row>
    <row r="452" spans="1:53" ht="12" customHeight="1" x14ac:dyDescent="0.15">
      <c r="A452" s="9"/>
      <c r="AN452" s="9"/>
      <c r="AO452" s="9"/>
      <c r="AU452" s="9"/>
      <c r="BA452" s="9"/>
    </row>
    <row r="453" spans="1:53" ht="12" customHeight="1" x14ac:dyDescent="0.15">
      <c r="A453" s="9"/>
      <c r="AN453" s="9"/>
      <c r="AO453" s="9"/>
      <c r="AU453" s="9"/>
      <c r="BA453" s="9"/>
    </row>
    <row r="454" spans="1:53" ht="12" customHeight="1" x14ac:dyDescent="0.15">
      <c r="A454" s="9"/>
      <c r="AN454" s="9"/>
      <c r="AO454" s="9"/>
      <c r="AU454" s="9"/>
      <c r="BA454" s="9"/>
    </row>
    <row r="455" spans="1:53" ht="12" customHeight="1" x14ac:dyDescent="0.15">
      <c r="A455" s="9"/>
      <c r="AN455" s="9"/>
      <c r="AO455" s="9"/>
      <c r="AU455" s="9"/>
      <c r="BA455" s="9"/>
    </row>
    <row r="456" spans="1:53" ht="12" customHeight="1" x14ac:dyDescent="0.15">
      <c r="A456" s="9"/>
      <c r="AN456" s="9"/>
      <c r="AO456" s="9"/>
      <c r="AU456" s="9"/>
      <c r="BA456" s="9"/>
    </row>
    <row r="457" spans="1:53" ht="12" customHeight="1" x14ac:dyDescent="0.15">
      <c r="A457" s="9"/>
      <c r="AN457" s="9"/>
      <c r="AO457" s="9"/>
      <c r="AU457" s="9"/>
      <c r="BA457" s="9"/>
    </row>
    <row r="458" spans="1:53" ht="12" customHeight="1" x14ac:dyDescent="0.15">
      <c r="A458" s="9"/>
      <c r="AN458" s="9"/>
      <c r="AO458" s="9"/>
      <c r="AU458" s="9"/>
      <c r="BA458" s="9"/>
    </row>
    <row r="459" spans="1:53" ht="12" customHeight="1" x14ac:dyDescent="0.15">
      <c r="A459" s="9"/>
      <c r="AN459" s="9"/>
      <c r="AO459" s="9"/>
      <c r="AU459" s="9"/>
      <c r="BA459" s="9"/>
    </row>
    <row r="460" spans="1:53" ht="12" customHeight="1" x14ac:dyDescent="0.15">
      <c r="A460" s="9"/>
      <c r="AN460" s="9"/>
      <c r="AO460" s="9"/>
      <c r="AU460" s="9"/>
      <c r="BA460" s="9"/>
    </row>
    <row r="461" spans="1:53" ht="12" customHeight="1" x14ac:dyDescent="0.15">
      <c r="A461" s="9"/>
      <c r="AN461" s="9"/>
      <c r="AO461" s="9"/>
      <c r="AU461" s="9"/>
      <c r="BA461" s="9"/>
    </row>
    <row r="462" spans="1:53" ht="12" customHeight="1" x14ac:dyDescent="0.15">
      <c r="A462" s="9"/>
      <c r="AN462" s="9"/>
      <c r="AO462" s="9"/>
      <c r="AU462" s="9"/>
      <c r="BA462" s="9"/>
    </row>
    <row r="463" spans="1:53" ht="12" customHeight="1" x14ac:dyDescent="0.15">
      <c r="A463" s="9"/>
      <c r="AN463" s="9"/>
      <c r="AO463" s="9"/>
      <c r="AU463" s="9"/>
      <c r="BA463" s="9"/>
    </row>
    <row r="464" spans="1:53" ht="12" customHeight="1" x14ac:dyDescent="0.15">
      <c r="A464" s="9"/>
      <c r="AN464" s="9"/>
      <c r="AO464" s="9"/>
      <c r="AU464" s="9"/>
      <c r="BA464" s="9"/>
    </row>
    <row r="465" spans="1:53" ht="12" customHeight="1" x14ac:dyDescent="0.15">
      <c r="A465" s="9"/>
      <c r="AN465" s="9"/>
      <c r="AO465" s="9"/>
      <c r="AU465" s="9"/>
      <c r="BA465" s="9"/>
    </row>
    <row r="466" spans="1:53" ht="12" customHeight="1" x14ac:dyDescent="0.15">
      <c r="A466" s="9"/>
      <c r="AN466" s="9"/>
      <c r="AO466" s="9"/>
      <c r="AU466" s="9"/>
      <c r="BA466" s="9"/>
    </row>
    <row r="467" spans="1:53" ht="12" customHeight="1" x14ac:dyDescent="0.15">
      <c r="A467" s="9"/>
      <c r="AN467" s="9"/>
      <c r="AO467" s="9"/>
      <c r="AU467" s="9"/>
      <c r="BA467" s="9"/>
    </row>
    <row r="468" spans="1:53" ht="12" customHeight="1" x14ac:dyDescent="0.15">
      <c r="A468" s="9"/>
      <c r="AN468" s="9"/>
      <c r="AO468" s="9"/>
      <c r="AU468" s="9"/>
      <c r="BA468" s="9"/>
    </row>
    <row r="469" spans="1:53" ht="12" customHeight="1" x14ac:dyDescent="0.15">
      <c r="A469" s="9"/>
      <c r="AN469" s="9"/>
      <c r="AO469" s="9"/>
      <c r="AU469" s="9"/>
      <c r="BA469" s="9"/>
    </row>
    <row r="470" spans="1:53" ht="12" customHeight="1" x14ac:dyDescent="0.15">
      <c r="A470" s="9"/>
      <c r="AN470" s="9"/>
      <c r="AO470" s="9"/>
      <c r="AU470" s="9"/>
      <c r="BA470" s="9"/>
    </row>
    <row r="471" spans="1:53" ht="12" customHeight="1" x14ac:dyDescent="0.15">
      <c r="A471" s="9"/>
      <c r="AN471" s="9"/>
      <c r="AO471" s="9"/>
      <c r="AU471" s="9"/>
      <c r="BA471" s="9"/>
    </row>
    <row r="472" spans="1:53" ht="12" customHeight="1" x14ac:dyDescent="0.15">
      <c r="A472" s="9"/>
      <c r="AN472" s="9"/>
      <c r="AO472" s="9"/>
      <c r="AU472" s="9"/>
      <c r="BA472" s="9"/>
    </row>
    <row r="473" spans="1:53" ht="12" customHeight="1" x14ac:dyDescent="0.15">
      <c r="A473" s="9"/>
      <c r="AN473" s="9"/>
      <c r="AO473" s="9"/>
      <c r="AU473" s="9"/>
      <c r="BA473" s="9"/>
    </row>
    <row r="474" spans="1:53" ht="12" customHeight="1" x14ac:dyDescent="0.15">
      <c r="A474" s="9"/>
      <c r="AN474" s="9"/>
      <c r="AO474" s="9"/>
      <c r="AU474" s="9"/>
      <c r="BA474" s="9"/>
    </row>
    <row r="475" spans="1:53" ht="12" customHeight="1" x14ac:dyDescent="0.15">
      <c r="A475" s="9"/>
      <c r="AN475" s="9"/>
      <c r="AO475" s="9"/>
      <c r="AU475" s="9"/>
      <c r="BA475" s="9"/>
    </row>
    <row r="476" spans="1:53" ht="12" customHeight="1" x14ac:dyDescent="0.15">
      <c r="A476" s="9"/>
      <c r="AN476" s="9"/>
      <c r="AO476" s="9"/>
      <c r="AU476" s="9"/>
      <c r="BA476" s="9"/>
    </row>
    <row r="477" spans="1:53" ht="12" customHeight="1" x14ac:dyDescent="0.15">
      <c r="A477" s="9"/>
      <c r="AN477" s="9"/>
      <c r="AO477" s="9"/>
      <c r="AU477" s="9"/>
      <c r="BA477" s="9"/>
    </row>
    <row r="478" spans="1:53" ht="12" customHeight="1" x14ac:dyDescent="0.15">
      <c r="A478" s="9"/>
      <c r="AN478" s="9"/>
      <c r="AO478" s="9"/>
      <c r="AU478" s="9"/>
      <c r="BA478" s="9"/>
    </row>
    <row r="479" spans="1:53" ht="12" customHeight="1" x14ac:dyDescent="0.15">
      <c r="A479" s="9"/>
      <c r="AN479" s="9"/>
      <c r="AO479" s="9"/>
      <c r="AU479" s="9"/>
      <c r="BA479" s="9"/>
    </row>
    <row r="480" spans="1:53" ht="12" customHeight="1" x14ac:dyDescent="0.15">
      <c r="A480" s="9"/>
      <c r="AN480" s="9"/>
      <c r="AO480" s="9"/>
      <c r="AU480" s="9"/>
      <c r="BA480" s="9"/>
    </row>
    <row r="481" spans="1:53" ht="12" customHeight="1" x14ac:dyDescent="0.15">
      <c r="A481" s="9"/>
      <c r="AN481" s="9"/>
      <c r="AO481" s="9"/>
      <c r="AU481" s="9"/>
      <c r="BA481" s="9"/>
    </row>
    <row r="482" spans="1:53" ht="12" customHeight="1" x14ac:dyDescent="0.15">
      <c r="A482" s="9"/>
      <c r="AN482" s="9"/>
      <c r="AO482" s="9"/>
      <c r="AU482" s="9"/>
      <c r="BA482" s="9"/>
    </row>
    <row r="483" spans="1:53" ht="12" customHeight="1" x14ac:dyDescent="0.15">
      <c r="A483" s="9"/>
      <c r="AN483" s="9"/>
      <c r="AO483" s="9"/>
      <c r="AU483" s="9"/>
      <c r="BA483" s="9"/>
    </row>
    <row r="484" spans="1:53" ht="12" customHeight="1" x14ac:dyDescent="0.15">
      <c r="A484" s="9"/>
      <c r="AN484" s="9"/>
      <c r="AO484" s="9"/>
      <c r="AU484" s="9"/>
      <c r="BA484" s="9"/>
    </row>
    <row r="485" spans="1:53" ht="12" customHeight="1" x14ac:dyDescent="0.15">
      <c r="A485" s="9"/>
      <c r="AN485" s="9"/>
      <c r="AO485" s="9"/>
      <c r="AU485" s="9"/>
      <c r="BA485" s="9"/>
    </row>
    <row r="486" spans="1:53" ht="12" customHeight="1" x14ac:dyDescent="0.15">
      <c r="A486" s="9"/>
      <c r="AN486" s="9"/>
      <c r="AO486" s="9"/>
      <c r="AU486" s="9"/>
      <c r="BA486" s="9"/>
    </row>
    <row r="487" spans="1:53" ht="12" customHeight="1" x14ac:dyDescent="0.15">
      <c r="A487" s="9"/>
      <c r="AN487" s="9"/>
      <c r="AO487" s="9"/>
      <c r="AU487" s="9"/>
      <c r="BA487" s="9"/>
    </row>
    <row r="488" spans="1:53" ht="12" customHeight="1" x14ac:dyDescent="0.15">
      <c r="A488" s="9"/>
      <c r="AN488" s="9"/>
      <c r="AO488" s="9"/>
      <c r="AU488" s="9"/>
      <c r="BA488" s="9"/>
    </row>
    <row r="489" spans="1:53" ht="12" customHeight="1" x14ac:dyDescent="0.15">
      <c r="A489" s="9"/>
      <c r="AN489" s="9"/>
      <c r="AO489" s="9"/>
      <c r="AU489" s="9"/>
      <c r="BA489" s="9"/>
    </row>
    <row r="490" spans="1:53" ht="12" customHeight="1" x14ac:dyDescent="0.15">
      <c r="A490" s="9"/>
      <c r="AN490" s="9"/>
      <c r="AO490" s="9"/>
      <c r="AU490" s="9"/>
      <c r="BA490" s="9"/>
    </row>
    <row r="491" spans="1:53" ht="12" customHeight="1" x14ac:dyDescent="0.15">
      <c r="A491" s="9"/>
      <c r="AN491" s="9"/>
      <c r="AO491" s="9"/>
      <c r="AU491" s="9"/>
      <c r="BA491" s="9"/>
    </row>
    <row r="492" spans="1:53" ht="12" customHeight="1" x14ac:dyDescent="0.15">
      <c r="A492" s="9"/>
      <c r="AN492" s="9"/>
      <c r="AO492" s="9"/>
      <c r="AU492" s="9"/>
      <c r="BA492" s="9"/>
    </row>
    <row r="493" spans="1:53" ht="12" customHeight="1" x14ac:dyDescent="0.15">
      <c r="A493" s="9"/>
      <c r="AN493" s="9"/>
      <c r="AO493" s="9"/>
      <c r="AU493" s="9"/>
      <c r="BA493" s="9"/>
    </row>
    <row r="494" spans="1:53" ht="12" customHeight="1" x14ac:dyDescent="0.15">
      <c r="A494" s="9"/>
      <c r="AN494" s="9"/>
      <c r="AO494" s="9"/>
      <c r="AU494" s="9"/>
      <c r="BA494" s="9"/>
    </row>
    <row r="495" spans="1:53" ht="12" customHeight="1" x14ac:dyDescent="0.15">
      <c r="A495" s="9"/>
      <c r="AN495" s="9"/>
      <c r="AO495" s="9"/>
      <c r="AU495" s="9"/>
      <c r="BA495" s="9"/>
    </row>
    <row r="496" spans="1:53" ht="12" customHeight="1" x14ac:dyDescent="0.15">
      <c r="A496" s="9"/>
      <c r="AN496" s="9"/>
      <c r="AO496" s="9"/>
      <c r="AU496" s="9"/>
      <c r="BA496" s="9"/>
    </row>
    <row r="497" spans="1:53" ht="12" customHeight="1" x14ac:dyDescent="0.15">
      <c r="A497" s="9"/>
      <c r="AN497" s="9"/>
      <c r="AO497" s="9"/>
      <c r="AU497" s="9"/>
      <c r="BA497" s="9"/>
    </row>
    <row r="498" spans="1:53" ht="12" customHeight="1" x14ac:dyDescent="0.15">
      <c r="A498" s="9"/>
      <c r="AN498" s="9"/>
      <c r="AO498" s="9"/>
      <c r="AU498" s="9"/>
      <c r="BA498" s="9"/>
    </row>
    <row r="499" spans="1:53" ht="12" customHeight="1" x14ac:dyDescent="0.15">
      <c r="A499" s="9"/>
      <c r="AN499" s="9"/>
      <c r="AO499" s="9"/>
      <c r="AU499" s="9"/>
      <c r="BA499" s="9"/>
    </row>
    <row r="500" spans="1:53" ht="12" customHeight="1" x14ac:dyDescent="0.15">
      <c r="A500" s="9"/>
      <c r="AN500" s="9"/>
      <c r="AO500" s="9"/>
      <c r="AU500" s="9"/>
      <c r="BA500" s="9"/>
    </row>
    <row r="501" spans="1:53" ht="12" customHeight="1" x14ac:dyDescent="0.15">
      <c r="A501" s="9"/>
      <c r="AN501" s="9"/>
      <c r="AO501" s="9"/>
      <c r="AU501" s="9"/>
      <c r="BA501" s="9"/>
    </row>
    <row r="502" spans="1:53" ht="12" customHeight="1" x14ac:dyDescent="0.15">
      <c r="A502" s="9"/>
      <c r="AN502" s="9"/>
      <c r="AO502" s="9"/>
      <c r="AU502" s="9"/>
      <c r="BA502" s="9"/>
    </row>
    <row r="503" spans="1:53" ht="12" customHeight="1" x14ac:dyDescent="0.15">
      <c r="A503" s="9"/>
      <c r="AN503" s="9"/>
      <c r="AO503" s="9"/>
      <c r="AU503" s="9"/>
      <c r="BA503" s="9"/>
    </row>
    <row r="504" spans="1:53" ht="12" customHeight="1" x14ac:dyDescent="0.15">
      <c r="A504" s="9"/>
      <c r="AN504" s="9"/>
      <c r="AO504" s="9"/>
      <c r="AU504" s="9"/>
      <c r="BA504" s="9"/>
    </row>
    <row r="505" spans="1:53" ht="12" customHeight="1" x14ac:dyDescent="0.15">
      <c r="A505" s="9"/>
      <c r="AN505" s="9"/>
      <c r="AO505" s="9"/>
      <c r="AU505" s="9"/>
      <c r="BA505" s="9"/>
    </row>
    <row r="506" spans="1:53" ht="12" customHeight="1" x14ac:dyDescent="0.15">
      <c r="A506" s="9"/>
      <c r="AN506" s="9"/>
      <c r="AO506" s="9"/>
      <c r="AU506" s="9"/>
      <c r="BA506" s="9"/>
    </row>
    <row r="507" spans="1:53" ht="12" customHeight="1" x14ac:dyDescent="0.15">
      <c r="A507" s="9"/>
      <c r="AN507" s="9"/>
      <c r="AO507" s="9"/>
      <c r="AU507" s="9"/>
      <c r="BA507" s="9"/>
    </row>
    <row r="508" spans="1:53" ht="12" customHeight="1" x14ac:dyDescent="0.15">
      <c r="A508" s="9"/>
      <c r="AN508" s="9"/>
      <c r="AO508" s="9"/>
      <c r="AU508" s="9"/>
      <c r="BA508" s="9"/>
    </row>
    <row r="509" spans="1:53" ht="12" customHeight="1" x14ac:dyDescent="0.15">
      <c r="A509" s="9"/>
      <c r="AN509" s="9"/>
      <c r="AO509" s="9"/>
      <c r="AU509" s="9"/>
      <c r="BA509" s="9"/>
    </row>
    <row r="510" spans="1:53" ht="12" customHeight="1" x14ac:dyDescent="0.15">
      <c r="A510" s="9"/>
      <c r="AN510" s="9"/>
      <c r="AO510" s="9"/>
      <c r="AU510" s="9"/>
      <c r="BA510" s="9"/>
    </row>
    <row r="511" spans="1:53" ht="12" customHeight="1" x14ac:dyDescent="0.15">
      <c r="A511" s="9"/>
      <c r="AN511" s="9"/>
      <c r="AO511" s="9"/>
      <c r="AU511" s="9"/>
      <c r="BA511" s="9"/>
    </row>
    <row r="512" spans="1:53" ht="12" customHeight="1" x14ac:dyDescent="0.15">
      <c r="A512" s="9"/>
      <c r="AN512" s="9"/>
      <c r="AO512" s="9"/>
      <c r="AU512" s="9"/>
      <c r="BA512" s="9"/>
    </row>
    <row r="513" spans="1:53" ht="12" customHeight="1" x14ac:dyDescent="0.15">
      <c r="A513" s="9"/>
      <c r="AN513" s="9"/>
      <c r="AO513" s="9"/>
      <c r="AU513" s="9"/>
      <c r="BA513" s="9"/>
    </row>
    <row r="514" spans="1:53" ht="12" customHeight="1" x14ac:dyDescent="0.15">
      <c r="A514" s="9"/>
      <c r="AN514" s="9"/>
      <c r="AO514" s="9"/>
      <c r="AU514" s="9"/>
      <c r="BA514" s="9"/>
    </row>
    <row r="515" spans="1:53" ht="12" customHeight="1" x14ac:dyDescent="0.15">
      <c r="A515" s="9"/>
      <c r="AN515" s="9"/>
      <c r="AO515" s="9"/>
      <c r="AU515" s="9"/>
      <c r="BA515" s="9"/>
    </row>
    <row r="516" spans="1:53" ht="12" customHeight="1" x14ac:dyDescent="0.15">
      <c r="A516" s="9"/>
      <c r="AN516" s="9"/>
      <c r="AO516" s="9"/>
      <c r="AU516" s="9"/>
      <c r="BA516" s="9"/>
    </row>
    <row r="517" spans="1:53" ht="12" customHeight="1" x14ac:dyDescent="0.15">
      <c r="A517" s="9"/>
      <c r="AN517" s="9"/>
      <c r="AO517" s="9"/>
      <c r="AU517" s="9"/>
      <c r="BA517" s="9"/>
    </row>
    <row r="518" spans="1:53" ht="12" customHeight="1" x14ac:dyDescent="0.15">
      <c r="A518" s="9"/>
      <c r="AN518" s="9"/>
      <c r="AO518" s="9"/>
      <c r="AU518" s="9"/>
      <c r="BA518" s="9"/>
    </row>
    <row r="519" spans="1:53" ht="12" customHeight="1" x14ac:dyDescent="0.15">
      <c r="A519" s="9"/>
      <c r="AN519" s="9"/>
      <c r="AO519" s="9"/>
      <c r="AU519" s="9"/>
      <c r="BA519" s="9"/>
    </row>
    <row r="520" spans="1:53" ht="12" customHeight="1" x14ac:dyDescent="0.15">
      <c r="A520" s="9"/>
      <c r="AN520" s="9"/>
      <c r="AO520" s="9"/>
      <c r="AU520" s="9"/>
      <c r="BA520" s="9"/>
    </row>
    <row r="521" spans="1:53" ht="12" customHeight="1" x14ac:dyDescent="0.15">
      <c r="A521" s="9"/>
      <c r="AN521" s="9"/>
      <c r="AO521" s="9"/>
      <c r="AU521" s="9"/>
      <c r="BA521" s="9"/>
    </row>
    <row r="522" spans="1:53" ht="12" customHeight="1" x14ac:dyDescent="0.15">
      <c r="A522" s="9"/>
      <c r="AN522" s="9"/>
      <c r="AO522" s="9"/>
      <c r="AU522" s="9"/>
      <c r="BA522" s="9"/>
    </row>
    <row r="523" spans="1:53" ht="12" customHeight="1" x14ac:dyDescent="0.15">
      <c r="A523" s="9"/>
      <c r="AN523" s="9"/>
      <c r="AO523" s="9"/>
      <c r="AU523" s="9"/>
      <c r="BA523" s="9"/>
    </row>
    <row r="524" spans="1:53" ht="12" customHeight="1" x14ac:dyDescent="0.15">
      <c r="A524" s="9"/>
      <c r="AN524" s="9"/>
      <c r="AO524" s="9"/>
      <c r="AU524" s="9"/>
      <c r="BA524" s="9"/>
    </row>
    <row r="525" spans="1:53" ht="12" customHeight="1" x14ac:dyDescent="0.15">
      <c r="A525" s="9"/>
      <c r="AN525" s="9"/>
      <c r="AO525" s="9"/>
      <c r="AU525" s="9"/>
      <c r="BA525" s="9"/>
    </row>
    <row r="526" spans="1:53" ht="12" customHeight="1" x14ac:dyDescent="0.15">
      <c r="A526" s="9"/>
      <c r="AN526" s="9"/>
      <c r="AO526" s="9"/>
      <c r="AU526" s="9"/>
      <c r="BA526" s="9"/>
    </row>
    <row r="527" spans="1:53" ht="12" customHeight="1" x14ac:dyDescent="0.15">
      <c r="A527" s="9"/>
      <c r="AN527" s="9"/>
      <c r="AO527" s="9"/>
      <c r="AU527" s="9"/>
      <c r="BA527" s="9"/>
    </row>
    <row r="528" spans="1:53" ht="12" customHeight="1" x14ac:dyDescent="0.15">
      <c r="A528" s="9"/>
      <c r="AN528" s="9"/>
      <c r="AO528" s="9"/>
      <c r="AU528" s="9"/>
      <c r="BA528" s="9"/>
    </row>
    <row r="529" spans="1:53" ht="12" customHeight="1" x14ac:dyDescent="0.15">
      <c r="A529" s="9"/>
      <c r="AN529" s="9"/>
      <c r="AO529" s="9"/>
      <c r="AU529" s="9"/>
      <c r="BA529" s="9"/>
    </row>
    <row r="530" spans="1:53" ht="12" customHeight="1" x14ac:dyDescent="0.15">
      <c r="A530" s="9"/>
      <c r="AN530" s="9"/>
      <c r="AO530" s="9"/>
      <c r="AU530" s="9"/>
      <c r="BA530" s="9"/>
    </row>
    <row r="531" spans="1:53" ht="12" customHeight="1" x14ac:dyDescent="0.15">
      <c r="A531" s="9"/>
      <c r="AN531" s="9"/>
      <c r="AO531" s="9"/>
      <c r="AU531" s="9"/>
      <c r="BA531" s="9"/>
    </row>
    <row r="532" spans="1:53" ht="12" customHeight="1" x14ac:dyDescent="0.15">
      <c r="A532" s="9"/>
      <c r="AN532" s="9"/>
      <c r="AO532" s="9"/>
      <c r="AU532" s="9"/>
      <c r="BA532" s="9"/>
    </row>
    <row r="533" spans="1:53" ht="12" customHeight="1" x14ac:dyDescent="0.15">
      <c r="A533" s="9"/>
      <c r="AN533" s="9"/>
      <c r="AO533" s="9"/>
      <c r="AU533" s="9"/>
      <c r="BA533" s="9"/>
    </row>
    <row r="534" spans="1:53" ht="12" customHeight="1" x14ac:dyDescent="0.15">
      <c r="A534" s="9"/>
      <c r="AN534" s="9"/>
      <c r="AO534" s="9"/>
      <c r="AU534" s="9"/>
      <c r="BA534" s="9"/>
    </row>
    <row r="535" spans="1:53" ht="12" customHeight="1" x14ac:dyDescent="0.15">
      <c r="A535" s="9"/>
      <c r="AN535" s="9"/>
      <c r="AO535" s="9"/>
      <c r="AU535" s="9"/>
      <c r="BA535" s="9"/>
    </row>
    <row r="536" spans="1:53" ht="12" customHeight="1" x14ac:dyDescent="0.15">
      <c r="A536" s="9"/>
      <c r="AN536" s="9"/>
      <c r="AO536" s="9"/>
      <c r="AU536" s="9"/>
      <c r="BA536" s="9"/>
    </row>
    <row r="537" spans="1:53" ht="12" customHeight="1" x14ac:dyDescent="0.15">
      <c r="A537" s="9"/>
      <c r="AN537" s="9"/>
      <c r="AO537" s="9"/>
      <c r="AU537" s="9"/>
      <c r="BA537" s="9"/>
    </row>
    <row r="538" spans="1:53" ht="12" customHeight="1" x14ac:dyDescent="0.15">
      <c r="A538" s="9"/>
      <c r="AN538" s="9"/>
      <c r="AO538" s="9"/>
      <c r="AU538" s="9"/>
      <c r="BA538" s="9"/>
    </row>
    <row r="539" spans="1:53" ht="12" customHeight="1" x14ac:dyDescent="0.15">
      <c r="A539" s="9"/>
      <c r="AN539" s="9"/>
      <c r="AO539" s="9"/>
      <c r="AU539" s="9"/>
      <c r="BA539" s="9"/>
    </row>
    <row r="540" spans="1:53" ht="12" customHeight="1" x14ac:dyDescent="0.15">
      <c r="A540" s="9"/>
      <c r="AN540" s="9"/>
      <c r="AO540" s="9"/>
      <c r="AU540" s="9"/>
      <c r="BA540" s="9"/>
    </row>
    <row r="541" spans="1:53" ht="12" customHeight="1" x14ac:dyDescent="0.15">
      <c r="A541" s="9"/>
      <c r="AN541" s="9"/>
      <c r="AO541" s="9"/>
      <c r="AU541" s="9"/>
      <c r="BA541" s="9"/>
    </row>
    <row r="542" spans="1:53" ht="12" customHeight="1" x14ac:dyDescent="0.15">
      <c r="A542" s="9"/>
      <c r="AN542" s="9"/>
      <c r="AO542" s="9"/>
      <c r="AU542" s="9"/>
      <c r="BA542" s="9"/>
    </row>
    <row r="543" spans="1:53" ht="12" customHeight="1" x14ac:dyDescent="0.15">
      <c r="A543" s="9"/>
      <c r="AN543" s="9"/>
      <c r="AO543" s="9"/>
      <c r="AU543" s="9"/>
      <c r="BA543" s="9"/>
    </row>
    <row r="544" spans="1:53" ht="12" customHeight="1" x14ac:dyDescent="0.15">
      <c r="A544" s="9"/>
      <c r="AN544" s="9"/>
      <c r="AO544" s="9"/>
      <c r="AU544" s="9"/>
      <c r="BA544" s="9"/>
    </row>
    <row r="545" spans="1:53" ht="12" customHeight="1" x14ac:dyDescent="0.15">
      <c r="A545" s="9"/>
      <c r="AN545" s="9"/>
      <c r="AO545" s="9"/>
      <c r="AU545" s="9"/>
      <c r="BA545" s="9"/>
    </row>
    <row r="546" spans="1:53" ht="12" customHeight="1" x14ac:dyDescent="0.15">
      <c r="A546" s="9"/>
      <c r="AN546" s="9"/>
      <c r="AO546" s="9"/>
      <c r="AU546" s="9"/>
      <c r="BA546" s="9"/>
    </row>
    <row r="547" spans="1:53" ht="12" customHeight="1" x14ac:dyDescent="0.15">
      <c r="A547" s="9"/>
      <c r="AN547" s="9"/>
      <c r="AO547" s="9"/>
      <c r="AU547" s="9"/>
      <c r="BA547" s="9"/>
    </row>
    <row r="548" spans="1:53" ht="12" customHeight="1" x14ac:dyDescent="0.15">
      <c r="A548" s="9"/>
      <c r="AN548" s="9"/>
      <c r="AO548" s="9"/>
      <c r="AU548" s="9"/>
      <c r="BA548" s="9"/>
    </row>
    <row r="549" spans="1:53" ht="12" customHeight="1" x14ac:dyDescent="0.15">
      <c r="A549" s="9"/>
      <c r="AN549" s="9"/>
      <c r="AO549" s="9"/>
      <c r="AU549" s="9"/>
      <c r="BA549" s="9"/>
    </row>
    <row r="550" spans="1:53" ht="12" customHeight="1" x14ac:dyDescent="0.15">
      <c r="A550" s="9"/>
      <c r="AN550" s="9"/>
      <c r="AO550" s="9"/>
      <c r="AU550" s="9"/>
      <c r="BA550" s="9"/>
    </row>
    <row r="551" spans="1:53" ht="12" customHeight="1" x14ac:dyDescent="0.15">
      <c r="A551" s="9"/>
      <c r="AN551" s="9"/>
      <c r="AO551" s="9"/>
      <c r="AU551" s="9"/>
      <c r="BA551" s="9"/>
    </row>
    <row r="552" spans="1:53" ht="12" customHeight="1" x14ac:dyDescent="0.15">
      <c r="A552" s="9"/>
      <c r="AN552" s="9"/>
      <c r="AO552" s="9"/>
      <c r="AU552" s="9"/>
      <c r="BA552" s="9"/>
    </row>
    <row r="553" spans="1:53" ht="12" customHeight="1" x14ac:dyDescent="0.15">
      <c r="A553" s="9"/>
      <c r="AN553" s="9"/>
      <c r="AO553" s="9"/>
      <c r="AU553" s="9"/>
      <c r="BA553" s="9"/>
    </row>
    <row r="554" spans="1:53" ht="12" customHeight="1" x14ac:dyDescent="0.15">
      <c r="A554" s="9"/>
      <c r="AN554" s="9"/>
      <c r="AO554" s="9"/>
      <c r="AU554" s="9"/>
      <c r="BA554" s="9"/>
    </row>
    <row r="555" spans="1:53" ht="12" customHeight="1" x14ac:dyDescent="0.15">
      <c r="A555" s="9"/>
      <c r="AN555" s="9"/>
      <c r="AO555" s="9"/>
      <c r="AU555" s="9"/>
      <c r="BA555" s="9"/>
    </row>
    <row r="556" spans="1:53" ht="12" customHeight="1" x14ac:dyDescent="0.15">
      <c r="A556" s="9"/>
      <c r="AN556" s="9"/>
      <c r="AO556" s="9"/>
      <c r="AU556" s="9"/>
      <c r="BA556" s="9"/>
    </row>
    <row r="557" spans="1:53" ht="12" customHeight="1" x14ac:dyDescent="0.15">
      <c r="A557" s="9"/>
      <c r="AN557" s="9"/>
      <c r="AO557" s="9"/>
      <c r="AU557" s="9"/>
      <c r="BA557" s="9"/>
    </row>
    <row r="558" spans="1:53" ht="12" customHeight="1" x14ac:dyDescent="0.15">
      <c r="A558" s="9"/>
      <c r="AN558" s="9"/>
      <c r="AO558" s="9"/>
      <c r="AU558" s="9"/>
      <c r="BA558" s="9"/>
    </row>
    <row r="559" spans="1:53" ht="12" customHeight="1" x14ac:dyDescent="0.15">
      <c r="A559" s="9"/>
      <c r="AN559" s="9"/>
      <c r="AO559" s="9"/>
      <c r="AU559" s="9"/>
      <c r="BA559" s="9"/>
    </row>
    <row r="560" spans="1:53" ht="12" customHeight="1" x14ac:dyDescent="0.15">
      <c r="A560" s="9"/>
      <c r="AN560" s="9"/>
      <c r="AO560" s="9"/>
      <c r="AU560" s="9"/>
      <c r="BA560" s="9"/>
    </row>
    <row r="561" spans="1:53" ht="12" customHeight="1" x14ac:dyDescent="0.15">
      <c r="A561" s="9"/>
      <c r="AN561" s="9"/>
      <c r="AO561" s="9"/>
      <c r="AU561" s="9"/>
      <c r="BA561" s="9"/>
    </row>
    <row r="562" spans="1:53" ht="12" customHeight="1" x14ac:dyDescent="0.15">
      <c r="A562" s="9"/>
      <c r="AN562" s="9"/>
      <c r="AO562" s="9"/>
      <c r="AU562" s="9"/>
      <c r="BA562" s="9"/>
    </row>
    <row r="563" spans="1:53" ht="12" customHeight="1" x14ac:dyDescent="0.15">
      <c r="A563" s="9"/>
      <c r="AN563" s="9"/>
      <c r="AO563" s="9"/>
      <c r="AU563" s="9"/>
      <c r="BA563" s="9"/>
    </row>
    <row r="564" spans="1:53" ht="12" customHeight="1" x14ac:dyDescent="0.15">
      <c r="A564" s="9"/>
      <c r="AN564" s="9"/>
      <c r="AO564" s="9"/>
      <c r="AU564" s="9"/>
      <c r="BA564" s="9"/>
    </row>
    <row r="565" spans="1:53" ht="12" customHeight="1" x14ac:dyDescent="0.15">
      <c r="A565" s="9"/>
      <c r="AN565" s="9"/>
      <c r="AO565" s="9"/>
      <c r="AU565" s="9"/>
      <c r="BA565" s="9"/>
    </row>
    <row r="566" spans="1:53" ht="12" customHeight="1" x14ac:dyDescent="0.15">
      <c r="A566" s="9"/>
      <c r="AN566" s="9"/>
      <c r="AO566" s="9"/>
      <c r="AU566" s="9"/>
      <c r="BA566" s="9"/>
    </row>
    <row r="567" spans="1:53" ht="12" customHeight="1" x14ac:dyDescent="0.15">
      <c r="A567" s="9"/>
      <c r="AN567" s="9"/>
      <c r="AO567" s="9"/>
      <c r="AU567" s="9"/>
      <c r="BA567" s="9"/>
    </row>
    <row r="568" spans="1:53" ht="12" customHeight="1" x14ac:dyDescent="0.15">
      <c r="A568" s="9"/>
      <c r="AN568" s="9"/>
      <c r="AO568" s="9"/>
      <c r="AU568" s="9"/>
      <c r="BA568" s="9"/>
    </row>
    <row r="569" spans="1:53" ht="12" customHeight="1" x14ac:dyDescent="0.15">
      <c r="A569" s="9"/>
      <c r="AN569" s="9"/>
      <c r="AO569" s="9"/>
      <c r="AU569" s="9"/>
      <c r="BA569" s="9"/>
    </row>
    <row r="570" spans="1:53" ht="12" customHeight="1" x14ac:dyDescent="0.15">
      <c r="A570" s="9"/>
      <c r="AN570" s="9"/>
      <c r="AO570" s="9"/>
      <c r="AU570" s="9"/>
      <c r="BA570" s="9"/>
    </row>
    <row r="571" spans="1:53" ht="12" customHeight="1" x14ac:dyDescent="0.15">
      <c r="A571" s="9"/>
      <c r="AN571" s="9"/>
      <c r="AO571" s="9"/>
      <c r="AU571" s="9"/>
      <c r="BA571" s="9"/>
    </row>
    <row r="572" spans="1:53" ht="12" customHeight="1" x14ac:dyDescent="0.15">
      <c r="A572" s="9"/>
      <c r="AN572" s="9"/>
      <c r="AO572" s="9"/>
      <c r="AU572" s="9"/>
      <c r="BA572" s="9"/>
    </row>
    <row r="573" spans="1:53" ht="12" customHeight="1" x14ac:dyDescent="0.15">
      <c r="A573" s="9"/>
      <c r="AN573" s="9"/>
      <c r="AO573" s="9"/>
      <c r="AU573" s="9"/>
      <c r="BA573" s="9"/>
    </row>
    <row r="574" spans="1:53" ht="12" customHeight="1" x14ac:dyDescent="0.15">
      <c r="A574" s="9"/>
      <c r="AN574" s="9"/>
      <c r="AO574" s="9"/>
      <c r="AU574" s="9"/>
      <c r="BA574" s="9"/>
    </row>
    <row r="575" spans="1:53" ht="12" customHeight="1" x14ac:dyDescent="0.15">
      <c r="A575" s="9"/>
      <c r="AN575" s="9"/>
      <c r="AO575" s="9"/>
      <c r="AU575" s="9"/>
      <c r="BA575" s="9"/>
    </row>
    <row r="576" spans="1:53" ht="12" customHeight="1" x14ac:dyDescent="0.15">
      <c r="A576" s="9"/>
      <c r="AN576" s="9"/>
      <c r="AO576" s="9"/>
      <c r="AU576" s="9"/>
      <c r="BA576" s="9"/>
    </row>
    <row r="577" spans="1:53" ht="12" customHeight="1" x14ac:dyDescent="0.15">
      <c r="A577" s="9"/>
      <c r="AN577" s="9"/>
      <c r="AO577" s="9"/>
      <c r="AU577" s="9"/>
      <c r="BA577" s="9"/>
    </row>
    <row r="578" spans="1:53" ht="12" customHeight="1" x14ac:dyDescent="0.15">
      <c r="A578" s="9"/>
      <c r="AN578" s="9"/>
      <c r="AO578" s="9"/>
      <c r="AU578" s="9"/>
      <c r="BA578" s="9"/>
    </row>
    <row r="579" spans="1:53" ht="12" customHeight="1" x14ac:dyDescent="0.15">
      <c r="A579" s="9"/>
      <c r="AN579" s="9"/>
      <c r="AO579" s="9"/>
      <c r="AU579" s="9"/>
      <c r="BA579" s="9"/>
    </row>
    <row r="580" spans="1:53" ht="12" customHeight="1" x14ac:dyDescent="0.15">
      <c r="A580" s="9"/>
      <c r="AN580" s="9"/>
      <c r="AO580" s="9"/>
      <c r="AU580" s="9"/>
      <c r="BA580" s="9"/>
    </row>
    <row r="581" spans="1:53" ht="12" customHeight="1" x14ac:dyDescent="0.15">
      <c r="A581" s="9"/>
      <c r="AN581" s="9"/>
      <c r="AO581" s="9"/>
      <c r="AU581" s="9"/>
      <c r="BA581" s="9"/>
    </row>
    <row r="582" spans="1:53" ht="12" customHeight="1" x14ac:dyDescent="0.15">
      <c r="A582" s="9"/>
      <c r="AN582" s="9"/>
      <c r="AO582" s="9"/>
      <c r="AU582" s="9"/>
      <c r="BA582" s="9"/>
    </row>
    <row r="583" spans="1:53" ht="12" customHeight="1" x14ac:dyDescent="0.15">
      <c r="A583" s="9"/>
      <c r="AN583" s="9"/>
      <c r="AO583" s="9"/>
      <c r="AU583" s="9"/>
      <c r="BA583" s="9"/>
    </row>
    <row r="584" spans="1:53" ht="12" customHeight="1" x14ac:dyDescent="0.15">
      <c r="A584" s="9"/>
      <c r="AN584" s="9"/>
      <c r="AO584" s="9"/>
      <c r="AU584" s="9"/>
      <c r="BA584" s="9"/>
    </row>
    <row r="585" spans="1:53" ht="12" customHeight="1" x14ac:dyDescent="0.15">
      <c r="A585" s="9"/>
      <c r="AN585" s="9"/>
      <c r="AO585" s="9"/>
      <c r="AU585" s="9"/>
      <c r="BA585" s="9"/>
    </row>
    <row r="586" spans="1:53" ht="12" customHeight="1" x14ac:dyDescent="0.15">
      <c r="A586" s="9"/>
      <c r="AN586" s="9"/>
      <c r="AO586" s="9"/>
      <c r="AU586" s="9"/>
      <c r="BA586" s="9"/>
    </row>
    <row r="587" spans="1:53" ht="12" customHeight="1" x14ac:dyDescent="0.15">
      <c r="A587" s="9"/>
      <c r="AN587" s="9"/>
      <c r="AO587" s="9"/>
      <c r="AU587" s="9"/>
      <c r="BA587" s="9"/>
    </row>
    <row r="588" spans="1:53" ht="12" customHeight="1" x14ac:dyDescent="0.15">
      <c r="A588" s="9"/>
      <c r="AN588" s="9"/>
      <c r="AO588" s="9"/>
      <c r="AU588" s="9"/>
      <c r="BA588" s="9"/>
    </row>
    <row r="589" spans="1:53" ht="12" customHeight="1" x14ac:dyDescent="0.15">
      <c r="A589" s="9"/>
      <c r="AN589" s="9"/>
      <c r="AO589" s="9"/>
      <c r="AU589" s="9"/>
      <c r="BA589" s="9"/>
    </row>
    <row r="590" spans="1:53" ht="12" customHeight="1" x14ac:dyDescent="0.15">
      <c r="A590" s="9"/>
      <c r="AN590" s="9"/>
      <c r="AO590" s="9"/>
      <c r="AU590" s="9"/>
      <c r="BA590" s="9"/>
    </row>
    <row r="591" spans="1:53" ht="12" customHeight="1" x14ac:dyDescent="0.15">
      <c r="A591" s="9"/>
      <c r="AN591" s="9"/>
      <c r="AO591" s="9"/>
      <c r="AU591" s="9"/>
      <c r="BA591" s="9"/>
    </row>
    <row r="592" spans="1:53" ht="12" customHeight="1" x14ac:dyDescent="0.15">
      <c r="A592" s="9"/>
      <c r="AN592" s="9"/>
      <c r="AO592" s="9"/>
      <c r="AU592" s="9"/>
      <c r="BA592" s="9"/>
    </row>
    <row r="593" spans="1:53" ht="12" customHeight="1" x14ac:dyDescent="0.15">
      <c r="A593" s="9"/>
      <c r="AN593" s="9"/>
      <c r="AO593" s="9"/>
      <c r="AU593" s="9"/>
      <c r="BA593" s="9"/>
    </row>
    <row r="594" spans="1:53" ht="12" customHeight="1" x14ac:dyDescent="0.15">
      <c r="A594" s="9"/>
      <c r="AN594" s="9"/>
      <c r="AO594" s="9"/>
      <c r="AU594" s="9"/>
      <c r="BA594" s="9"/>
    </row>
    <row r="595" spans="1:53" ht="12" customHeight="1" x14ac:dyDescent="0.15">
      <c r="A595" s="9"/>
      <c r="AN595" s="9"/>
      <c r="AO595" s="9"/>
      <c r="AU595" s="9"/>
      <c r="BA595" s="9"/>
    </row>
    <row r="596" spans="1:53" ht="12" customHeight="1" x14ac:dyDescent="0.15">
      <c r="A596" s="9"/>
      <c r="AN596" s="9"/>
      <c r="AO596" s="9"/>
      <c r="AU596" s="9"/>
      <c r="BA596" s="9"/>
    </row>
    <row r="597" spans="1:53" ht="12" customHeight="1" x14ac:dyDescent="0.15">
      <c r="A597" s="9"/>
      <c r="AN597" s="9"/>
      <c r="AO597" s="9"/>
      <c r="AU597" s="9"/>
      <c r="BA597" s="9"/>
    </row>
    <row r="598" spans="1:53" ht="12" customHeight="1" x14ac:dyDescent="0.15">
      <c r="A598" s="9"/>
      <c r="AN598" s="9"/>
      <c r="AO598" s="9"/>
      <c r="AU598" s="9"/>
      <c r="BA598" s="9"/>
    </row>
    <row r="599" spans="1:53" ht="12" customHeight="1" x14ac:dyDescent="0.15">
      <c r="A599" s="9"/>
      <c r="AN599" s="9"/>
      <c r="AO599" s="9"/>
      <c r="AU599" s="9"/>
      <c r="BA599" s="9"/>
    </row>
    <row r="600" spans="1:53" ht="12" customHeight="1" x14ac:dyDescent="0.15">
      <c r="A600" s="9"/>
      <c r="AN600" s="9"/>
      <c r="AO600" s="9"/>
      <c r="AU600" s="9"/>
      <c r="BA600" s="9"/>
    </row>
    <row r="601" spans="1:53" ht="12" customHeight="1" x14ac:dyDescent="0.15">
      <c r="A601" s="9"/>
      <c r="AN601" s="9"/>
      <c r="AO601" s="9"/>
      <c r="AU601" s="9"/>
      <c r="BA601" s="9"/>
    </row>
    <row r="602" spans="1:53" ht="12" customHeight="1" x14ac:dyDescent="0.15">
      <c r="A602" s="9"/>
      <c r="AN602" s="9"/>
      <c r="AO602" s="9"/>
      <c r="AU602" s="9"/>
      <c r="BA602" s="9"/>
    </row>
    <row r="603" spans="1:53" ht="12" customHeight="1" x14ac:dyDescent="0.15">
      <c r="A603" s="9"/>
      <c r="AN603" s="9"/>
      <c r="AO603" s="9"/>
      <c r="AU603" s="9"/>
      <c r="BA603" s="9"/>
    </row>
    <row r="604" spans="1:53" ht="12" customHeight="1" x14ac:dyDescent="0.15">
      <c r="A604" s="9"/>
      <c r="AN604" s="9"/>
      <c r="AO604" s="9"/>
      <c r="AU604" s="9"/>
      <c r="BA604" s="9"/>
    </row>
    <row r="605" spans="1:53" ht="12" customHeight="1" x14ac:dyDescent="0.15">
      <c r="A605" s="9"/>
      <c r="AN605" s="9"/>
      <c r="AO605" s="9"/>
      <c r="AU605" s="9"/>
      <c r="BA605" s="9"/>
    </row>
    <row r="606" spans="1:53" ht="12" customHeight="1" x14ac:dyDescent="0.15">
      <c r="A606" s="9"/>
      <c r="AN606" s="9"/>
      <c r="AO606" s="9"/>
      <c r="AU606" s="9"/>
      <c r="BA606" s="9"/>
    </row>
    <row r="607" spans="1:53" ht="12" customHeight="1" x14ac:dyDescent="0.15">
      <c r="A607" s="9"/>
      <c r="AN607" s="9"/>
      <c r="AO607" s="9"/>
      <c r="AU607" s="9"/>
      <c r="BA607" s="9"/>
    </row>
    <row r="608" spans="1:53" ht="12" customHeight="1" x14ac:dyDescent="0.15">
      <c r="A608" s="9"/>
      <c r="AN608" s="9"/>
      <c r="AO608" s="9"/>
      <c r="AU608" s="9"/>
      <c r="BA608" s="9"/>
    </row>
    <row r="609" spans="1:53" ht="12" customHeight="1" x14ac:dyDescent="0.15">
      <c r="A609" s="9"/>
      <c r="AN609" s="9"/>
      <c r="AO609" s="9"/>
      <c r="AU609" s="9"/>
      <c r="BA609" s="9"/>
    </row>
    <row r="610" spans="1:53" ht="12" customHeight="1" x14ac:dyDescent="0.15">
      <c r="A610" s="9"/>
      <c r="AN610" s="9"/>
      <c r="AO610" s="9"/>
      <c r="AU610" s="9"/>
      <c r="BA610" s="9"/>
    </row>
    <row r="611" spans="1:53" ht="12" customHeight="1" x14ac:dyDescent="0.15">
      <c r="A611" s="9"/>
      <c r="AN611" s="9"/>
      <c r="AO611" s="9"/>
      <c r="AU611" s="9"/>
      <c r="BA611" s="9"/>
    </row>
    <row r="612" spans="1:53" ht="12" customHeight="1" x14ac:dyDescent="0.15">
      <c r="A612" s="9"/>
      <c r="AN612" s="9"/>
      <c r="AO612" s="9"/>
      <c r="AU612" s="9"/>
      <c r="BA612" s="9"/>
    </row>
    <row r="613" spans="1:53" ht="12" customHeight="1" x14ac:dyDescent="0.15">
      <c r="A613" s="9"/>
      <c r="AN613" s="9"/>
      <c r="AO613" s="9"/>
      <c r="AU613" s="9"/>
      <c r="BA613" s="9"/>
    </row>
    <row r="614" spans="1:53" ht="12" customHeight="1" x14ac:dyDescent="0.15">
      <c r="A614" s="9"/>
      <c r="AN614" s="9"/>
      <c r="AO614" s="9"/>
      <c r="AU614" s="9"/>
      <c r="BA614" s="9"/>
    </row>
    <row r="615" spans="1:53" ht="12" customHeight="1" x14ac:dyDescent="0.15">
      <c r="A615" s="9"/>
      <c r="AN615" s="9"/>
      <c r="AO615" s="9"/>
      <c r="AU615" s="9"/>
      <c r="BA615" s="9"/>
    </row>
    <row r="616" spans="1:53" ht="12" customHeight="1" x14ac:dyDescent="0.15">
      <c r="A616" s="9"/>
      <c r="AN616" s="9"/>
      <c r="AO616" s="9"/>
      <c r="AU616" s="9"/>
      <c r="BA616" s="9"/>
    </row>
    <row r="617" spans="1:53" ht="12" customHeight="1" x14ac:dyDescent="0.15">
      <c r="A617" s="9"/>
      <c r="AN617" s="9"/>
      <c r="AO617" s="9"/>
      <c r="AU617" s="9"/>
      <c r="BA617" s="9"/>
    </row>
    <row r="618" spans="1:53" ht="12" customHeight="1" x14ac:dyDescent="0.15">
      <c r="A618" s="9"/>
      <c r="AN618" s="9"/>
      <c r="AO618" s="9"/>
      <c r="AU618" s="9"/>
      <c r="BA618" s="9"/>
    </row>
    <row r="619" spans="1:53" ht="12" customHeight="1" x14ac:dyDescent="0.15">
      <c r="A619" s="9"/>
      <c r="AN619" s="9"/>
      <c r="AO619" s="9"/>
      <c r="AU619" s="9"/>
      <c r="BA619" s="9"/>
    </row>
    <row r="620" spans="1:53" ht="12" customHeight="1" x14ac:dyDescent="0.15">
      <c r="A620" s="9"/>
      <c r="AN620" s="9"/>
      <c r="AO620" s="9"/>
      <c r="AU620" s="9"/>
      <c r="BA620" s="9"/>
    </row>
    <row r="621" spans="1:53" ht="12" customHeight="1" x14ac:dyDescent="0.15">
      <c r="A621" s="9"/>
      <c r="AN621" s="9"/>
      <c r="AO621" s="9"/>
      <c r="AU621" s="9"/>
      <c r="BA621" s="9"/>
    </row>
    <row r="622" spans="1:53" ht="12" customHeight="1" x14ac:dyDescent="0.15">
      <c r="A622" s="9"/>
      <c r="AN622" s="9"/>
      <c r="AO622" s="9"/>
      <c r="AU622" s="9"/>
      <c r="BA622" s="9"/>
    </row>
    <row r="623" spans="1:53" ht="12" customHeight="1" x14ac:dyDescent="0.15">
      <c r="A623" s="9"/>
      <c r="AN623" s="9"/>
      <c r="AO623" s="9"/>
      <c r="AU623" s="9"/>
      <c r="BA623" s="9"/>
    </row>
    <row r="624" spans="1:53" ht="12" customHeight="1" x14ac:dyDescent="0.15">
      <c r="A624" s="9"/>
      <c r="AN624" s="9"/>
      <c r="AO624" s="9"/>
      <c r="AU624" s="9"/>
      <c r="BA624" s="9"/>
    </row>
    <row r="625" spans="1:53" ht="12" customHeight="1" x14ac:dyDescent="0.15">
      <c r="A625" s="9"/>
      <c r="AN625" s="9"/>
      <c r="AO625" s="9"/>
      <c r="AU625" s="9"/>
      <c r="BA625" s="9"/>
    </row>
    <row r="626" spans="1:53" ht="12" customHeight="1" x14ac:dyDescent="0.15">
      <c r="A626" s="9"/>
      <c r="AN626" s="9"/>
      <c r="AO626" s="9"/>
      <c r="AU626" s="9"/>
      <c r="BA626" s="9"/>
    </row>
    <row r="627" spans="1:53" ht="12" customHeight="1" x14ac:dyDescent="0.15">
      <c r="A627" s="9"/>
      <c r="AN627" s="9"/>
      <c r="AO627" s="9"/>
      <c r="AU627" s="9"/>
      <c r="BA627" s="9"/>
    </row>
    <row r="628" spans="1:53" ht="12" customHeight="1" x14ac:dyDescent="0.15">
      <c r="A628" s="9"/>
      <c r="AN628" s="9"/>
      <c r="AO628" s="9"/>
      <c r="AU628" s="9"/>
      <c r="BA628" s="9"/>
    </row>
    <row r="629" spans="1:53" ht="12" customHeight="1" x14ac:dyDescent="0.15">
      <c r="A629" s="9"/>
      <c r="AN629" s="9"/>
      <c r="AO629" s="9"/>
      <c r="AU629" s="9"/>
      <c r="BA629" s="9"/>
    </row>
    <row r="630" spans="1:53" ht="12" customHeight="1" x14ac:dyDescent="0.15">
      <c r="A630" s="9"/>
      <c r="AN630" s="9"/>
      <c r="AO630" s="9"/>
      <c r="AU630" s="9"/>
      <c r="BA630" s="9"/>
    </row>
    <row r="631" spans="1:53" ht="12" customHeight="1" x14ac:dyDescent="0.15">
      <c r="A631" s="9"/>
      <c r="AN631" s="9"/>
      <c r="AO631" s="9"/>
      <c r="AU631" s="9"/>
      <c r="BA631" s="9"/>
    </row>
    <row r="632" spans="1:53" ht="12" customHeight="1" x14ac:dyDescent="0.15">
      <c r="A632" s="9"/>
      <c r="AN632" s="9"/>
      <c r="AO632" s="9"/>
      <c r="AU632" s="9"/>
      <c r="BA632" s="9"/>
    </row>
    <row r="633" spans="1:53" ht="12" customHeight="1" x14ac:dyDescent="0.15">
      <c r="A633" s="9"/>
      <c r="AN633" s="9"/>
      <c r="AO633" s="9"/>
      <c r="AU633" s="9"/>
      <c r="BA633" s="9"/>
    </row>
    <row r="634" spans="1:53" ht="12" customHeight="1" x14ac:dyDescent="0.15">
      <c r="A634" s="9"/>
      <c r="AN634" s="9"/>
      <c r="AO634" s="9"/>
      <c r="AU634" s="9"/>
      <c r="BA634" s="9"/>
    </row>
    <row r="635" spans="1:53" ht="12" customHeight="1" x14ac:dyDescent="0.15">
      <c r="A635" s="9"/>
      <c r="AN635" s="9"/>
      <c r="AO635" s="9"/>
      <c r="AU635" s="9"/>
      <c r="BA635" s="9"/>
    </row>
    <row r="636" spans="1:53" ht="12" customHeight="1" x14ac:dyDescent="0.15">
      <c r="A636" s="9"/>
      <c r="AN636" s="9"/>
      <c r="AO636" s="9"/>
      <c r="AU636" s="9"/>
      <c r="BA636" s="9"/>
    </row>
    <row r="637" spans="1:53" ht="12" customHeight="1" x14ac:dyDescent="0.15">
      <c r="A637" s="9"/>
      <c r="AN637" s="9"/>
      <c r="AO637" s="9"/>
      <c r="AU637" s="9"/>
      <c r="BA637" s="9"/>
    </row>
    <row r="638" spans="1:53" ht="12" customHeight="1" x14ac:dyDescent="0.15">
      <c r="A638" s="9"/>
      <c r="AN638" s="9"/>
      <c r="AO638" s="9"/>
      <c r="AU638" s="9"/>
      <c r="BA638" s="9"/>
    </row>
    <row r="639" spans="1:53" ht="12" customHeight="1" x14ac:dyDescent="0.15">
      <c r="A639" s="9"/>
      <c r="AN639" s="9"/>
      <c r="AO639" s="9"/>
      <c r="AU639" s="9"/>
      <c r="BA639" s="9"/>
    </row>
    <row r="640" spans="1:53" ht="12" customHeight="1" x14ac:dyDescent="0.15">
      <c r="A640" s="9"/>
      <c r="AN640" s="9"/>
      <c r="AO640" s="9"/>
      <c r="AU640" s="9"/>
      <c r="BA640" s="9"/>
    </row>
    <row r="641" spans="1:53" ht="12" customHeight="1" x14ac:dyDescent="0.15">
      <c r="A641" s="9"/>
      <c r="AN641" s="9"/>
      <c r="AO641" s="9"/>
      <c r="AU641" s="9"/>
      <c r="BA641" s="9"/>
    </row>
    <row r="642" spans="1:53" ht="12" customHeight="1" x14ac:dyDescent="0.15">
      <c r="A642" s="9"/>
      <c r="AN642" s="9"/>
      <c r="AO642" s="9"/>
      <c r="AU642" s="9"/>
      <c r="BA642" s="9"/>
    </row>
    <row r="643" spans="1:53" ht="12" customHeight="1" x14ac:dyDescent="0.15">
      <c r="A643" s="9"/>
      <c r="AN643" s="9"/>
      <c r="AO643" s="9"/>
      <c r="AU643" s="9"/>
      <c r="BA643" s="9"/>
    </row>
    <row r="644" spans="1:53" ht="12" customHeight="1" x14ac:dyDescent="0.15">
      <c r="A644" s="9"/>
      <c r="AN644" s="9"/>
      <c r="AO644" s="9"/>
      <c r="AU644" s="9"/>
      <c r="BA644" s="9"/>
    </row>
    <row r="645" spans="1:53" ht="12" customHeight="1" x14ac:dyDescent="0.15">
      <c r="A645" s="9"/>
      <c r="AN645" s="9"/>
      <c r="AO645" s="9"/>
      <c r="AU645" s="9"/>
      <c r="BA645" s="9"/>
    </row>
    <row r="646" spans="1:53" ht="12" customHeight="1" x14ac:dyDescent="0.15">
      <c r="A646" s="9"/>
      <c r="AN646" s="9"/>
      <c r="AO646" s="9"/>
      <c r="AU646" s="9"/>
      <c r="BA646" s="9"/>
    </row>
    <row r="647" spans="1:53" ht="12" customHeight="1" x14ac:dyDescent="0.15">
      <c r="A647" s="9"/>
      <c r="AN647" s="9"/>
      <c r="AO647" s="9"/>
      <c r="AU647" s="9"/>
      <c r="BA647" s="9"/>
    </row>
    <row r="648" spans="1:53" ht="12" customHeight="1" x14ac:dyDescent="0.15">
      <c r="A648" s="9"/>
      <c r="AN648" s="9"/>
      <c r="AO648" s="9"/>
      <c r="AU648" s="9"/>
      <c r="BA648" s="9"/>
    </row>
    <row r="649" spans="1:53" ht="12" customHeight="1" x14ac:dyDescent="0.15">
      <c r="A649" s="9"/>
      <c r="AN649" s="9"/>
      <c r="AO649" s="9"/>
      <c r="AU649" s="9"/>
      <c r="BA649" s="9"/>
    </row>
    <row r="650" spans="1:53" ht="12" customHeight="1" x14ac:dyDescent="0.15">
      <c r="A650" s="9"/>
      <c r="AN650" s="9"/>
      <c r="AO650" s="9"/>
      <c r="AU650" s="9"/>
      <c r="BA650" s="9"/>
    </row>
    <row r="651" spans="1:53" ht="12" customHeight="1" x14ac:dyDescent="0.15">
      <c r="A651" s="9"/>
      <c r="AN651" s="9"/>
      <c r="AO651" s="9"/>
      <c r="AU651" s="9"/>
      <c r="BA651" s="9"/>
    </row>
    <row r="652" spans="1:53" ht="12" customHeight="1" x14ac:dyDescent="0.15">
      <c r="A652" s="9"/>
      <c r="AN652" s="9"/>
      <c r="AO652" s="9"/>
      <c r="AU652" s="9"/>
      <c r="BA652" s="9"/>
    </row>
    <row r="653" spans="1:53" ht="12" customHeight="1" x14ac:dyDescent="0.15">
      <c r="A653" s="9"/>
      <c r="AN653" s="9"/>
      <c r="AO653" s="9"/>
      <c r="AU653" s="9"/>
      <c r="BA653" s="9"/>
    </row>
    <row r="654" spans="1:53" ht="12" customHeight="1" x14ac:dyDescent="0.15">
      <c r="A654" s="9"/>
      <c r="AN654" s="9"/>
      <c r="AO654" s="9"/>
      <c r="AU654" s="9"/>
      <c r="BA654" s="9"/>
    </row>
    <row r="655" spans="1:53" ht="12" customHeight="1" x14ac:dyDescent="0.15">
      <c r="A655" s="9"/>
      <c r="AN655" s="9"/>
      <c r="AO655" s="9"/>
      <c r="AU655" s="9"/>
      <c r="BA655" s="9"/>
    </row>
    <row r="656" spans="1:53" ht="12" customHeight="1" x14ac:dyDescent="0.15">
      <c r="A656" s="9"/>
      <c r="AN656" s="9"/>
      <c r="AO656" s="9"/>
      <c r="AU656" s="9"/>
      <c r="BA656" s="9"/>
    </row>
    <row r="657" spans="1:53" ht="12" customHeight="1" x14ac:dyDescent="0.15">
      <c r="A657" s="9"/>
      <c r="AN657" s="9"/>
      <c r="AO657" s="9"/>
      <c r="AU657" s="9"/>
      <c r="BA657" s="9"/>
    </row>
    <row r="658" spans="1:53" ht="12" customHeight="1" x14ac:dyDescent="0.15">
      <c r="A658" s="9"/>
      <c r="AN658" s="9"/>
      <c r="AO658" s="9"/>
      <c r="AU658" s="9"/>
      <c r="BA658" s="9"/>
    </row>
    <row r="659" spans="1:53" ht="12" customHeight="1" x14ac:dyDescent="0.15">
      <c r="A659" s="9"/>
      <c r="AN659" s="9"/>
      <c r="AO659" s="9"/>
      <c r="AU659" s="9"/>
      <c r="BA659" s="9"/>
    </row>
    <row r="660" spans="1:53" ht="12" customHeight="1" x14ac:dyDescent="0.15">
      <c r="A660" s="9"/>
      <c r="AN660" s="9"/>
      <c r="AO660" s="9"/>
      <c r="AU660" s="9"/>
      <c r="BA660" s="9"/>
    </row>
    <row r="661" spans="1:53" ht="12" customHeight="1" x14ac:dyDescent="0.15">
      <c r="A661" s="9"/>
      <c r="AN661" s="9"/>
      <c r="AO661" s="9"/>
      <c r="AU661" s="9"/>
      <c r="BA661" s="9"/>
    </row>
    <row r="662" spans="1:53" ht="12" customHeight="1" x14ac:dyDescent="0.15">
      <c r="A662" s="9"/>
      <c r="AN662" s="9"/>
      <c r="AO662" s="9"/>
      <c r="AU662" s="9"/>
      <c r="BA662" s="9"/>
    </row>
    <row r="663" spans="1:53" ht="12" customHeight="1" x14ac:dyDescent="0.15">
      <c r="A663" s="9"/>
      <c r="AN663" s="9"/>
      <c r="AO663" s="9"/>
      <c r="AU663" s="9"/>
      <c r="BA663" s="9"/>
    </row>
    <row r="664" spans="1:53" ht="12" customHeight="1" x14ac:dyDescent="0.15">
      <c r="A664" s="9"/>
      <c r="AN664" s="9"/>
      <c r="AO664" s="9"/>
      <c r="AU664" s="9"/>
      <c r="BA664" s="9"/>
    </row>
    <row r="665" spans="1:53" ht="12" customHeight="1" x14ac:dyDescent="0.15">
      <c r="A665" s="9"/>
      <c r="AN665" s="9"/>
      <c r="AO665" s="9"/>
      <c r="AU665" s="9"/>
      <c r="BA665" s="9"/>
    </row>
    <row r="666" spans="1:53" ht="12" customHeight="1" x14ac:dyDescent="0.15">
      <c r="A666" s="9"/>
      <c r="AN666" s="9"/>
      <c r="AO666" s="9"/>
      <c r="AU666" s="9"/>
      <c r="BA666" s="9"/>
    </row>
    <row r="667" spans="1:53" ht="12" customHeight="1" x14ac:dyDescent="0.15">
      <c r="A667" s="9"/>
      <c r="AN667" s="9"/>
      <c r="AO667" s="9"/>
      <c r="AU667" s="9"/>
      <c r="BA667" s="9"/>
    </row>
    <row r="668" spans="1:53" ht="12" customHeight="1" x14ac:dyDescent="0.15">
      <c r="A668" s="9"/>
      <c r="AN668" s="9"/>
      <c r="AO668" s="9"/>
      <c r="AU668" s="9"/>
      <c r="BA668" s="9"/>
    </row>
    <row r="669" spans="1:53" ht="12" customHeight="1" x14ac:dyDescent="0.15">
      <c r="A669" s="9"/>
      <c r="AN669" s="9"/>
      <c r="AO669" s="9"/>
      <c r="AU669" s="9"/>
      <c r="BA669" s="9"/>
    </row>
    <row r="670" spans="1:53" ht="12" customHeight="1" x14ac:dyDescent="0.15">
      <c r="A670" s="9"/>
      <c r="AN670" s="9"/>
      <c r="AO670" s="9"/>
      <c r="AU670" s="9"/>
      <c r="BA670" s="9"/>
    </row>
    <row r="671" spans="1:53" ht="12" customHeight="1" x14ac:dyDescent="0.15">
      <c r="A671" s="9"/>
      <c r="AN671" s="9"/>
      <c r="AO671" s="9"/>
      <c r="AU671" s="9"/>
      <c r="BA671" s="9"/>
    </row>
    <row r="672" spans="1:53" ht="12" customHeight="1" x14ac:dyDescent="0.15">
      <c r="A672" s="9"/>
      <c r="AN672" s="9"/>
      <c r="AO672" s="9"/>
      <c r="AU672" s="9"/>
      <c r="BA672" s="9"/>
    </row>
    <row r="673" spans="1:53" ht="12" customHeight="1" x14ac:dyDescent="0.15">
      <c r="A673" s="9"/>
      <c r="AN673" s="9"/>
      <c r="AO673" s="9"/>
      <c r="AU673" s="9"/>
      <c r="BA673" s="9"/>
    </row>
    <row r="674" spans="1:53" ht="12" customHeight="1" x14ac:dyDescent="0.15">
      <c r="A674" s="9"/>
      <c r="AN674" s="9"/>
      <c r="AO674" s="9"/>
      <c r="AU674" s="9"/>
      <c r="BA674" s="9"/>
    </row>
    <row r="675" spans="1:53" ht="12" customHeight="1" x14ac:dyDescent="0.15">
      <c r="A675" s="9"/>
      <c r="AN675" s="9"/>
      <c r="AO675" s="9"/>
      <c r="AU675" s="9"/>
      <c r="BA675" s="9"/>
    </row>
    <row r="676" spans="1:53" ht="12" customHeight="1" x14ac:dyDescent="0.15">
      <c r="A676" s="9"/>
      <c r="AN676" s="9"/>
      <c r="AO676" s="9"/>
      <c r="AU676" s="9"/>
      <c r="BA676" s="9"/>
    </row>
    <row r="677" spans="1:53" ht="12" customHeight="1" x14ac:dyDescent="0.15">
      <c r="A677" s="9"/>
      <c r="AN677" s="9"/>
      <c r="AO677" s="9"/>
      <c r="AU677" s="9"/>
      <c r="BA677" s="9"/>
    </row>
    <row r="678" spans="1:53" ht="12" customHeight="1" x14ac:dyDescent="0.15">
      <c r="A678" s="9"/>
      <c r="AN678" s="9"/>
      <c r="AO678" s="9"/>
      <c r="AU678" s="9"/>
      <c r="BA678" s="9"/>
    </row>
    <row r="679" spans="1:53" ht="12" customHeight="1" x14ac:dyDescent="0.15">
      <c r="A679" s="9"/>
      <c r="AN679" s="9"/>
      <c r="AO679" s="9"/>
      <c r="AU679" s="9"/>
      <c r="BA679" s="9"/>
    </row>
    <row r="680" spans="1:53" ht="12" customHeight="1" x14ac:dyDescent="0.15">
      <c r="A680" s="9"/>
      <c r="AN680" s="9"/>
      <c r="AO680" s="9"/>
      <c r="AU680" s="9"/>
      <c r="BA680" s="9"/>
    </row>
    <row r="681" spans="1:53" ht="12" customHeight="1" x14ac:dyDescent="0.15">
      <c r="A681" s="9"/>
      <c r="AN681" s="9"/>
      <c r="AO681" s="9"/>
      <c r="AU681" s="9"/>
      <c r="BA681" s="9"/>
    </row>
    <row r="682" spans="1:53" ht="12" customHeight="1" x14ac:dyDescent="0.15">
      <c r="A682" s="60"/>
      <c r="AN682" s="9"/>
      <c r="AO682" s="9"/>
      <c r="AU682" s="9"/>
      <c r="BA682" s="9"/>
    </row>
    <row r="683" spans="1:53" ht="12" customHeight="1" x14ac:dyDescent="0.15">
      <c r="A683" s="60"/>
      <c r="AN683" s="9"/>
      <c r="AO683" s="9"/>
      <c r="AU683" s="9"/>
      <c r="BA683" s="9"/>
    </row>
    <row r="684" spans="1:53" ht="12" customHeight="1" x14ac:dyDescent="0.15">
      <c r="A684" s="60"/>
      <c r="AN684" s="9"/>
      <c r="AO684" s="9"/>
      <c r="AU684" s="9"/>
      <c r="BA684" s="9"/>
    </row>
    <row r="685" spans="1:53" ht="12" customHeight="1" x14ac:dyDescent="0.15">
      <c r="A685" s="9"/>
      <c r="AN685" s="9"/>
      <c r="AO685" s="9"/>
      <c r="AU685" s="9"/>
      <c r="BA685" s="9"/>
    </row>
    <row r="686" spans="1:53" ht="12" customHeight="1" x14ac:dyDescent="0.15">
      <c r="A686" s="9"/>
      <c r="AN686" s="9"/>
      <c r="AO686" s="9"/>
      <c r="AU686" s="9"/>
      <c r="BA686" s="9"/>
    </row>
    <row r="687" spans="1:53" ht="12" customHeight="1" x14ac:dyDescent="0.15">
      <c r="A687" s="9"/>
      <c r="AN687" s="9"/>
      <c r="AO687" s="9"/>
      <c r="AU687" s="9"/>
      <c r="BA687" s="9"/>
    </row>
    <row r="688" spans="1:53" ht="12" customHeight="1" x14ac:dyDescent="0.15">
      <c r="A688" s="9"/>
      <c r="AN688" s="9"/>
      <c r="AO688" s="9"/>
      <c r="AU688" s="9"/>
      <c r="BA688" s="9"/>
    </row>
    <row r="689" spans="1:53" ht="12" customHeight="1" x14ac:dyDescent="0.15">
      <c r="A689" s="9"/>
      <c r="AN689" s="9"/>
      <c r="AO689" s="9"/>
      <c r="AU689" s="9"/>
      <c r="BA689" s="9"/>
    </row>
    <row r="690" spans="1:53" ht="12" customHeight="1" x14ac:dyDescent="0.15">
      <c r="A690" s="9"/>
      <c r="AN690" s="9"/>
      <c r="AO690" s="9"/>
      <c r="AU690" s="9"/>
      <c r="BA690" s="9"/>
    </row>
    <row r="691" spans="1:53" ht="12" customHeight="1" x14ac:dyDescent="0.15">
      <c r="A691" s="9"/>
      <c r="AN691" s="9"/>
      <c r="AO691" s="9"/>
      <c r="AU691" s="9"/>
      <c r="BA691" s="9"/>
    </row>
    <row r="692" spans="1:53" ht="12" customHeight="1" x14ac:dyDescent="0.15">
      <c r="A692" s="9"/>
      <c r="AN692" s="9"/>
      <c r="AO692" s="9"/>
      <c r="AU692" s="9"/>
      <c r="BA692" s="9"/>
    </row>
    <row r="693" spans="1:53" ht="12" customHeight="1" x14ac:dyDescent="0.15">
      <c r="A693" s="9"/>
      <c r="AN693" s="9"/>
      <c r="AO693" s="9"/>
      <c r="AU693" s="9"/>
      <c r="BA693" s="9"/>
    </row>
    <row r="694" spans="1:53" ht="12" customHeight="1" x14ac:dyDescent="0.15">
      <c r="A694" s="9"/>
      <c r="AN694" s="9"/>
      <c r="AO694" s="9"/>
      <c r="AU694" s="9"/>
      <c r="BA694" s="9"/>
    </row>
    <row r="695" spans="1:53" ht="12" customHeight="1" x14ac:dyDescent="0.15">
      <c r="A695" s="9"/>
      <c r="AN695" s="9"/>
      <c r="AO695" s="9"/>
      <c r="AU695" s="9"/>
      <c r="BA695" s="9"/>
    </row>
    <row r="696" spans="1:53" ht="12" customHeight="1" x14ac:dyDescent="0.15">
      <c r="A696" s="9"/>
      <c r="AN696" s="9"/>
      <c r="AO696" s="9"/>
      <c r="AU696" s="9"/>
      <c r="BA696" s="9"/>
    </row>
    <row r="697" spans="1:53" ht="12" customHeight="1" x14ac:dyDescent="0.15">
      <c r="A697" s="9"/>
      <c r="AN697" s="9"/>
      <c r="AO697" s="9"/>
      <c r="AU697" s="9"/>
      <c r="BA697" s="9"/>
    </row>
    <row r="698" spans="1:53" ht="12" customHeight="1" x14ac:dyDescent="0.15">
      <c r="A698" s="9"/>
      <c r="AN698" s="9"/>
      <c r="AO698" s="9"/>
      <c r="AU698" s="9"/>
      <c r="BA698" s="9"/>
    </row>
    <row r="699" spans="1:53" ht="12" customHeight="1" x14ac:dyDescent="0.15">
      <c r="A699" s="9"/>
      <c r="AN699" s="9"/>
      <c r="AO699" s="9"/>
      <c r="AU699" s="9"/>
      <c r="BA699" s="9"/>
    </row>
    <row r="700" spans="1:53" ht="12" customHeight="1" x14ac:dyDescent="0.15">
      <c r="A700" s="9"/>
      <c r="AN700" s="9"/>
      <c r="AO700" s="9"/>
      <c r="AU700" s="9"/>
      <c r="BA700" s="9"/>
    </row>
    <row r="701" spans="1:53" ht="12" customHeight="1" x14ac:dyDescent="0.15">
      <c r="A701" s="9"/>
      <c r="AN701" s="9"/>
      <c r="AO701" s="9"/>
      <c r="AU701" s="9"/>
      <c r="BA701" s="9"/>
    </row>
    <row r="702" spans="1:53" ht="12" customHeight="1" x14ac:dyDescent="0.15">
      <c r="A702" s="9"/>
      <c r="AN702" s="9"/>
      <c r="AO702" s="9"/>
      <c r="AU702" s="9"/>
      <c r="BA702" s="9"/>
    </row>
    <row r="703" spans="1:53" ht="12" customHeight="1" x14ac:dyDescent="0.15">
      <c r="A703" s="9"/>
      <c r="AN703" s="9"/>
      <c r="AO703" s="9"/>
      <c r="AU703" s="9"/>
      <c r="BA703" s="9"/>
    </row>
    <row r="704" spans="1:53" ht="12" customHeight="1" x14ac:dyDescent="0.15">
      <c r="A704" s="9"/>
      <c r="AN704" s="9"/>
      <c r="AO704" s="9"/>
      <c r="AU704" s="9"/>
      <c r="BA704" s="9"/>
    </row>
    <row r="705" spans="1:53" ht="12" customHeight="1" x14ac:dyDescent="0.15">
      <c r="A705" s="9"/>
      <c r="AN705" s="9"/>
      <c r="AO705" s="9"/>
      <c r="AU705" s="9"/>
      <c r="BA705" s="9"/>
    </row>
    <row r="706" spans="1:53" ht="12" customHeight="1" x14ac:dyDescent="0.15">
      <c r="A706" s="9"/>
      <c r="AN706" s="9"/>
      <c r="AO706" s="9"/>
      <c r="AU706" s="9"/>
      <c r="BA706" s="9"/>
    </row>
    <row r="707" spans="1:53" ht="12" customHeight="1" x14ac:dyDescent="0.15">
      <c r="A707" s="9"/>
      <c r="AN707" s="9"/>
      <c r="AO707" s="9"/>
      <c r="AU707" s="9"/>
      <c r="BA707" s="9"/>
    </row>
    <row r="708" spans="1:53" ht="12" customHeight="1" x14ac:dyDescent="0.15">
      <c r="A708" s="9"/>
      <c r="AN708" s="9"/>
      <c r="AO708" s="9"/>
      <c r="AU708" s="9"/>
      <c r="BA708" s="9"/>
    </row>
    <row r="709" spans="1:53" ht="12" customHeight="1" x14ac:dyDescent="0.15">
      <c r="A709" s="9"/>
      <c r="AN709" s="9"/>
      <c r="AO709" s="9"/>
      <c r="AU709" s="9"/>
      <c r="BA709" s="9"/>
    </row>
    <row r="710" spans="1:53" ht="12" customHeight="1" x14ac:dyDescent="0.15">
      <c r="A710" s="9"/>
      <c r="AN710" s="9"/>
      <c r="AO710" s="9"/>
      <c r="AU710" s="9"/>
      <c r="BA710" s="9"/>
    </row>
    <row r="711" spans="1:53" ht="12" customHeight="1" x14ac:dyDescent="0.15">
      <c r="A711" s="9"/>
      <c r="AN711" s="9"/>
      <c r="AO711" s="9"/>
      <c r="AU711" s="9"/>
      <c r="BA711" s="9"/>
    </row>
    <row r="712" spans="1:53" ht="12" customHeight="1" x14ac:dyDescent="0.15">
      <c r="A712" s="9"/>
      <c r="AN712" s="9"/>
      <c r="AO712" s="9"/>
      <c r="AU712" s="9"/>
      <c r="BA712" s="9"/>
    </row>
    <row r="713" spans="1:53" ht="12" customHeight="1" x14ac:dyDescent="0.15">
      <c r="A713" s="9"/>
      <c r="AN713" s="9"/>
      <c r="AO713" s="9"/>
      <c r="AU713" s="9"/>
      <c r="BA713" s="9"/>
    </row>
    <row r="714" spans="1:53" ht="12" customHeight="1" x14ac:dyDescent="0.15">
      <c r="A714" s="9"/>
      <c r="AN714" s="9"/>
      <c r="AO714" s="9"/>
      <c r="AU714" s="9"/>
      <c r="BA714" s="9"/>
    </row>
    <row r="715" spans="1:53" ht="12" customHeight="1" x14ac:dyDescent="0.15">
      <c r="A715" s="9"/>
      <c r="AN715" s="9"/>
      <c r="AO715" s="9"/>
      <c r="AU715" s="9"/>
      <c r="BA715" s="9"/>
    </row>
    <row r="716" spans="1:53" ht="12" customHeight="1" x14ac:dyDescent="0.15">
      <c r="A716" s="9"/>
      <c r="AN716" s="9"/>
      <c r="AO716" s="9"/>
      <c r="AU716" s="9"/>
      <c r="BA716" s="9"/>
    </row>
    <row r="717" spans="1:53" ht="12" customHeight="1" x14ac:dyDescent="0.15">
      <c r="A717" s="9"/>
      <c r="AN717" s="9"/>
      <c r="AO717" s="9"/>
      <c r="AU717" s="9"/>
      <c r="BA717" s="9"/>
    </row>
    <row r="718" spans="1:53" ht="12" customHeight="1" x14ac:dyDescent="0.15">
      <c r="A718" s="9"/>
      <c r="AN718" s="9"/>
      <c r="AO718" s="9"/>
      <c r="AU718" s="9"/>
      <c r="BA718" s="9"/>
    </row>
    <row r="719" spans="1:53" ht="12" customHeight="1" x14ac:dyDescent="0.15">
      <c r="A719" s="9"/>
      <c r="AN719" s="9"/>
      <c r="AO719" s="9"/>
      <c r="AU719" s="9"/>
      <c r="BA719" s="9"/>
    </row>
    <row r="720" spans="1:53" ht="12" customHeight="1" x14ac:dyDescent="0.15">
      <c r="A720" s="9"/>
      <c r="AN720" s="9"/>
      <c r="AO720" s="9"/>
      <c r="AU720" s="9"/>
      <c r="BA720" s="9"/>
    </row>
    <row r="721" spans="1:53" ht="12" customHeight="1" x14ac:dyDescent="0.15">
      <c r="A721" s="9"/>
      <c r="AN721" s="9"/>
      <c r="AO721" s="9"/>
      <c r="AU721" s="9"/>
      <c r="BA721" s="9"/>
    </row>
    <row r="722" spans="1:53" ht="12" customHeight="1" x14ac:dyDescent="0.15">
      <c r="A722" s="9"/>
      <c r="AN722" s="9"/>
      <c r="AO722" s="9"/>
      <c r="AU722" s="9"/>
      <c r="BA722" s="9"/>
    </row>
    <row r="723" spans="1:53" ht="12" customHeight="1" x14ac:dyDescent="0.15">
      <c r="A723" s="9"/>
      <c r="AN723" s="9"/>
      <c r="AO723" s="9"/>
      <c r="AU723" s="9"/>
      <c r="BA723" s="9"/>
    </row>
    <row r="724" spans="1:53" ht="12" customHeight="1" x14ac:dyDescent="0.15">
      <c r="A724" s="9"/>
      <c r="AN724" s="9"/>
      <c r="AO724" s="9"/>
      <c r="AU724" s="9"/>
      <c r="BA724" s="9"/>
    </row>
    <row r="725" spans="1:53" ht="12" customHeight="1" x14ac:dyDescent="0.15">
      <c r="A725" s="9"/>
      <c r="AN725" s="9"/>
      <c r="AO725" s="9"/>
      <c r="AU725" s="9"/>
      <c r="BA725" s="9"/>
    </row>
    <row r="726" spans="1:53" ht="12" customHeight="1" x14ac:dyDescent="0.15">
      <c r="A726" s="9"/>
      <c r="AN726" s="9"/>
      <c r="AO726" s="9"/>
      <c r="AU726" s="9"/>
      <c r="BA726" s="9"/>
    </row>
    <row r="727" spans="1:53" ht="12" customHeight="1" x14ac:dyDescent="0.15">
      <c r="A727" s="9"/>
      <c r="AN727" s="9"/>
      <c r="AO727" s="9"/>
      <c r="AU727" s="9"/>
      <c r="BA727" s="9"/>
    </row>
    <row r="728" spans="1:53" ht="12" customHeight="1" x14ac:dyDescent="0.15">
      <c r="A728" s="9"/>
      <c r="AN728" s="9"/>
      <c r="AO728" s="9"/>
      <c r="AU728" s="9"/>
      <c r="BA728" s="9"/>
    </row>
    <row r="729" spans="1:53" ht="12" customHeight="1" x14ac:dyDescent="0.15">
      <c r="A729" s="9"/>
      <c r="AN729" s="9"/>
      <c r="AO729" s="9"/>
      <c r="AU729" s="9"/>
      <c r="BA729" s="9"/>
    </row>
    <row r="730" spans="1:53" ht="12" customHeight="1" x14ac:dyDescent="0.15">
      <c r="A730" s="9"/>
      <c r="AN730" s="9"/>
      <c r="AO730" s="9"/>
      <c r="AU730" s="9"/>
      <c r="BA730" s="9"/>
    </row>
    <row r="731" spans="1:53" ht="12" customHeight="1" x14ac:dyDescent="0.15">
      <c r="A731" s="9"/>
      <c r="AN731" s="9"/>
      <c r="AO731" s="9"/>
      <c r="AU731" s="9"/>
      <c r="BA731" s="9"/>
    </row>
    <row r="732" spans="1:53" ht="12" customHeight="1" x14ac:dyDescent="0.15">
      <c r="A732" s="9"/>
      <c r="AN732" s="9"/>
      <c r="AO732" s="9"/>
      <c r="AU732" s="9"/>
      <c r="BA732" s="9"/>
    </row>
    <row r="733" spans="1:53" ht="12" customHeight="1" x14ac:dyDescent="0.15">
      <c r="A733" s="9"/>
      <c r="AN733" s="9"/>
      <c r="AO733" s="9"/>
      <c r="AU733" s="9"/>
      <c r="BA733" s="9"/>
    </row>
    <row r="734" spans="1:53" ht="12" customHeight="1" x14ac:dyDescent="0.15">
      <c r="A734" s="9"/>
      <c r="AN734" s="9"/>
      <c r="AO734" s="9"/>
      <c r="AU734" s="9"/>
      <c r="BA734" s="9"/>
    </row>
    <row r="735" spans="1:53" ht="12" customHeight="1" x14ac:dyDescent="0.15">
      <c r="A735" s="9"/>
      <c r="AN735" s="9"/>
      <c r="AO735" s="9"/>
      <c r="AU735" s="9"/>
      <c r="BA735" s="9"/>
    </row>
    <row r="736" spans="1:53" ht="12" customHeight="1" x14ac:dyDescent="0.15">
      <c r="A736" s="9"/>
      <c r="AN736" s="9"/>
      <c r="AO736" s="9"/>
      <c r="AU736" s="9"/>
      <c r="BA736" s="9"/>
    </row>
    <row r="737" spans="1:53" ht="12" customHeight="1" x14ac:dyDescent="0.15">
      <c r="A737" s="9"/>
      <c r="AN737" s="9"/>
      <c r="AO737" s="9"/>
      <c r="AU737" s="9"/>
      <c r="BA737" s="9"/>
    </row>
    <row r="738" spans="1:53" ht="12" customHeight="1" x14ac:dyDescent="0.15">
      <c r="A738" s="9"/>
      <c r="AN738" s="9"/>
      <c r="AO738" s="9"/>
      <c r="AU738" s="9"/>
      <c r="BA738" s="9"/>
    </row>
    <row r="739" spans="1:53" ht="12" customHeight="1" x14ac:dyDescent="0.15">
      <c r="A739" s="9"/>
      <c r="AN739" s="9"/>
      <c r="AO739" s="9"/>
      <c r="AU739" s="9"/>
      <c r="BA739" s="9"/>
    </row>
    <row r="740" spans="1:53" ht="12" customHeight="1" x14ac:dyDescent="0.15">
      <c r="A740" s="9"/>
      <c r="AN740" s="9"/>
      <c r="AO740" s="9"/>
      <c r="AU740" s="9"/>
      <c r="BA740" s="9"/>
    </row>
    <row r="741" spans="1:53" ht="12" customHeight="1" x14ac:dyDescent="0.15">
      <c r="A741" s="9"/>
      <c r="AN741" s="9"/>
      <c r="AO741" s="9"/>
      <c r="AU741" s="9"/>
      <c r="BA741" s="9"/>
    </row>
    <row r="742" spans="1:53" ht="12" customHeight="1" x14ac:dyDescent="0.15">
      <c r="A742" s="9"/>
      <c r="AN742" s="9"/>
      <c r="AO742" s="9"/>
      <c r="AU742" s="9"/>
      <c r="BA742" s="9"/>
    </row>
    <row r="743" spans="1:53" ht="12" customHeight="1" x14ac:dyDescent="0.15">
      <c r="A743" s="9"/>
      <c r="AN743" s="9"/>
      <c r="AO743" s="9"/>
      <c r="AU743" s="9"/>
      <c r="BA743" s="9"/>
    </row>
    <row r="744" spans="1:53" ht="12" customHeight="1" x14ac:dyDescent="0.15">
      <c r="A744" s="9"/>
      <c r="AN744" s="9"/>
      <c r="AO744" s="9"/>
      <c r="AU744" s="9"/>
      <c r="BA744" s="9"/>
    </row>
    <row r="745" spans="1:53" ht="12" customHeight="1" x14ac:dyDescent="0.15">
      <c r="A745" s="9"/>
      <c r="AN745" s="9"/>
      <c r="AO745" s="9"/>
      <c r="AU745" s="9"/>
      <c r="BA745" s="9"/>
    </row>
    <row r="746" spans="1:53" ht="12" customHeight="1" x14ac:dyDescent="0.15">
      <c r="A746" s="9"/>
      <c r="AN746" s="9"/>
      <c r="AO746" s="9"/>
      <c r="AU746" s="9"/>
      <c r="BA746" s="9"/>
    </row>
    <row r="747" spans="1:53" ht="12" customHeight="1" x14ac:dyDescent="0.15">
      <c r="A747" s="9"/>
      <c r="AN747" s="9"/>
      <c r="AO747" s="9"/>
      <c r="AU747" s="9"/>
      <c r="BA747" s="9"/>
    </row>
    <row r="748" spans="1:53" ht="12" customHeight="1" x14ac:dyDescent="0.15">
      <c r="A748" s="9"/>
      <c r="AN748" s="9"/>
      <c r="AO748" s="9"/>
      <c r="AU748" s="9"/>
      <c r="BA748" s="9"/>
    </row>
    <row r="749" spans="1:53" ht="12" customHeight="1" x14ac:dyDescent="0.15">
      <c r="A749" s="9"/>
      <c r="AN749" s="9"/>
      <c r="AO749" s="9"/>
      <c r="AU749" s="9"/>
      <c r="BA749" s="9"/>
    </row>
    <row r="750" spans="1:53" ht="12" customHeight="1" x14ac:dyDescent="0.15">
      <c r="A750" s="9"/>
      <c r="AN750" s="9"/>
      <c r="AO750" s="9"/>
      <c r="AU750" s="9"/>
      <c r="BA750" s="9"/>
    </row>
    <row r="751" spans="1:53" ht="12" customHeight="1" x14ac:dyDescent="0.15">
      <c r="A751" s="9"/>
      <c r="AN751" s="9"/>
      <c r="AO751" s="9"/>
      <c r="AU751" s="9"/>
      <c r="BA751" s="9"/>
    </row>
    <row r="752" spans="1:53" ht="12" customHeight="1" x14ac:dyDescent="0.15">
      <c r="A752" s="9"/>
      <c r="AN752" s="9"/>
      <c r="AO752" s="9"/>
      <c r="AU752" s="9"/>
      <c r="BA752" s="9"/>
    </row>
    <row r="753" spans="1:53" ht="12" customHeight="1" x14ac:dyDescent="0.15">
      <c r="A753" s="9"/>
      <c r="AN753" s="9"/>
      <c r="AO753" s="9"/>
      <c r="AU753" s="9"/>
      <c r="BA753" s="9"/>
    </row>
    <row r="754" spans="1:53" ht="12" customHeight="1" x14ac:dyDescent="0.15">
      <c r="A754" s="9"/>
      <c r="AN754" s="9"/>
      <c r="AO754" s="9"/>
      <c r="AU754" s="9"/>
      <c r="BA754" s="9"/>
    </row>
    <row r="755" spans="1:53" ht="12" customHeight="1" x14ac:dyDescent="0.15">
      <c r="A755" s="9"/>
      <c r="AN755" s="9"/>
      <c r="AO755" s="9"/>
      <c r="AU755" s="9"/>
      <c r="BA755" s="9"/>
    </row>
    <row r="756" spans="1:53" ht="12" customHeight="1" x14ac:dyDescent="0.15">
      <c r="A756" s="9"/>
      <c r="AN756" s="9"/>
      <c r="AO756" s="9"/>
      <c r="AU756" s="9"/>
      <c r="BA756" s="9"/>
    </row>
    <row r="757" spans="1:53" ht="12" customHeight="1" x14ac:dyDescent="0.15">
      <c r="A757" s="9"/>
      <c r="AN757" s="9"/>
      <c r="AO757" s="9"/>
      <c r="AU757" s="9"/>
      <c r="BA757" s="9"/>
    </row>
    <row r="758" spans="1:53" ht="12" customHeight="1" x14ac:dyDescent="0.15">
      <c r="A758" s="9"/>
      <c r="AN758" s="9"/>
      <c r="AO758" s="9"/>
      <c r="AU758" s="9"/>
      <c r="BA758" s="9"/>
    </row>
    <row r="759" spans="1:53" ht="12" customHeight="1" x14ac:dyDescent="0.15">
      <c r="A759" s="9"/>
      <c r="AN759" s="9"/>
      <c r="AO759" s="9"/>
      <c r="AU759" s="9"/>
      <c r="BA759" s="9"/>
    </row>
    <row r="760" spans="1:53" ht="12" customHeight="1" x14ac:dyDescent="0.15">
      <c r="A760" s="9"/>
      <c r="AN760" s="9"/>
      <c r="AO760" s="9"/>
      <c r="AU760" s="9"/>
      <c r="BA760" s="9"/>
    </row>
    <row r="761" spans="1:53" ht="12" customHeight="1" x14ac:dyDescent="0.15">
      <c r="A761" s="9"/>
      <c r="AN761" s="9"/>
      <c r="AO761" s="9"/>
      <c r="AU761" s="9"/>
      <c r="BA761" s="9"/>
    </row>
    <row r="762" spans="1:53" ht="12" customHeight="1" x14ac:dyDescent="0.15">
      <c r="A762" s="9"/>
      <c r="AN762" s="9"/>
      <c r="AO762" s="9"/>
      <c r="AU762" s="9"/>
      <c r="BA762" s="9"/>
    </row>
    <row r="763" spans="1:53" ht="12" customHeight="1" x14ac:dyDescent="0.15">
      <c r="A763" s="9"/>
      <c r="AN763" s="9"/>
      <c r="AO763" s="9"/>
      <c r="AU763" s="9"/>
      <c r="BA763" s="9"/>
    </row>
    <row r="764" spans="1:53" ht="12" customHeight="1" x14ac:dyDescent="0.15">
      <c r="A764" s="9"/>
      <c r="AN764" s="9"/>
      <c r="AO764" s="9"/>
      <c r="AU764" s="9"/>
      <c r="BA764" s="9"/>
    </row>
    <row r="765" spans="1:53" ht="12" customHeight="1" x14ac:dyDescent="0.15">
      <c r="A765" s="9"/>
      <c r="AN765" s="9"/>
      <c r="AO765" s="9"/>
      <c r="AU765" s="9"/>
      <c r="BA765" s="9"/>
    </row>
    <row r="766" spans="1:53" ht="12" customHeight="1" x14ac:dyDescent="0.15">
      <c r="A766" s="9"/>
      <c r="AN766" s="9"/>
      <c r="AO766" s="9"/>
      <c r="AU766" s="9"/>
      <c r="BA766" s="9"/>
    </row>
    <row r="767" spans="1:53" ht="12" customHeight="1" x14ac:dyDescent="0.15">
      <c r="A767" s="9"/>
      <c r="AN767" s="9"/>
      <c r="AO767" s="9"/>
      <c r="AU767" s="9"/>
      <c r="BA767" s="9"/>
    </row>
    <row r="768" spans="1:53" ht="12" customHeight="1" x14ac:dyDescent="0.15">
      <c r="A768" s="9"/>
      <c r="AN768" s="9"/>
      <c r="AO768" s="9"/>
      <c r="AU768" s="9"/>
      <c r="BA768" s="9"/>
    </row>
    <row r="769" spans="1:53" ht="12" customHeight="1" x14ac:dyDescent="0.15">
      <c r="A769" s="9"/>
      <c r="AN769" s="9"/>
      <c r="AO769" s="9"/>
      <c r="AU769" s="9"/>
      <c r="BA769" s="9"/>
    </row>
    <row r="770" spans="1:53" ht="12" customHeight="1" x14ac:dyDescent="0.15">
      <c r="A770" s="9"/>
      <c r="AN770" s="9"/>
      <c r="AO770" s="9"/>
      <c r="AU770" s="9"/>
      <c r="BA770" s="9"/>
    </row>
    <row r="771" spans="1:53" ht="12" customHeight="1" x14ac:dyDescent="0.15">
      <c r="A771" s="9"/>
      <c r="AN771" s="9"/>
      <c r="AO771" s="9"/>
      <c r="AU771" s="9"/>
      <c r="BA771" s="9"/>
    </row>
    <row r="772" spans="1:53" ht="12" customHeight="1" x14ac:dyDescent="0.15">
      <c r="A772" s="9"/>
      <c r="AN772" s="9"/>
      <c r="AO772" s="9"/>
      <c r="AU772" s="9"/>
      <c r="BA772" s="9"/>
    </row>
    <row r="773" spans="1:53" ht="12" customHeight="1" x14ac:dyDescent="0.15">
      <c r="A773" s="9"/>
      <c r="AN773" s="9"/>
      <c r="AO773" s="9"/>
      <c r="AU773" s="9"/>
      <c r="BA773" s="9"/>
    </row>
    <row r="774" spans="1:53" ht="12" customHeight="1" x14ac:dyDescent="0.15">
      <c r="A774" s="9"/>
      <c r="AN774" s="9"/>
      <c r="AO774" s="9"/>
      <c r="AU774" s="9"/>
      <c r="BA774" s="9"/>
    </row>
    <row r="775" spans="1:53" ht="12" customHeight="1" x14ac:dyDescent="0.15">
      <c r="A775" s="9"/>
      <c r="AN775" s="9"/>
      <c r="AO775" s="9"/>
      <c r="AU775" s="9"/>
      <c r="BA775" s="9"/>
    </row>
    <row r="776" spans="1:53" ht="12" customHeight="1" x14ac:dyDescent="0.15">
      <c r="A776" s="9"/>
      <c r="AN776" s="9"/>
      <c r="AO776" s="9"/>
      <c r="AU776" s="9"/>
      <c r="BA776" s="9"/>
    </row>
    <row r="777" spans="1:53" ht="12" customHeight="1" x14ac:dyDescent="0.15">
      <c r="A777" s="9"/>
      <c r="AN777" s="9"/>
      <c r="AO777" s="9"/>
      <c r="AU777" s="9"/>
      <c r="BA777" s="9"/>
    </row>
    <row r="778" spans="1:53" ht="12" customHeight="1" x14ac:dyDescent="0.15">
      <c r="A778" s="9"/>
      <c r="AN778" s="9"/>
      <c r="AO778" s="9"/>
      <c r="AU778" s="9"/>
      <c r="BA778" s="9"/>
    </row>
    <row r="779" spans="1:53" ht="12" customHeight="1" x14ac:dyDescent="0.15">
      <c r="A779" s="9"/>
      <c r="AN779" s="9"/>
      <c r="AO779" s="9"/>
      <c r="AU779" s="9"/>
      <c r="BA779" s="9"/>
    </row>
    <row r="780" spans="1:53" ht="12" customHeight="1" x14ac:dyDescent="0.15">
      <c r="A780" s="9"/>
      <c r="AN780" s="9"/>
      <c r="AO780" s="9"/>
      <c r="AU780" s="9"/>
      <c r="BA780" s="9"/>
    </row>
    <row r="781" spans="1:53" ht="12" customHeight="1" x14ac:dyDescent="0.15">
      <c r="A781" s="9"/>
      <c r="AN781" s="9"/>
      <c r="AO781" s="9"/>
      <c r="AU781" s="9"/>
      <c r="BA781" s="9"/>
    </row>
    <row r="782" spans="1:53" ht="12" customHeight="1" x14ac:dyDescent="0.15">
      <c r="A782" s="9"/>
      <c r="AN782" s="9"/>
      <c r="AO782" s="9"/>
      <c r="AU782" s="9"/>
      <c r="BA782" s="9"/>
    </row>
    <row r="783" spans="1:53" ht="12" customHeight="1" x14ac:dyDescent="0.15">
      <c r="A783" s="9"/>
      <c r="AN783" s="9"/>
      <c r="AO783" s="9"/>
      <c r="AU783" s="9"/>
      <c r="BA783" s="9"/>
    </row>
    <row r="784" spans="1:53" ht="12" customHeight="1" x14ac:dyDescent="0.15">
      <c r="A784" s="9"/>
      <c r="AN784" s="9"/>
      <c r="AO784" s="9"/>
      <c r="AU784" s="9"/>
      <c r="BA784" s="9"/>
    </row>
    <row r="785" spans="1:53" ht="12" customHeight="1" x14ac:dyDescent="0.15">
      <c r="A785" s="9"/>
      <c r="AN785" s="9"/>
      <c r="AO785" s="9"/>
      <c r="AU785" s="9"/>
      <c r="BA785" s="9"/>
    </row>
    <row r="786" spans="1:53" ht="12" customHeight="1" x14ac:dyDescent="0.15">
      <c r="A786" s="9"/>
      <c r="AN786" s="9"/>
      <c r="AO786" s="9"/>
      <c r="AU786" s="9"/>
      <c r="BA786" s="9"/>
    </row>
    <row r="787" spans="1:53" ht="12" customHeight="1" x14ac:dyDescent="0.15">
      <c r="A787" s="9"/>
      <c r="AN787" s="9"/>
      <c r="AO787" s="9"/>
      <c r="AU787" s="9"/>
      <c r="BA787" s="9"/>
    </row>
    <row r="788" spans="1:53" ht="12" customHeight="1" x14ac:dyDescent="0.15">
      <c r="A788" s="9"/>
      <c r="AN788" s="9"/>
      <c r="AO788" s="9"/>
      <c r="AU788" s="9"/>
      <c r="BA788" s="9"/>
    </row>
    <row r="789" spans="1:53" ht="12" customHeight="1" x14ac:dyDescent="0.15">
      <c r="A789" s="9"/>
      <c r="AN789" s="9"/>
      <c r="AO789" s="9"/>
      <c r="AU789" s="9"/>
      <c r="BA789" s="9"/>
    </row>
    <row r="790" spans="1:53" ht="12" customHeight="1" x14ac:dyDescent="0.15">
      <c r="A790" s="9"/>
      <c r="AN790" s="9"/>
      <c r="AO790" s="9"/>
      <c r="AU790" s="9"/>
      <c r="BA790" s="9"/>
    </row>
    <row r="791" spans="1:53" ht="12" customHeight="1" x14ac:dyDescent="0.15">
      <c r="A791" s="9"/>
      <c r="AN791" s="9"/>
      <c r="AO791" s="9"/>
      <c r="AU791" s="9"/>
      <c r="BA791" s="9"/>
    </row>
    <row r="792" spans="1:53" ht="12" customHeight="1" x14ac:dyDescent="0.15">
      <c r="A792" s="9"/>
      <c r="AN792" s="9"/>
      <c r="AO792" s="9"/>
      <c r="AU792" s="9"/>
      <c r="BA792" s="9"/>
    </row>
    <row r="793" spans="1:53" ht="12" customHeight="1" x14ac:dyDescent="0.15">
      <c r="A793" s="9"/>
      <c r="AN793" s="9"/>
      <c r="AO793" s="9"/>
      <c r="AU793" s="9"/>
      <c r="BA793" s="9"/>
    </row>
    <row r="794" spans="1:53" ht="12" customHeight="1" x14ac:dyDescent="0.15">
      <c r="A794" s="9"/>
      <c r="AN794" s="9"/>
      <c r="AO794" s="9"/>
      <c r="AU794" s="9"/>
      <c r="BA794" s="9"/>
    </row>
    <row r="795" spans="1:53" ht="12" customHeight="1" x14ac:dyDescent="0.15">
      <c r="A795" s="9"/>
      <c r="AN795" s="9"/>
      <c r="AO795" s="9"/>
      <c r="AU795" s="9"/>
      <c r="BA795" s="9"/>
    </row>
    <row r="796" spans="1:53" ht="12" customHeight="1" x14ac:dyDescent="0.15">
      <c r="A796" s="9"/>
      <c r="AN796" s="9"/>
      <c r="AO796" s="9"/>
      <c r="AU796" s="9"/>
      <c r="BA796" s="9"/>
    </row>
    <row r="797" spans="1:53" ht="12" customHeight="1" x14ac:dyDescent="0.15">
      <c r="A797" s="9"/>
      <c r="AN797" s="9"/>
      <c r="AO797" s="9"/>
      <c r="AU797" s="9"/>
      <c r="BA797" s="9"/>
    </row>
    <row r="798" spans="1:53" ht="12" customHeight="1" x14ac:dyDescent="0.15">
      <c r="A798" s="9"/>
      <c r="AN798" s="9"/>
      <c r="AO798" s="9"/>
      <c r="AU798" s="9"/>
      <c r="BA798" s="9"/>
    </row>
    <row r="799" spans="1:53" ht="12" customHeight="1" x14ac:dyDescent="0.15">
      <c r="A799" s="9"/>
      <c r="AN799" s="9"/>
      <c r="AO799" s="9"/>
      <c r="AU799" s="9"/>
      <c r="BA799" s="9"/>
    </row>
    <row r="800" spans="1:53" ht="12" customHeight="1" x14ac:dyDescent="0.15">
      <c r="A800" s="9"/>
      <c r="AN800" s="9"/>
      <c r="AO800" s="9"/>
      <c r="AU800" s="9"/>
      <c r="BA800" s="9"/>
    </row>
    <row r="801" spans="1:53" ht="12" customHeight="1" x14ac:dyDescent="0.15">
      <c r="A801" s="9"/>
      <c r="AN801" s="9"/>
      <c r="AO801" s="9"/>
      <c r="AU801" s="9"/>
      <c r="BA801" s="9"/>
    </row>
    <row r="802" spans="1:53" ht="12" customHeight="1" x14ac:dyDescent="0.15">
      <c r="A802" s="9"/>
      <c r="AN802" s="9"/>
      <c r="AO802" s="9"/>
      <c r="AU802" s="9"/>
      <c r="BA802" s="9"/>
    </row>
    <row r="803" spans="1:53" ht="12" customHeight="1" x14ac:dyDescent="0.15">
      <c r="A803" s="9"/>
      <c r="AN803" s="9"/>
      <c r="AO803" s="9"/>
      <c r="AU803" s="9"/>
      <c r="BA803" s="9"/>
    </row>
    <row r="804" spans="1:53" ht="12" customHeight="1" x14ac:dyDescent="0.15">
      <c r="A804" s="9"/>
      <c r="AN804" s="9"/>
      <c r="AO804" s="9"/>
      <c r="AU804" s="9"/>
      <c r="BA804" s="9"/>
    </row>
    <row r="805" spans="1:53" ht="12" customHeight="1" x14ac:dyDescent="0.15">
      <c r="A805" s="9"/>
      <c r="AN805" s="9"/>
      <c r="AO805" s="9"/>
      <c r="AU805" s="9"/>
      <c r="BA805" s="9"/>
    </row>
    <row r="806" spans="1:53" ht="12" customHeight="1" x14ac:dyDescent="0.15">
      <c r="A806" s="9"/>
      <c r="AN806" s="9"/>
      <c r="AO806" s="9"/>
      <c r="AU806" s="9"/>
      <c r="BA806" s="9"/>
    </row>
    <row r="807" spans="1:53" ht="12" customHeight="1" x14ac:dyDescent="0.15">
      <c r="A807" s="9"/>
      <c r="AN807" s="9"/>
      <c r="AO807" s="9"/>
      <c r="AU807" s="9"/>
      <c r="BA807" s="9"/>
    </row>
    <row r="808" spans="1:53" ht="12" customHeight="1" x14ac:dyDescent="0.15">
      <c r="A808" s="9"/>
      <c r="AN808" s="9"/>
      <c r="AO808" s="9"/>
      <c r="AU808" s="9"/>
      <c r="BA808" s="9"/>
    </row>
    <row r="809" spans="1:53" ht="12" customHeight="1" x14ac:dyDescent="0.15">
      <c r="A809" s="9"/>
      <c r="AN809" s="9"/>
      <c r="AO809" s="9"/>
      <c r="AU809" s="9"/>
      <c r="BA809" s="9"/>
    </row>
    <row r="810" spans="1:53" ht="12" customHeight="1" x14ac:dyDescent="0.15">
      <c r="A810" s="9"/>
      <c r="AN810" s="9"/>
      <c r="AO810" s="9"/>
      <c r="AU810" s="9"/>
      <c r="BA810" s="9"/>
    </row>
    <row r="811" spans="1:53" ht="12" customHeight="1" x14ac:dyDescent="0.15">
      <c r="A811" s="9"/>
      <c r="AN811" s="9"/>
      <c r="AO811" s="9"/>
      <c r="AU811" s="9"/>
      <c r="BA811" s="9"/>
    </row>
    <row r="812" spans="1:53" ht="12" customHeight="1" x14ac:dyDescent="0.15">
      <c r="A812" s="9"/>
      <c r="AN812" s="9"/>
      <c r="AO812" s="9"/>
      <c r="AU812" s="9"/>
      <c r="BA812" s="9"/>
    </row>
    <row r="813" spans="1:53" ht="12" customHeight="1" x14ac:dyDescent="0.15">
      <c r="A813" s="9"/>
      <c r="AN813" s="9"/>
      <c r="AO813" s="9"/>
      <c r="AU813" s="9"/>
      <c r="BA813" s="9"/>
    </row>
    <row r="814" spans="1:53" ht="12" customHeight="1" x14ac:dyDescent="0.15">
      <c r="A814" s="9"/>
      <c r="AN814" s="9"/>
      <c r="AO814" s="9"/>
      <c r="AU814" s="9"/>
      <c r="BA814" s="9"/>
    </row>
    <row r="815" spans="1:53" ht="12" customHeight="1" x14ac:dyDescent="0.15">
      <c r="A815" s="9"/>
      <c r="AN815" s="9"/>
      <c r="AO815" s="9"/>
      <c r="AU815" s="9"/>
      <c r="BA815" s="9"/>
    </row>
    <row r="816" spans="1:53" ht="12" customHeight="1" x14ac:dyDescent="0.15">
      <c r="A816" s="9"/>
      <c r="AN816" s="9"/>
      <c r="AO816" s="9"/>
      <c r="AU816" s="9"/>
      <c r="BA816" s="9"/>
    </row>
    <row r="817" spans="1:53" ht="12" customHeight="1" x14ac:dyDescent="0.15">
      <c r="A817" s="9"/>
      <c r="AN817" s="9"/>
      <c r="AO817" s="9"/>
      <c r="AU817" s="9"/>
      <c r="BA817" s="9"/>
    </row>
    <row r="818" spans="1:53" ht="12" customHeight="1" x14ac:dyDescent="0.15">
      <c r="A818" s="9"/>
      <c r="AN818" s="9"/>
      <c r="AO818" s="9"/>
      <c r="AU818" s="9"/>
      <c r="BA818" s="9"/>
    </row>
    <row r="819" spans="1:53" ht="12" customHeight="1" x14ac:dyDescent="0.15">
      <c r="A819" s="9"/>
      <c r="AN819" s="9"/>
      <c r="AO819" s="9"/>
      <c r="AU819" s="9"/>
      <c r="BA819" s="9"/>
    </row>
    <row r="820" spans="1:53" ht="12" customHeight="1" x14ac:dyDescent="0.15">
      <c r="A820" s="9"/>
      <c r="AN820" s="9"/>
      <c r="AO820" s="9"/>
      <c r="AU820" s="9"/>
      <c r="BA820" s="9"/>
    </row>
    <row r="821" spans="1:53" ht="12" customHeight="1" x14ac:dyDescent="0.15">
      <c r="A821" s="9"/>
      <c r="AN821" s="9"/>
      <c r="AO821" s="9"/>
      <c r="AU821" s="9"/>
      <c r="BA821" s="9"/>
    </row>
    <row r="822" spans="1:53" ht="12" customHeight="1" x14ac:dyDescent="0.15">
      <c r="A822" s="9"/>
      <c r="AN822" s="9"/>
      <c r="AO822" s="9"/>
      <c r="AU822" s="9"/>
      <c r="BA822" s="9"/>
    </row>
    <row r="823" spans="1:53" ht="12" customHeight="1" x14ac:dyDescent="0.15">
      <c r="A823" s="9"/>
      <c r="AN823" s="9"/>
      <c r="AO823" s="9"/>
      <c r="AU823" s="9"/>
      <c r="BA823" s="9"/>
    </row>
    <row r="824" spans="1:53" ht="12" customHeight="1" x14ac:dyDescent="0.15">
      <c r="A824" s="9"/>
      <c r="AN824" s="9"/>
      <c r="AO824" s="9"/>
      <c r="AU824" s="9"/>
      <c r="BA824" s="9"/>
    </row>
    <row r="825" spans="1:53" ht="12" customHeight="1" x14ac:dyDescent="0.15">
      <c r="A825" s="9"/>
      <c r="AN825" s="9"/>
      <c r="AO825" s="9"/>
      <c r="AU825" s="9"/>
      <c r="BA825" s="9"/>
    </row>
    <row r="826" spans="1:53" ht="12" customHeight="1" x14ac:dyDescent="0.15">
      <c r="A826" s="9"/>
      <c r="AN826" s="9"/>
      <c r="AO826" s="9"/>
      <c r="AU826" s="9"/>
      <c r="BA826" s="9"/>
    </row>
    <row r="827" spans="1:53" ht="12" customHeight="1" x14ac:dyDescent="0.15">
      <c r="A827" s="9"/>
      <c r="AN827" s="9"/>
      <c r="AO827" s="9"/>
      <c r="AU827" s="9"/>
      <c r="BA827" s="9"/>
    </row>
    <row r="828" spans="1:53" ht="12" customHeight="1" x14ac:dyDescent="0.15">
      <c r="A828" s="9"/>
      <c r="AN828" s="9"/>
      <c r="AO828" s="9"/>
      <c r="AU828" s="9"/>
      <c r="BA828" s="9"/>
    </row>
    <row r="829" spans="1:53" ht="12" customHeight="1" x14ac:dyDescent="0.15">
      <c r="A829" s="9"/>
      <c r="AN829" s="9"/>
      <c r="AO829" s="9"/>
      <c r="AU829" s="9"/>
      <c r="BA829" s="9"/>
    </row>
    <row r="830" spans="1:53" ht="12" customHeight="1" x14ac:dyDescent="0.15">
      <c r="A830" s="9"/>
      <c r="AN830" s="9"/>
      <c r="AO830" s="9"/>
      <c r="AU830" s="9"/>
      <c r="BA830" s="9"/>
    </row>
    <row r="831" spans="1:53" ht="12" customHeight="1" x14ac:dyDescent="0.15">
      <c r="A831" s="9"/>
      <c r="AN831" s="9"/>
      <c r="AO831" s="9"/>
      <c r="AU831" s="9"/>
      <c r="BA831" s="9"/>
    </row>
    <row r="832" spans="1:53" ht="12" customHeight="1" x14ac:dyDescent="0.15">
      <c r="A832" s="9"/>
      <c r="AN832" s="9"/>
      <c r="AO832" s="9"/>
      <c r="AU832" s="9"/>
      <c r="BA832" s="9"/>
    </row>
    <row r="833" spans="1:53" ht="12" customHeight="1" x14ac:dyDescent="0.15">
      <c r="A833" s="9"/>
      <c r="AN833" s="9"/>
      <c r="AO833" s="9"/>
      <c r="AU833" s="9"/>
      <c r="BA833" s="9"/>
    </row>
    <row r="834" spans="1:53" ht="12" customHeight="1" x14ac:dyDescent="0.15">
      <c r="A834" s="9"/>
      <c r="AN834" s="9"/>
      <c r="AO834" s="9"/>
      <c r="AU834" s="9"/>
      <c r="BA834" s="9"/>
    </row>
    <row r="835" spans="1:53" ht="12" customHeight="1" x14ac:dyDescent="0.15">
      <c r="A835" s="9"/>
      <c r="AN835" s="9"/>
      <c r="AO835" s="9"/>
      <c r="AU835" s="9"/>
      <c r="BA835" s="9"/>
    </row>
    <row r="836" spans="1:53" ht="12" customHeight="1" x14ac:dyDescent="0.15">
      <c r="A836" s="9"/>
      <c r="AN836" s="9"/>
      <c r="AO836" s="9"/>
      <c r="AU836" s="9"/>
      <c r="BA836" s="9"/>
    </row>
    <row r="837" spans="1:53" ht="12" customHeight="1" x14ac:dyDescent="0.15">
      <c r="A837" s="9"/>
      <c r="AN837" s="9"/>
      <c r="AO837" s="9"/>
      <c r="AU837" s="9"/>
      <c r="BA837" s="9"/>
    </row>
    <row r="838" spans="1:53" ht="12" customHeight="1" x14ac:dyDescent="0.15">
      <c r="A838" s="9"/>
      <c r="AN838" s="9"/>
      <c r="AO838" s="9"/>
      <c r="AU838" s="9"/>
      <c r="BA838" s="9"/>
    </row>
    <row r="839" spans="1:53" ht="12" customHeight="1" x14ac:dyDescent="0.15">
      <c r="A839" s="9"/>
      <c r="AN839" s="9"/>
      <c r="AO839" s="9"/>
      <c r="AU839" s="9"/>
      <c r="BA839" s="9"/>
    </row>
    <row r="840" spans="1:53" ht="12" customHeight="1" x14ac:dyDescent="0.15">
      <c r="A840" s="9"/>
      <c r="AN840" s="9"/>
      <c r="AO840" s="9"/>
      <c r="AU840" s="9"/>
      <c r="BA840" s="9"/>
    </row>
    <row r="841" spans="1:53" ht="12" customHeight="1" x14ac:dyDescent="0.15">
      <c r="A841" s="9"/>
      <c r="AN841" s="9"/>
      <c r="AO841" s="9"/>
      <c r="AU841" s="9"/>
      <c r="BA841" s="9"/>
    </row>
    <row r="842" spans="1:53" ht="12" customHeight="1" x14ac:dyDescent="0.15">
      <c r="A842" s="9"/>
      <c r="AN842" s="9"/>
      <c r="AO842" s="9"/>
      <c r="AU842" s="9"/>
      <c r="BA842" s="9"/>
    </row>
    <row r="843" spans="1:53" ht="12" customHeight="1" x14ac:dyDescent="0.15">
      <c r="A843" s="9"/>
      <c r="AN843" s="9"/>
      <c r="AO843" s="9"/>
      <c r="AU843" s="9"/>
      <c r="BA843" s="9"/>
    </row>
    <row r="844" spans="1:53" ht="12" customHeight="1" x14ac:dyDescent="0.15">
      <c r="A844" s="9"/>
      <c r="AN844" s="9"/>
      <c r="AO844" s="9"/>
      <c r="AU844" s="9"/>
      <c r="BA844" s="9"/>
    </row>
    <row r="845" spans="1:53" ht="12" customHeight="1" x14ac:dyDescent="0.15">
      <c r="A845" s="9"/>
      <c r="AN845" s="9"/>
      <c r="AO845" s="9"/>
      <c r="AU845" s="9"/>
      <c r="BA845" s="9"/>
    </row>
    <row r="846" spans="1:53" ht="12" customHeight="1" x14ac:dyDescent="0.15">
      <c r="A846" s="9"/>
      <c r="AN846" s="9"/>
      <c r="AO846" s="9"/>
      <c r="AU846" s="9"/>
      <c r="BA846" s="9"/>
    </row>
    <row r="847" spans="1:53" ht="12" customHeight="1" x14ac:dyDescent="0.15">
      <c r="A847" s="9"/>
      <c r="AN847" s="9"/>
      <c r="AO847" s="9"/>
      <c r="AU847" s="9"/>
      <c r="BA847" s="9"/>
    </row>
    <row r="848" spans="1:53" ht="12" customHeight="1" x14ac:dyDescent="0.15">
      <c r="A848" s="9"/>
      <c r="AN848" s="9"/>
      <c r="AO848" s="9"/>
      <c r="AU848" s="9"/>
      <c r="BA848" s="9"/>
    </row>
    <row r="849" spans="1:53" ht="12" customHeight="1" x14ac:dyDescent="0.15">
      <c r="A849" s="9"/>
      <c r="AN849" s="9"/>
      <c r="AO849" s="9"/>
      <c r="AU849" s="9"/>
      <c r="BA849" s="9"/>
    </row>
    <row r="850" spans="1:53" ht="12" customHeight="1" x14ac:dyDescent="0.15">
      <c r="A850" s="9"/>
      <c r="AN850" s="9"/>
      <c r="AO850" s="9"/>
      <c r="AU850" s="9"/>
      <c r="BA850" s="9"/>
    </row>
    <row r="851" spans="1:53" ht="12" customHeight="1" x14ac:dyDescent="0.15">
      <c r="A851" s="9"/>
      <c r="AN851" s="9"/>
      <c r="AO851" s="9"/>
      <c r="AU851" s="9"/>
      <c r="BA851" s="9"/>
    </row>
    <row r="852" spans="1:53" ht="12" customHeight="1" x14ac:dyDescent="0.15">
      <c r="A852" s="9"/>
      <c r="AN852" s="9"/>
      <c r="AO852" s="9"/>
      <c r="AU852" s="9"/>
      <c r="BA852" s="9"/>
    </row>
    <row r="853" spans="1:53" ht="12" customHeight="1" x14ac:dyDescent="0.15">
      <c r="A853" s="9"/>
      <c r="AN853" s="9"/>
      <c r="AO853" s="9"/>
      <c r="AU853" s="9"/>
      <c r="BA853" s="9"/>
    </row>
    <row r="854" spans="1:53" ht="12" customHeight="1" x14ac:dyDescent="0.15">
      <c r="A854" s="9"/>
      <c r="AN854" s="9"/>
      <c r="AO854" s="9"/>
      <c r="AU854" s="9"/>
      <c r="BA854" s="9"/>
    </row>
    <row r="855" spans="1:53" ht="12" customHeight="1" x14ac:dyDescent="0.15">
      <c r="A855" s="9"/>
      <c r="AN855" s="9"/>
      <c r="AO855" s="9"/>
      <c r="AU855" s="9"/>
      <c r="BA855" s="9"/>
    </row>
    <row r="856" spans="1:53" ht="12" customHeight="1" x14ac:dyDescent="0.15">
      <c r="A856" s="9"/>
      <c r="AN856" s="9"/>
      <c r="AO856" s="9"/>
      <c r="AU856" s="9"/>
      <c r="BA856" s="9"/>
    </row>
    <row r="857" spans="1:53" ht="12" customHeight="1" x14ac:dyDescent="0.15">
      <c r="A857" s="9"/>
      <c r="AN857" s="9"/>
      <c r="AO857" s="9"/>
      <c r="AU857" s="9"/>
      <c r="BA857" s="9"/>
    </row>
    <row r="858" spans="1:53" ht="12" customHeight="1" x14ac:dyDescent="0.15">
      <c r="A858" s="9"/>
      <c r="AN858" s="9"/>
      <c r="AO858" s="9"/>
      <c r="AU858" s="9"/>
      <c r="BA858" s="9"/>
    </row>
    <row r="859" spans="1:53" ht="12" customHeight="1" x14ac:dyDescent="0.15">
      <c r="A859" s="9"/>
      <c r="AN859" s="9"/>
      <c r="AO859" s="9"/>
      <c r="AU859" s="9"/>
      <c r="BA859" s="9"/>
    </row>
    <row r="860" spans="1:53" ht="12" customHeight="1" x14ac:dyDescent="0.15">
      <c r="A860" s="9"/>
      <c r="AN860" s="9"/>
      <c r="AO860" s="9"/>
      <c r="AU860" s="9"/>
      <c r="BA860" s="9"/>
    </row>
    <row r="861" spans="1:53" ht="12" customHeight="1" x14ac:dyDescent="0.15">
      <c r="A861" s="9"/>
      <c r="AN861" s="9"/>
      <c r="AO861" s="9"/>
      <c r="AU861" s="9"/>
      <c r="BA861" s="9"/>
    </row>
    <row r="862" spans="1:53" ht="12" customHeight="1" x14ac:dyDescent="0.15">
      <c r="A862" s="9"/>
      <c r="AN862" s="9"/>
      <c r="AO862" s="9"/>
      <c r="AU862" s="9"/>
      <c r="BA862" s="9"/>
    </row>
    <row r="863" spans="1:53" ht="12" customHeight="1" x14ac:dyDescent="0.15">
      <c r="A863" s="9"/>
      <c r="AN863" s="9"/>
      <c r="AO863" s="9"/>
      <c r="AU863" s="9"/>
      <c r="BA863" s="9"/>
    </row>
    <row r="864" spans="1:53" ht="12" customHeight="1" x14ac:dyDescent="0.15">
      <c r="A864" s="9"/>
      <c r="AN864" s="9"/>
      <c r="AO864" s="9"/>
      <c r="AU864" s="9"/>
      <c r="BA864" s="9"/>
    </row>
    <row r="865" spans="1:53" ht="12" customHeight="1" x14ac:dyDescent="0.15">
      <c r="A865" s="9"/>
      <c r="AN865" s="9"/>
      <c r="AO865" s="9"/>
      <c r="AU865" s="9"/>
      <c r="BA865" s="9"/>
    </row>
    <row r="866" spans="1:53" ht="12" customHeight="1" x14ac:dyDescent="0.15">
      <c r="A866" s="9"/>
      <c r="AN866" s="9"/>
      <c r="AO866" s="9"/>
      <c r="AU866" s="9"/>
      <c r="BA866" s="9"/>
    </row>
    <row r="867" spans="1:53" ht="12" customHeight="1" x14ac:dyDescent="0.15">
      <c r="A867" s="9"/>
      <c r="AN867" s="9"/>
      <c r="AO867" s="9"/>
      <c r="AU867" s="9"/>
      <c r="BA867" s="9"/>
    </row>
    <row r="868" spans="1:53" ht="12" customHeight="1" x14ac:dyDescent="0.15">
      <c r="A868" s="9"/>
      <c r="AN868" s="9"/>
      <c r="AO868" s="9"/>
      <c r="AU868" s="9"/>
      <c r="BA868" s="9"/>
    </row>
    <row r="869" spans="1:53" ht="12" customHeight="1" x14ac:dyDescent="0.15">
      <c r="A869" s="9"/>
      <c r="AN869" s="9"/>
      <c r="AO869" s="9"/>
      <c r="AU869" s="9"/>
      <c r="BA869" s="9"/>
    </row>
    <row r="870" spans="1:53" ht="12" customHeight="1" x14ac:dyDescent="0.15">
      <c r="A870" s="9"/>
      <c r="AN870" s="9"/>
      <c r="AO870" s="9"/>
      <c r="AU870" s="9"/>
      <c r="BA870" s="9"/>
    </row>
    <row r="871" spans="1:53" ht="12" customHeight="1" x14ac:dyDescent="0.15">
      <c r="A871" s="9"/>
      <c r="AN871" s="9"/>
      <c r="AO871" s="9"/>
      <c r="AU871" s="9"/>
      <c r="BA871" s="9"/>
    </row>
    <row r="872" spans="1:53" ht="12" customHeight="1" x14ac:dyDescent="0.15">
      <c r="A872" s="9"/>
      <c r="AN872" s="9"/>
      <c r="AO872" s="9"/>
      <c r="AU872" s="9"/>
      <c r="BA872" s="9"/>
    </row>
    <row r="873" spans="1:53" ht="12" customHeight="1" x14ac:dyDescent="0.15">
      <c r="A873" s="9"/>
      <c r="AN873" s="9"/>
      <c r="AO873" s="9"/>
      <c r="AU873" s="9"/>
      <c r="BA873" s="9"/>
    </row>
    <row r="874" spans="1:53" ht="12" customHeight="1" x14ac:dyDescent="0.15">
      <c r="A874" s="9"/>
      <c r="AN874" s="9"/>
      <c r="AO874" s="9"/>
      <c r="AU874" s="9"/>
      <c r="BA874" s="9"/>
    </row>
    <row r="875" spans="1:53" ht="12" customHeight="1" x14ac:dyDescent="0.15">
      <c r="A875" s="9"/>
      <c r="AN875" s="9"/>
      <c r="AO875" s="9"/>
      <c r="AU875" s="9"/>
      <c r="BA875" s="9"/>
    </row>
    <row r="876" spans="1:53" ht="12" customHeight="1" x14ac:dyDescent="0.15">
      <c r="A876" s="9"/>
      <c r="AN876" s="9"/>
      <c r="AO876" s="9"/>
      <c r="AU876" s="9"/>
      <c r="BA876" s="9"/>
    </row>
    <row r="877" spans="1:53" ht="12" customHeight="1" x14ac:dyDescent="0.15">
      <c r="A877" s="9"/>
      <c r="AN877" s="9"/>
      <c r="AO877" s="9"/>
      <c r="AU877" s="9"/>
      <c r="BA877" s="9"/>
    </row>
    <row r="878" spans="1:53" ht="12" customHeight="1" x14ac:dyDescent="0.15">
      <c r="A878" s="9"/>
      <c r="AN878" s="9"/>
      <c r="AO878" s="9"/>
      <c r="AU878" s="9"/>
      <c r="BA878" s="9"/>
    </row>
    <row r="879" spans="1:53" ht="12" customHeight="1" x14ac:dyDescent="0.15">
      <c r="A879" s="9"/>
      <c r="AN879" s="9"/>
      <c r="AO879" s="9"/>
      <c r="AU879" s="9"/>
      <c r="BA879" s="9"/>
    </row>
    <row r="880" spans="1:53" ht="12" customHeight="1" x14ac:dyDescent="0.15">
      <c r="A880" s="9"/>
      <c r="AN880" s="9"/>
      <c r="AO880" s="9"/>
      <c r="AU880" s="9"/>
      <c r="BA880" s="9"/>
    </row>
    <row r="881" spans="1:53" ht="12" customHeight="1" x14ac:dyDescent="0.15">
      <c r="A881" s="9"/>
      <c r="AN881" s="9"/>
      <c r="AO881" s="9"/>
      <c r="AU881" s="9"/>
      <c r="BA881" s="9"/>
    </row>
    <row r="882" spans="1:53" ht="12" customHeight="1" x14ac:dyDescent="0.15">
      <c r="A882" s="9"/>
      <c r="AN882" s="9"/>
      <c r="AO882" s="9"/>
      <c r="AU882" s="9"/>
      <c r="BA882" s="9"/>
    </row>
    <row r="883" spans="1:53" ht="12" customHeight="1" x14ac:dyDescent="0.15">
      <c r="A883" s="9"/>
      <c r="AN883" s="9"/>
      <c r="AO883" s="9"/>
      <c r="AU883" s="9"/>
      <c r="BA883" s="9"/>
    </row>
    <row r="884" spans="1:53" ht="12" customHeight="1" x14ac:dyDescent="0.15">
      <c r="A884" s="9"/>
      <c r="AN884" s="9"/>
      <c r="AO884" s="9"/>
      <c r="AU884" s="9"/>
      <c r="BA884" s="9"/>
    </row>
    <row r="885" spans="1:53" ht="12" customHeight="1" x14ac:dyDescent="0.15">
      <c r="A885" s="9"/>
      <c r="AN885" s="9"/>
      <c r="AO885" s="9"/>
      <c r="AU885" s="9"/>
      <c r="BA885" s="9"/>
    </row>
    <row r="886" spans="1:53" ht="12" customHeight="1" x14ac:dyDescent="0.15">
      <c r="A886" s="9"/>
      <c r="AN886" s="9"/>
      <c r="AO886" s="9"/>
      <c r="AU886" s="9"/>
      <c r="BA886" s="9"/>
    </row>
    <row r="887" spans="1:53" ht="12" customHeight="1" x14ac:dyDescent="0.15">
      <c r="A887" s="9"/>
      <c r="AN887" s="9"/>
      <c r="AO887" s="9"/>
      <c r="AU887" s="9"/>
      <c r="BA887" s="9"/>
    </row>
    <row r="888" spans="1:53" ht="12" customHeight="1" x14ac:dyDescent="0.15">
      <c r="A888" s="9"/>
      <c r="AN888" s="9"/>
      <c r="AO888" s="9"/>
      <c r="AU888" s="9"/>
      <c r="BA888" s="9"/>
    </row>
    <row r="889" spans="1:53" ht="12" customHeight="1" x14ac:dyDescent="0.15">
      <c r="A889" s="9"/>
      <c r="AN889" s="9"/>
      <c r="AO889" s="9"/>
      <c r="AU889" s="9"/>
      <c r="BA889" s="9"/>
    </row>
    <row r="890" spans="1:53" ht="12" customHeight="1" x14ac:dyDescent="0.15">
      <c r="A890" s="9"/>
      <c r="AN890" s="9"/>
      <c r="AO890" s="9"/>
      <c r="AU890" s="9"/>
      <c r="BA890" s="9"/>
    </row>
    <row r="891" spans="1:53" ht="12" customHeight="1" x14ac:dyDescent="0.15">
      <c r="A891" s="9"/>
      <c r="AN891" s="9"/>
      <c r="AO891" s="9"/>
      <c r="AU891" s="9"/>
      <c r="BA891" s="9"/>
    </row>
    <row r="892" spans="1:53" ht="12" customHeight="1" x14ac:dyDescent="0.15">
      <c r="A892" s="9"/>
      <c r="AN892" s="9"/>
      <c r="AO892" s="9"/>
      <c r="AU892" s="9"/>
      <c r="BA892" s="9"/>
    </row>
    <row r="893" spans="1:53" ht="12" customHeight="1" x14ac:dyDescent="0.15">
      <c r="A893" s="9"/>
      <c r="AN893" s="9"/>
      <c r="AO893" s="9"/>
      <c r="AU893" s="9"/>
      <c r="BA893" s="9"/>
    </row>
    <row r="894" spans="1:53" ht="12" customHeight="1" x14ac:dyDescent="0.15">
      <c r="A894" s="9"/>
      <c r="AN894" s="9"/>
      <c r="AO894" s="9"/>
      <c r="AU894" s="9"/>
      <c r="BA894" s="9"/>
    </row>
    <row r="895" spans="1:53" ht="12" customHeight="1" x14ac:dyDescent="0.15">
      <c r="A895" s="9"/>
      <c r="AN895" s="9"/>
      <c r="AO895" s="9"/>
      <c r="AU895" s="9"/>
      <c r="BA895" s="9"/>
    </row>
    <row r="896" spans="1:53" ht="12" customHeight="1" x14ac:dyDescent="0.15">
      <c r="A896" s="9"/>
      <c r="AN896" s="9"/>
      <c r="AO896" s="9"/>
      <c r="AU896" s="9"/>
      <c r="BA896" s="9"/>
    </row>
    <row r="897" spans="1:53" ht="12" customHeight="1" x14ac:dyDescent="0.15">
      <c r="A897" s="9"/>
      <c r="AN897" s="9"/>
      <c r="AO897" s="9"/>
      <c r="AU897" s="9"/>
      <c r="BA897" s="9"/>
    </row>
    <row r="898" spans="1:53" ht="12" customHeight="1" x14ac:dyDescent="0.15">
      <c r="A898" s="9"/>
      <c r="AN898" s="9"/>
      <c r="AO898" s="9"/>
      <c r="AU898" s="9"/>
      <c r="BA898" s="9"/>
    </row>
    <row r="899" spans="1:53" ht="12" customHeight="1" x14ac:dyDescent="0.15">
      <c r="A899" s="9"/>
      <c r="AN899" s="9"/>
      <c r="AO899" s="9"/>
      <c r="AU899" s="9"/>
      <c r="BA899" s="9"/>
    </row>
    <row r="900" spans="1:53" ht="12" customHeight="1" x14ac:dyDescent="0.15">
      <c r="A900" s="9"/>
      <c r="AN900" s="9"/>
      <c r="AO900" s="9"/>
      <c r="AU900" s="9"/>
      <c r="BA900" s="9"/>
    </row>
    <row r="901" spans="1:53" ht="12" customHeight="1" x14ac:dyDescent="0.15">
      <c r="A901" s="9"/>
      <c r="AN901" s="9"/>
      <c r="AO901" s="9"/>
      <c r="AU901" s="9"/>
      <c r="BA901" s="9"/>
    </row>
    <row r="902" spans="1:53" ht="12" customHeight="1" x14ac:dyDescent="0.15">
      <c r="A902" s="9"/>
      <c r="AN902" s="9"/>
      <c r="AO902" s="9"/>
      <c r="AU902" s="9"/>
      <c r="BA902" s="9"/>
    </row>
    <row r="903" spans="1:53" ht="12" customHeight="1" x14ac:dyDescent="0.15">
      <c r="A903" s="9"/>
      <c r="AN903" s="9"/>
      <c r="AO903" s="9"/>
      <c r="AU903" s="9"/>
      <c r="BA903" s="9"/>
    </row>
    <row r="904" spans="1:53" ht="12" customHeight="1" x14ac:dyDescent="0.15">
      <c r="A904" s="9"/>
      <c r="AN904" s="9"/>
      <c r="AO904" s="9"/>
      <c r="AU904" s="9"/>
      <c r="BA904" s="9"/>
    </row>
    <row r="905" spans="1:53" ht="12" customHeight="1" x14ac:dyDescent="0.15">
      <c r="A905" s="9"/>
      <c r="AN905" s="9"/>
      <c r="AO905" s="9"/>
      <c r="AU905" s="9"/>
      <c r="BA905" s="9"/>
    </row>
    <row r="906" spans="1:53" ht="12" customHeight="1" x14ac:dyDescent="0.15">
      <c r="A906" s="9"/>
      <c r="AN906" s="9"/>
      <c r="AO906" s="9"/>
      <c r="AU906" s="9"/>
      <c r="BA906" s="9"/>
    </row>
    <row r="907" spans="1:53" ht="12" customHeight="1" x14ac:dyDescent="0.15">
      <c r="A907" s="9"/>
      <c r="AN907" s="9"/>
      <c r="AO907" s="9"/>
      <c r="AU907" s="9"/>
      <c r="BA907" s="9"/>
    </row>
    <row r="908" spans="1:53" ht="12" customHeight="1" x14ac:dyDescent="0.15">
      <c r="A908" s="9"/>
      <c r="AN908" s="9"/>
      <c r="AO908" s="9"/>
      <c r="AU908" s="9"/>
      <c r="BA908" s="9"/>
    </row>
    <row r="909" spans="1:53" ht="12" customHeight="1" x14ac:dyDescent="0.15">
      <c r="A909" s="9"/>
      <c r="AN909" s="9"/>
      <c r="AO909" s="9"/>
      <c r="AU909" s="9"/>
      <c r="BA909" s="9"/>
    </row>
    <row r="910" spans="1:53" ht="12" customHeight="1" x14ac:dyDescent="0.15">
      <c r="A910" s="9"/>
      <c r="AN910" s="9"/>
      <c r="AO910" s="9"/>
      <c r="AU910" s="9"/>
      <c r="BA910" s="9"/>
    </row>
    <row r="911" spans="1:53" ht="12" customHeight="1" x14ac:dyDescent="0.15">
      <c r="A911" s="9"/>
      <c r="AN911" s="9"/>
      <c r="AO911" s="9"/>
      <c r="AU911" s="9"/>
      <c r="BA911" s="9"/>
    </row>
    <row r="912" spans="1:53" ht="12" customHeight="1" x14ac:dyDescent="0.15">
      <c r="A912" s="9"/>
      <c r="AN912" s="9"/>
      <c r="AO912" s="9"/>
      <c r="AU912" s="9"/>
      <c r="BA912" s="9"/>
    </row>
    <row r="913" spans="1:53" ht="12" customHeight="1" x14ac:dyDescent="0.15">
      <c r="A913" s="9"/>
      <c r="AN913" s="9"/>
      <c r="AO913" s="9"/>
      <c r="AU913" s="9"/>
      <c r="BA913" s="9"/>
    </row>
    <row r="914" spans="1:53" ht="12" customHeight="1" x14ac:dyDescent="0.15">
      <c r="A914" s="9"/>
      <c r="AN914" s="9"/>
      <c r="AO914" s="9"/>
      <c r="AU914" s="9"/>
      <c r="BA914" s="9"/>
    </row>
    <row r="915" spans="1:53" ht="12" customHeight="1" x14ac:dyDescent="0.15">
      <c r="A915" s="9"/>
      <c r="AN915" s="9"/>
      <c r="AO915" s="9"/>
      <c r="AU915" s="9"/>
      <c r="BA915" s="9"/>
    </row>
    <row r="916" spans="1:53" ht="12" customHeight="1" x14ac:dyDescent="0.15">
      <c r="A916" s="9"/>
      <c r="AN916" s="9"/>
      <c r="AO916" s="9"/>
      <c r="AU916" s="9"/>
      <c r="BA916" s="9"/>
    </row>
    <row r="917" spans="1:53" ht="12" customHeight="1" x14ac:dyDescent="0.15">
      <c r="A917" s="9"/>
      <c r="AN917" s="9"/>
      <c r="AO917" s="9"/>
      <c r="AU917" s="9"/>
      <c r="BA917" s="9"/>
    </row>
    <row r="918" spans="1:53" ht="12" customHeight="1" x14ac:dyDescent="0.15">
      <c r="A918" s="9"/>
      <c r="AN918" s="9"/>
      <c r="AO918" s="9"/>
      <c r="AU918" s="9"/>
      <c r="BA918" s="9"/>
    </row>
    <row r="919" spans="1:53" ht="12" customHeight="1" x14ac:dyDescent="0.15">
      <c r="A919" s="9"/>
      <c r="AN919" s="9"/>
      <c r="AO919" s="9"/>
      <c r="AU919" s="9"/>
      <c r="BA919" s="9"/>
    </row>
    <row r="920" spans="1:53" ht="12" customHeight="1" x14ac:dyDescent="0.15">
      <c r="A920" s="9"/>
      <c r="AN920" s="9"/>
      <c r="AO920" s="9"/>
      <c r="AU920" s="9"/>
      <c r="BA920" s="9"/>
    </row>
    <row r="921" spans="1:53" ht="12" customHeight="1" x14ac:dyDescent="0.15">
      <c r="A921" s="9"/>
      <c r="AN921" s="9"/>
      <c r="AO921" s="9"/>
      <c r="AU921" s="9"/>
      <c r="BA921" s="9"/>
    </row>
    <row r="922" spans="1:53" ht="12" customHeight="1" x14ac:dyDescent="0.15">
      <c r="A922" s="9"/>
      <c r="AN922" s="9"/>
      <c r="AO922" s="9"/>
      <c r="AU922" s="9"/>
      <c r="BA922" s="9"/>
    </row>
    <row r="923" spans="1:53" ht="12" customHeight="1" x14ac:dyDescent="0.15">
      <c r="A923" s="9"/>
      <c r="AN923" s="9"/>
      <c r="AO923" s="9"/>
      <c r="AU923" s="9"/>
      <c r="BA923" s="9"/>
    </row>
    <row r="924" spans="1:53" ht="12" customHeight="1" x14ac:dyDescent="0.15">
      <c r="A924" s="9"/>
      <c r="AN924" s="9"/>
      <c r="AO924" s="9"/>
      <c r="AU924" s="9"/>
      <c r="BA924" s="9"/>
    </row>
    <row r="925" spans="1:53" ht="12" customHeight="1" x14ac:dyDescent="0.15">
      <c r="A925" s="9"/>
      <c r="AN925" s="9"/>
      <c r="AO925" s="9"/>
      <c r="AU925" s="9"/>
      <c r="BA925" s="9"/>
    </row>
    <row r="926" spans="1:53" ht="12" customHeight="1" x14ac:dyDescent="0.15">
      <c r="A926" s="9"/>
      <c r="AN926" s="9"/>
      <c r="AO926" s="9"/>
      <c r="AU926" s="9"/>
      <c r="BA926" s="9"/>
    </row>
    <row r="927" spans="1:53" ht="12" customHeight="1" x14ac:dyDescent="0.15">
      <c r="A927" s="9"/>
      <c r="AN927" s="9"/>
      <c r="AO927" s="9"/>
      <c r="AU927" s="9"/>
      <c r="BA927" s="9"/>
    </row>
    <row r="928" spans="1:53" ht="12" customHeight="1" x14ac:dyDescent="0.15">
      <c r="A928" s="9"/>
      <c r="AN928" s="9"/>
      <c r="AO928" s="9"/>
      <c r="AU928" s="9"/>
      <c r="BA928" s="9"/>
    </row>
    <row r="929" spans="1:53" ht="12" customHeight="1" x14ac:dyDescent="0.15">
      <c r="A929" s="9"/>
      <c r="AN929" s="9"/>
      <c r="AO929" s="9"/>
      <c r="AU929" s="9"/>
      <c r="BA929" s="9"/>
    </row>
    <row r="930" spans="1:53" ht="12" customHeight="1" x14ac:dyDescent="0.15">
      <c r="A930" s="9"/>
      <c r="AN930" s="9"/>
      <c r="AO930" s="9"/>
      <c r="AU930" s="9"/>
      <c r="BA930" s="9"/>
    </row>
    <row r="931" spans="1:53" ht="12" customHeight="1" x14ac:dyDescent="0.15">
      <c r="A931" s="9"/>
      <c r="AN931" s="9"/>
      <c r="AO931" s="9"/>
      <c r="AU931" s="9"/>
      <c r="BA931" s="9"/>
    </row>
    <row r="932" spans="1:53" ht="12" customHeight="1" x14ac:dyDescent="0.15">
      <c r="A932" s="9"/>
      <c r="AN932" s="9"/>
      <c r="AO932" s="9"/>
      <c r="AU932" s="9"/>
      <c r="BA932" s="9"/>
    </row>
    <row r="933" spans="1:53" ht="12" customHeight="1" x14ac:dyDescent="0.15">
      <c r="A933" s="9"/>
      <c r="AN933" s="9"/>
      <c r="AO933" s="9"/>
      <c r="AU933" s="9"/>
      <c r="BA933" s="9"/>
    </row>
    <row r="934" spans="1:53" ht="12" customHeight="1" x14ac:dyDescent="0.15">
      <c r="A934" s="9"/>
      <c r="AN934" s="9"/>
      <c r="AO934" s="9"/>
      <c r="AU934" s="9"/>
      <c r="BA934" s="9"/>
    </row>
    <row r="935" spans="1:53" ht="12" customHeight="1" x14ac:dyDescent="0.15">
      <c r="A935" s="9"/>
      <c r="AN935" s="9"/>
      <c r="AO935" s="9"/>
      <c r="AU935" s="9"/>
      <c r="BA935" s="9"/>
    </row>
    <row r="936" spans="1:53" ht="12" customHeight="1" x14ac:dyDescent="0.15">
      <c r="A936" s="9"/>
      <c r="AN936" s="9"/>
      <c r="AO936" s="9"/>
      <c r="AU936" s="9"/>
      <c r="BA936" s="9"/>
    </row>
    <row r="937" spans="1:53" ht="12" customHeight="1" x14ac:dyDescent="0.15">
      <c r="A937" s="9"/>
      <c r="AN937" s="9"/>
      <c r="AO937" s="9"/>
      <c r="AU937" s="9"/>
      <c r="BA937" s="9"/>
    </row>
    <row r="938" spans="1:53" ht="12" customHeight="1" x14ac:dyDescent="0.15">
      <c r="A938" s="9"/>
      <c r="AN938" s="9"/>
      <c r="AO938" s="9"/>
      <c r="AU938" s="9"/>
      <c r="BA938" s="9"/>
    </row>
    <row r="939" spans="1:53" ht="12" customHeight="1" x14ac:dyDescent="0.15">
      <c r="A939" s="9"/>
      <c r="AN939" s="9"/>
      <c r="AO939" s="9"/>
      <c r="AU939" s="9"/>
      <c r="BA939" s="9"/>
    </row>
    <row r="940" spans="1:53" ht="12" customHeight="1" x14ac:dyDescent="0.15">
      <c r="A940" s="9"/>
      <c r="AN940" s="9"/>
      <c r="AO940" s="9"/>
      <c r="AU940" s="9"/>
      <c r="BA940" s="9"/>
    </row>
    <row r="941" spans="1:53" ht="12" customHeight="1" x14ac:dyDescent="0.15">
      <c r="A941" s="9"/>
      <c r="AN941" s="9"/>
      <c r="AO941" s="9"/>
      <c r="AU941" s="9"/>
      <c r="BA941" s="9"/>
    </row>
    <row r="942" spans="1:53" ht="12" customHeight="1" x14ac:dyDescent="0.15">
      <c r="A942" s="9"/>
      <c r="AN942" s="9"/>
      <c r="AO942" s="9"/>
      <c r="AU942" s="9"/>
      <c r="BA942" s="9"/>
    </row>
    <row r="943" spans="1:53" ht="12" customHeight="1" x14ac:dyDescent="0.15">
      <c r="A943" s="9"/>
      <c r="AN943" s="9"/>
      <c r="AO943" s="9"/>
      <c r="AU943" s="9"/>
      <c r="BA943" s="9"/>
    </row>
    <row r="944" spans="1:53" ht="12" customHeight="1" x14ac:dyDescent="0.15">
      <c r="A944" s="9"/>
      <c r="AN944" s="9"/>
      <c r="AO944" s="9"/>
      <c r="AU944" s="9"/>
      <c r="BA944" s="9"/>
    </row>
    <row r="945" spans="1:53" ht="12" customHeight="1" x14ac:dyDescent="0.15">
      <c r="A945" s="9"/>
      <c r="AN945" s="9"/>
      <c r="AO945" s="9"/>
      <c r="AU945" s="9"/>
      <c r="BA945" s="9"/>
    </row>
    <row r="946" spans="1:53" ht="12" customHeight="1" x14ac:dyDescent="0.15">
      <c r="A946" s="9"/>
      <c r="AN946" s="9"/>
      <c r="AO946" s="9"/>
      <c r="AU946" s="9"/>
      <c r="BA946" s="9"/>
    </row>
    <row r="947" spans="1:53" ht="12" customHeight="1" x14ac:dyDescent="0.15">
      <c r="A947" s="9"/>
      <c r="AN947" s="9"/>
      <c r="AO947" s="9"/>
      <c r="AU947" s="9"/>
      <c r="BA947" s="9"/>
    </row>
    <row r="948" spans="1:53" ht="12" customHeight="1" x14ac:dyDescent="0.15">
      <c r="A948" s="9"/>
      <c r="AN948" s="9"/>
      <c r="AO948" s="9"/>
      <c r="AU948" s="9"/>
      <c r="BA948" s="9"/>
    </row>
    <row r="949" spans="1:53" ht="12" customHeight="1" x14ac:dyDescent="0.15">
      <c r="A949" s="9"/>
      <c r="AN949" s="9"/>
      <c r="AO949" s="9"/>
      <c r="AU949" s="9"/>
      <c r="BA949" s="9"/>
    </row>
    <row r="950" spans="1:53" ht="12" customHeight="1" x14ac:dyDescent="0.15">
      <c r="A950" s="9"/>
      <c r="AN950" s="9"/>
      <c r="AO950" s="9"/>
      <c r="AU950" s="9"/>
      <c r="BA950" s="9"/>
    </row>
    <row r="951" spans="1:53" ht="12" customHeight="1" x14ac:dyDescent="0.15">
      <c r="A951" s="9"/>
      <c r="AN951" s="9"/>
      <c r="AO951" s="9"/>
      <c r="AU951" s="9"/>
      <c r="BA951" s="9"/>
    </row>
    <row r="952" spans="1:53" ht="12" customHeight="1" x14ac:dyDescent="0.15">
      <c r="A952" s="9"/>
      <c r="AN952" s="9"/>
      <c r="AO952" s="9"/>
      <c r="AU952" s="9"/>
      <c r="BA952" s="9"/>
    </row>
    <row r="953" spans="1:53" ht="12" customHeight="1" x14ac:dyDescent="0.15">
      <c r="A953" s="9"/>
      <c r="AN953" s="9"/>
      <c r="AO953" s="9"/>
      <c r="AU953" s="9"/>
      <c r="BA953" s="9"/>
    </row>
    <row r="954" spans="1:53" ht="12" customHeight="1" x14ac:dyDescent="0.15">
      <c r="A954" s="9"/>
      <c r="AN954" s="9"/>
      <c r="AO954" s="9"/>
      <c r="AU954" s="9"/>
      <c r="BA954" s="9"/>
    </row>
    <row r="955" spans="1:53" ht="12" customHeight="1" x14ac:dyDescent="0.15">
      <c r="A955" s="9"/>
      <c r="AN955" s="9"/>
      <c r="AO955" s="9"/>
      <c r="AU955" s="9"/>
      <c r="BA955" s="9"/>
    </row>
    <row r="956" spans="1:53" ht="12" customHeight="1" x14ac:dyDescent="0.15">
      <c r="A956" s="9"/>
      <c r="AN956" s="9"/>
      <c r="AO956" s="9"/>
      <c r="AU956" s="9"/>
      <c r="BA956" s="9"/>
    </row>
    <row r="957" spans="1:53" ht="12" customHeight="1" x14ac:dyDescent="0.15">
      <c r="A957" s="9"/>
      <c r="AN957" s="9"/>
      <c r="AO957" s="9"/>
      <c r="AU957" s="9"/>
      <c r="BA957" s="9"/>
    </row>
    <row r="958" spans="1:53" ht="12" customHeight="1" x14ac:dyDescent="0.15">
      <c r="A958" s="9"/>
      <c r="AN958" s="9"/>
      <c r="AO958" s="9"/>
      <c r="AU958" s="9"/>
      <c r="BA958" s="9"/>
    </row>
    <row r="959" spans="1:53" ht="12" customHeight="1" x14ac:dyDescent="0.15">
      <c r="A959" s="9"/>
      <c r="AN959" s="9"/>
      <c r="AO959" s="9"/>
      <c r="AU959" s="9"/>
      <c r="BA959" s="9"/>
    </row>
    <row r="960" spans="1:53" ht="12" customHeight="1" x14ac:dyDescent="0.15">
      <c r="A960" s="9"/>
      <c r="AN960" s="9"/>
      <c r="AO960" s="9"/>
      <c r="AU960" s="9"/>
      <c r="BA960" s="9"/>
    </row>
    <row r="961" spans="1:53" ht="12" customHeight="1" x14ac:dyDescent="0.15">
      <c r="A961" s="9"/>
      <c r="AN961" s="9"/>
      <c r="AO961" s="9"/>
      <c r="AU961" s="9"/>
      <c r="BA961" s="9"/>
    </row>
    <row r="962" spans="1:53" ht="12" customHeight="1" x14ac:dyDescent="0.15">
      <c r="A962" s="9"/>
      <c r="AN962" s="9"/>
      <c r="AO962" s="9"/>
      <c r="AU962" s="9"/>
      <c r="BA962" s="9"/>
    </row>
    <row r="963" spans="1:53" ht="12" customHeight="1" x14ac:dyDescent="0.15">
      <c r="A963" s="9"/>
      <c r="AN963" s="9"/>
      <c r="AO963" s="9"/>
      <c r="AU963" s="9"/>
      <c r="BA963" s="9"/>
    </row>
    <row r="964" spans="1:53" ht="12" customHeight="1" x14ac:dyDescent="0.15">
      <c r="A964" s="9"/>
      <c r="AN964" s="9"/>
      <c r="AO964" s="9"/>
      <c r="AU964" s="9"/>
      <c r="BA964" s="9"/>
    </row>
    <row r="965" spans="1:53" ht="12" customHeight="1" x14ac:dyDescent="0.15">
      <c r="A965" s="9"/>
      <c r="AN965" s="9"/>
      <c r="AO965" s="9"/>
      <c r="AU965" s="9"/>
      <c r="BA965" s="9"/>
    </row>
    <row r="966" spans="1:53" ht="12" customHeight="1" x14ac:dyDescent="0.15">
      <c r="A966" s="9"/>
      <c r="AN966" s="9"/>
      <c r="AO966" s="9"/>
      <c r="AU966" s="9"/>
      <c r="BA966" s="9"/>
    </row>
    <row r="967" spans="1:53" ht="12" customHeight="1" x14ac:dyDescent="0.15">
      <c r="A967" s="9"/>
      <c r="AN967" s="9"/>
      <c r="AO967" s="9"/>
      <c r="AU967" s="9"/>
      <c r="BA967" s="9"/>
    </row>
    <row r="968" spans="1:53" ht="12" customHeight="1" x14ac:dyDescent="0.15">
      <c r="A968" s="9"/>
      <c r="AN968" s="9"/>
      <c r="AO968" s="9"/>
      <c r="AU968" s="9"/>
      <c r="BA968" s="9"/>
    </row>
    <row r="969" spans="1:53" ht="12" customHeight="1" x14ac:dyDescent="0.15">
      <c r="A969" s="9"/>
      <c r="AN969" s="9"/>
      <c r="AO969" s="9"/>
      <c r="AU969" s="9"/>
      <c r="BA969" s="9"/>
    </row>
    <row r="970" spans="1:53" ht="12" customHeight="1" x14ac:dyDescent="0.15">
      <c r="A970" s="9"/>
      <c r="AN970" s="9"/>
      <c r="AO970" s="9"/>
      <c r="AU970" s="9"/>
      <c r="BA970" s="9"/>
    </row>
    <row r="971" spans="1:53" ht="12" customHeight="1" x14ac:dyDescent="0.15">
      <c r="A971" s="9"/>
      <c r="AN971" s="9"/>
      <c r="AO971" s="9"/>
      <c r="AU971" s="9"/>
      <c r="BA971" s="9"/>
    </row>
    <row r="972" spans="1:53" ht="12" customHeight="1" x14ac:dyDescent="0.15">
      <c r="A972" s="9"/>
      <c r="AN972" s="9"/>
      <c r="AO972" s="9"/>
      <c r="AU972" s="9"/>
      <c r="BA972" s="9"/>
    </row>
    <row r="973" spans="1:53" ht="12" customHeight="1" x14ac:dyDescent="0.15">
      <c r="A973" s="9"/>
      <c r="AN973" s="9"/>
      <c r="AO973" s="9"/>
      <c r="AU973" s="9"/>
      <c r="BA973" s="9"/>
    </row>
    <row r="974" spans="1:53" ht="12" customHeight="1" x14ac:dyDescent="0.15">
      <c r="A974" s="9"/>
      <c r="AN974" s="9"/>
      <c r="AO974" s="9"/>
      <c r="AU974" s="9"/>
      <c r="BA974" s="9"/>
    </row>
    <row r="975" spans="1:53" ht="12" customHeight="1" x14ac:dyDescent="0.15">
      <c r="A975" s="9"/>
      <c r="AN975" s="9"/>
      <c r="AO975" s="9"/>
      <c r="AU975" s="9"/>
      <c r="BA975" s="9"/>
    </row>
    <row r="976" spans="1:53" ht="12" customHeight="1" x14ac:dyDescent="0.15">
      <c r="A976" s="9"/>
      <c r="AN976" s="9"/>
      <c r="AO976" s="9"/>
      <c r="AU976" s="9"/>
      <c r="BA976" s="9"/>
    </row>
    <row r="977" spans="1:53" ht="12" customHeight="1" x14ac:dyDescent="0.15">
      <c r="A977" s="9"/>
      <c r="AN977" s="9"/>
      <c r="AO977" s="9"/>
      <c r="AU977" s="9"/>
      <c r="BA977" s="9"/>
    </row>
    <row r="978" spans="1:53" ht="12" customHeight="1" x14ac:dyDescent="0.15">
      <c r="A978" s="9"/>
      <c r="AN978" s="9"/>
      <c r="AO978" s="9"/>
      <c r="AU978" s="9"/>
      <c r="BA978" s="9"/>
    </row>
    <row r="979" spans="1:53" ht="12" customHeight="1" x14ac:dyDescent="0.15">
      <c r="A979" s="9"/>
      <c r="AN979" s="9"/>
      <c r="AO979" s="9"/>
      <c r="AU979" s="9"/>
      <c r="BA979" s="9"/>
    </row>
    <row r="980" spans="1:53" ht="12" customHeight="1" x14ac:dyDescent="0.15">
      <c r="A980" s="9"/>
      <c r="AN980" s="9"/>
      <c r="AO980" s="9"/>
      <c r="AU980" s="9"/>
      <c r="BA980" s="9"/>
    </row>
    <row r="981" spans="1:53" ht="12" customHeight="1" x14ac:dyDescent="0.15">
      <c r="A981" s="9"/>
      <c r="AN981" s="9"/>
      <c r="AO981" s="9"/>
      <c r="AU981" s="9"/>
      <c r="BA981" s="9"/>
    </row>
    <row r="982" spans="1:53" ht="12" customHeight="1" x14ac:dyDescent="0.15">
      <c r="A982" s="9"/>
      <c r="AN982" s="9"/>
      <c r="AO982" s="9"/>
      <c r="AU982" s="9"/>
      <c r="BA982" s="9"/>
    </row>
    <row r="983" spans="1:53" ht="12" customHeight="1" x14ac:dyDescent="0.15">
      <c r="A983" s="9"/>
      <c r="AN983" s="9"/>
      <c r="AO983" s="9"/>
      <c r="AU983" s="9"/>
      <c r="BA983" s="9"/>
    </row>
    <row r="984" spans="1:53" ht="12" customHeight="1" x14ac:dyDescent="0.15">
      <c r="A984" s="9"/>
      <c r="AN984" s="9"/>
      <c r="AO984" s="9"/>
      <c r="AU984" s="9"/>
      <c r="BA984" s="9"/>
    </row>
    <row r="985" spans="1:53" ht="12" customHeight="1" x14ac:dyDescent="0.15">
      <c r="A985" s="9"/>
      <c r="AN985" s="9"/>
      <c r="AO985" s="9"/>
      <c r="AU985" s="9"/>
      <c r="BA985" s="9"/>
    </row>
    <row r="986" spans="1:53" ht="12" customHeight="1" x14ac:dyDescent="0.15">
      <c r="A986" s="9"/>
      <c r="AN986" s="9"/>
      <c r="AO986" s="9"/>
      <c r="AU986" s="9"/>
      <c r="BA986" s="9"/>
    </row>
    <row r="987" spans="1:53" ht="12" customHeight="1" x14ac:dyDescent="0.15">
      <c r="A987" s="9"/>
      <c r="AN987" s="9"/>
      <c r="AO987" s="9"/>
      <c r="AU987" s="9"/>
      <c r="BA987" s="9"/>
    </row>
    <row r="988" spans="1:53" ht="12" customHeight="1" x14ac:dyDescent="0.15">
      <c r="A988" s="9"/>
      <c r="AN988" s="9"/>
      <c r="AO988" s="9"/>
      <c r="AU988" s="9"/>
      <c r="BA988" s="9"/>
    </row>
    <row r="989" spans="1:53" ht="12" customHeight="1" x14ac:dyDescent="0.15">
      <c r="A989" s="9"/>
      <c r="AN989" s="9"/>
      <c r="AO989" s="9"/>
      <c r="AU989" s="9"/>
      <c r="BA989" s="9"/>
    </row>
    <row r="990" spans="1:53" ht="12" customHeight="1" x14ac:dyDescent="0.15">
      <c r="A990" s="9"/>
      <c r="AN990" s="9"/>
      <c r="AO990" s="9"/>
      <c r="AU990" s="9"/>
      <c r="BA990" s="9"/>
    </row>
    <row r="991" spans="1:53" ht="12" customHeight="1" x14ac:dyDescent="0.15">
      <c r="A991" s="9"/>
      <c r="AN991" s="9"/>
      <c r="AO991" s="9"/>
      <c r="AU991" s="9"/>
      <c r="BA991" s="9"/>
    </row>
    <row r="992" spans="1:53" ht="12" customHeight="1" x14ac:dyDescent="0.15">
      <c r="A992" s="9"/>
      <c r="AN992" s="9"/>
      <c r="AO992" s="9"/>
      <c r="AU992" s="9"/>
      <c r="BA992" s="9"/>
    </row>
    <row r="993" spans="1:53" ht="12" customHeight="1" x14ac:dyDescent="0.15">
      <c r="A993" s="9"/>
      <c r="AN993" s="9"/>
      <c r="AO993" s="9"/>
      <c r="AU993" s="9"/>
      <c r="BA993" s="9"/>
    </row>
    <row r="994" spans="1:53" ht="12" customHeight="1" x14ac:dyDescent="0.15">
      <c r="A994" s="9"/>
      <c r="AN994" s="9"/>
      <c r="AO994" s="9"/>
      <c r="AU994" s="9"/>
      <c r="BA994" s="9"/>
    </row>
    <row r="995" spans="1:53" ht="12" customHeight="1" x14ac:dyDescent="0.15">
      <c r="A995" s="9"/>
      <c r="AN995" s="9"/>
      <c r="AO995" s="9"/>
      <c r="AU995" s="9"/>
      <c r="BA995" s="9"/>
    </row>
    <row r="996" spans="1:53" ht="12" customHeight="1" x14ac:dyDescent="0.15">
      <c r="A996" s="9"/>
      <c r="AN996" s="9"/>
      <c r="AO996" s="9"/>
      <c r="AU996" s="9"/>
      <c r="BA996" s="9"/>
    </row>
    <row r="997" spans="1:53" ht="12" customHeight="1" x14ac:dyDescent="0.15">
      <c r="A997" s="9"/>
      <c r="AN997" s="9"/>
      <c r="AO997" s="9"/>
      <c r="AU997" s="9"/>
      <c r="BA997" s="9"/>
    </row>
    <row r="998" spans="1:53" ht="12" customHeight="1" x14ac:dyDescent="0.15">
      <c r="A998" s="9"/>
      <c r="AN998" s="9"/>
      <c r="AO998" s="9"/>
      <c r="AU998" s="9"/>
      <c r="BA998" s="9"/>
    </row>
    <row r="999" spans="1:53" ht="12" customHeight="1" x14ac:dyDescent="0.15">
      <c r="A999" s="9"/>
      <c r="AN999" s="9"/>
      <c r="AO999" s="9"/>
      <c r="AU999" s="9"/>
      <c r="BA999" s="9"/>
    </row>
    <row r="1000" spans="1:53" ht="12" customHeight="1" x14ac:dyDescent="0.15">
      <c r="A1000" s="9"/>
      <c r="AN1000" s="9"/>
      <c r="AO1000" s="9"/>
      <c r="AU1000" s="9"/>
      <c r="BA1000" s="9"/>
    </row>
    <row r="1001" spans="1:53" ht="12" customHeight="1" x14ac:dyDescent="0.15">
      <c r="A1001" s="9"/>
      <c r="AN1001" s="9"/>
      <c r="AO1001" s="9"/>
      <c r="AU1001" s="9"/>
      <c r="BA1001" s="9"/>
    </row>
    <row r="1002" spans="1:53" ht="12" customHeight="1" x14ac:dyDescent="0.15">
      <c r="A1002" s="9"/>
      <c r="AN1002" s="9"/>
      <c r="AO1002" s="9"/>
      <c r="AU1002" s="9"/>
      <c r="BA1002" s="9"/>
    </row>
    <row r="1003" spans="1:53" ht="12" customHeight="1" x14ac:dyDescent="0.15">
      <c r="A1003" s="9"/>
      <c r="AN1003" s="9"/>
      <c r="AO1003" s="9"/>
      <c r="AU1003" s="9"/>
      <c r="BA1003" s="9"/>
    </row>
    <row r="1004" spans="1:53" ht="12" customHeight="1" x14ac:dyDescent="0.15">
      <c r="A1004" s="9"/>
      <c r="AN1004" s="9"/>
      <c r="AO1004" s="9"/>
      <c r="AU1004" s="9"/>
      <c r="BA1004" s="9"/>
    </row>
    <row r="1005" spans="1:53" ht="12" customHeight="1" x14ac:dyDescent="0.15">
      <c r="A1005" s="9"/>
      <c r="AN1005" s="9"/>
      <c r="AO1005" s="9"/>
      <c r="AU1005" s="9"/>
      <c r="BA1005" s="9"/>
    </row>
    <row r="1006" spans="1:53" ht="12" customHeight="1" x14ac:dyDescent="0.15">
      <c r="A1006" s="9"/>
      <c r="AN1006" s="9"/>
      <c r="AO1006" s="9"/>
      <c r="AU1006" s="9"/>
      <c r="BA1006" s="9"/>
    </row>
    <row r="1007" spans="1:53" ht="12" customHeight="1" x14ac:dyDescent="0.15">
      <c r="A1007" s="9"/>
      <c r="AN1007" s="9"/>
      <c r="AO1007" s="9"/>
      <c r="AU1007" s="9"/>
      <c r="BA1007" s="9"/>
    </row>
    <row r="1008" spans="1:53" ht="12" customHeight="1" x14ac:dyDescent="0.15">
      <c r="A1008" s="9"/>
      <c r="AN1008" s="9"/>
      <c r="AO1008" s="9"/>
      <c r="AU1008" s="9"/>
      <c r="BA1008" s="9"/>
    </row>
    <row r="1009" spans="1:53" ht="12" customHeight="1" x14ac:dyDescent="0.15">
      <c r="A1009" s="9"/>
      <c r="AN1009" s="9"/>
      <c r="AO1009" s="9"/>
      <c r="AU1009" s="9"/>
      <c r="BA1009" s="9"/>
    </row>
    <row r="1010" spans="1:53" ht="12" customHeight="1" x14ac:dyDescent="0.15">
      <c r="A1010" s="9"/>
      <c r="AN1010" s="9"/>
      <c r="AO1010" s="9"/>
      <c r="AU1010" s="9"/>
      <c r="BA1010" s="9"/>
    </row>
    <row r="1011" spans="1:53" ht="12" customHeight="1" x14ac:dyDescent="0.15">
      <c r="A1011" s="9"/>
      <c r="AN1011" s="9"/>
      <c r="AO1011" s="9"/>
      <c r="AU1011" s="9"/>
      <c r="BA1011" s="9"/>
    </row>
    <row r="1012" spans="1:53" ht="12" customHeight="1" x14ac:dyDescent="0.15">
      <c r="A1012" s="9"/>
      <c r="AN1012" s="9"/>
      <c r="AO1012" s="9"/>
      <c r="AU1012" s="9"/>
      <c r="BA1012" s="9"/>
    </row>
    <row r="1013" spans="1:53" ht="12" customHeight="1" x14ac:dyDescent="0.15">
      <c r="A1013" s="9"/>
      <c r="AN1013" s="9"/>
      <c r="AO1013" s="9"/>
      <c r="AU1013" s="9"/>
      <c r="BA1013" s="9"/>
    </row>
    <row r="1014" spans="1:53" ht="12" customHeight="1" x14ac:dyDescent="0.15">
      <c r="A1014" s="9"/>
      <c r="AN1014" s="9"/>
      <c r="AO1014" s="9"/>
      <c r="AU1014" s="9"/>
      <c r="BA1014" s="9"/>
    </row>
    <row r="1015" spans="1:53" ht="12" customHeight="1" x14ac:dyDescent="0.15">
      <c r="A1015" s="9"/>
      <c r="AN1015" s="9"/>
      <c r="AO1015" s="9"/>
      <c r="AU1015" s="9"/>
      <c r="BA1015" s="9"/>
    </row>
    <row r="1016" spans="1:53" ht="12" customHeight="1" x14ac:dyDescent="0.15">
      <c r="A1016" s="9"/>
      <c r="AN1016" s="9"/>
      <c r="AO1016" s="9"/>
      <c r="AU1016" s="9"/>
      <c r="BA1016" s="9"/>
    </row>
    <row r="1017" spans="1:53" ht="12" customHeight="1" x14ac:dyDescent="0.15">
      <c r="A1017" s="9"/>
      <c r="AN1017" s="9"/>
      <c r="AO1017" s="9"/>
      <c r="AU1017" s="9"/>
      <c r="BA1017" s="9"/>
    </row>
    <row r="1018" spans="1:53" ht="12" customHeight="1" x14ac:dyDescent="0.15">
      <c r="A1018" s="9"/>
      <c r="AN1018" s="9"/>
      <c r="AO1018" s="9"/>
      <c r="AU1018" s="9"/>
      <c r="BA1018" s="9"/>
    </row>
    <row r="1019" spans="1:53" ht="12" customHeight="1" x14ac:dyDescent="0.15">
      <c r="A1019" s="9"/>
      <c r="AN1019" s="9"/>
      <c r="AO1019" s="9"/>
      <c r="AU1019" s="9"/>
      <c r="BA1019" s="9"/>
    </row>
    <row r="1020" spans="1:53" ht="12" customHeight="1" x14ac:dyDescent="0.15">
      <c r="A1020" s="9"/>
      <c r="AN1020" s="9"/>
      <c r="AO1020" s="9"/>
      <c r="AU1020" s="9"/>
      <c r="BA1020" s="9"/>
    </row>
    <row r="1021" spans="1:53" ht="12" customHeight="1" x14ac:dyDescent="0.15">
      <c r="A1021" s="9"/>
      <c r="AN1021" s="9"/>
      <c r="AO1021" s="9"/>
      <c r="AU1021" s="9"/>
      <c r="BA1021" s="9"/>
    </row>
    <row r="1022" spans="1:53" ht="12" customHeight="1" x14ac:dyDescent="0.15">
      <c r="A1022" s="9"/>
      <c r="AN1022" s="9"/>
      <c r="AO1022" s="9"/>
      <c r="AU1022" s="9"/>
      <c r="BA1022" s="9"/>
    </row>
    <row r="1023" spans="1:53" ht="12" customHeight="1" x14ac:dyDescent="0.15">
      <c r="A1023" s="9"/>
      <c r="AN1023" s="9"/>
      <c r="AO1023" s="9"/>
      <c r="AU1023" s="9"/>
      <c r="BA1023" s="9"/>
    </row>
    <row r="1024" spans="1:53" ht="12" customHeight="1" x14ac:dyDescent="0.15">
      <c r="A1024" s="9"/>
      <c r="AN1024" s="9"/>
      <c r="AO1024" s="9"/>
      <c r="AU1024" s="9"/>
      <c r="BA1024" s="9"/>
    </row>
    <row r="1025" spans="1:53" ht="12" customHeight="1" x14ac:dyDescent="0.15">
      <c r="A1025" s="9"/>
      <c r="AN1025" s="9"/>
      <c r="AO1025" s="9"/>
      <c r="AU1025" s="9"/>
      <c r="BA1025" s="9"/>
    </row>
    <row r="1026" spans="1:53" ht="12" customHeight="1" x14ac:dyDescent="0.15">
      <c r="A1026" s="9"/>
      <c r="AN1026" s="9"/>
      <c r="AO1026" s="9"/>
      <c r="AU1026" s="9"/>
      <c r="BA1026" s="9"/>
    </row>
    <row r="1027" spans="1:53" ht="12" customHeight="1" x14ac:dyDescent="0.15">
      <c r="A1027" s="9"/>
      <c r="AN1027" s="9"/>
      <c r="AO1027" s="9"/>
      <c r="AU1027" s="9"/>
      <c r="BA1027" s="9"/>
    </row>
    <row r="1028" spans="1:53" ht="12" customHeight="1" x14ac:dyDescent="0.15">
      <c r="A1028" s="9"/>
      <c r="AN1028" s="9"/>
      <c r="AO1028" s="9"/>
      <c r="AU1028" s="9"/>
      <c r="BA1028" s="9"/>
    </row>
    <row r="1029" spans="1:53" ht="12" customHeight="1" x14ac:dyDescent="0.15">
      <c r="A1029" s="9"/>
      <c r="AN1029" s="9"/>
      <c r="AO1029" s="9"/>
      <c r="AU1029" s="9"/>
      <c r="BA1029" s="9"/>
    </row>
    <row r="1030" spans="1:53" ht="12" customHeight="1" x14ac:dyDescent="0.15">
      <c r="A1030" s="9"/>
      <c r="AN1030" s="9"/>
      <c r="AO1030" s="9"/>
      <c r="AU1030" s="9"/>
      <c r="BA1030" s="9"/>
    </row>
    <row r="1031" spans="1:53" ht="12" customHeight="1" x14ac:dyDescent="0.15">
      <c r="A1031" s="9"/>
      <c r="AN1031" s="9"/>
      <c r="AO1031" s="9"/>
      <c r="AU1031" s="9"/>
      <c r="BA1031" s="9"/>
    </row>
    <row r="1032" spans="1:53" ht="12" customHeight="1" x14ac:dyDescent="0.15">
      <c r="A1032" s="9"/>
      <c r="AN1032" s="9"/>
      <c r="AO1032" s="9"/>
      <c r="AU1032" s="9"/>
      <c r="BA1032" s="9"/>
    </row>
    <row r="1033" spans="1:53" ht="12" customHeight="1" x14ac:dyDescent="0.15">
      <c r="A1033" s="9"/>
      <c r="AN1033" s="9"/>
      <c r="AO1033" s="9"/>
      <c r="AU1033" s="9"/>
      <c r="BA1033" s="9"/>
    </row>
    <row r="1034" spans="1:53" ht="12" customHeight="1" x14ac:dyDescent="0.15">
      <c r="A1034" s="9"/>
      <c r="AN1034" s="9"/>
      <c r="AO1034" s="9"/>
      <c r="AU1034" s="9"/>
      <c r="BA1034" s="9"/>
    </row>
    <row r="1035" spans="1:53" ht="12" customHeight="1" x14ac:dyDescent="0.15">
      <c r="A1035" s="9"/>
      <c r="AN1035" s="9"/>
      <c r="AO1035" s="9"/>
      <c r="AU1035" s="9"/>
      <c r="BA1035" s="9"/>
    </row>
    <row r="1036" spans="1:53" ht="12" customHeight="1" x14ac:dyDescent="0.15">
      <c r="A1036" s="9"/>
      <c r="AN1036" s="9"/>
      <c r="AO1036" s="9"/>
      <c r="AU1036" s="9"/>
      <c r="BA1036" s="9"/>
    </row>
    <row r="1037" spans="1:53" ht="12" customHeight="1" x14ac:dyDescent="0.15">
      <c r="A1037" s="9"/>
      <c r="AN1037" s="9"/>
      <c r="AO1037" s="9"/>
      <c r="AU1037" s="9"/>
      <c r="BA1037" s="9"/>
    </row>
    <row r="1038" spans="1:53" ht="12" customHeight="1" x14ac:dyDescent="0.15">
      <c r="A1038" s="9"/>
      <c r="AN1038" s="9"/>
      <c r="AO1038" s="9"/>
      <c r="AU1038" s="9"/>
      <c r="BA1038" s="9"/>
    </row>
    <row r="1039" spans="1:53" ht="12" customHeight="1" x14ac:dyDescent="0.15">
      <c r="A1039" s="9"/>
      <c r="AN1039" s="9"/>
      <c r="AO1039" s="9"/>
      <c r="AU1039" s="9"/>
      <c r="BA1039" s="9"/>
    </row>
    <row r="1040" spans="1:53" ht="12" customHeight="1" x14ac:dyDescent="0.15">
      <c r="A1040" s="9"/>
      <c r="AN1040" s="9"/>
      <c r="AO1040" s="9"/>
      <c r="AU1040" s="9"/>
      <c r="BA1040" s="9"/>
    </row>
    <row r="1041" spans="1:53" ht="12" customHeight="1" x14ac:dyDescent="0.15">
      <c r="A1041" s="9"/>
      <c r="AN1041" s="9"/>
      <c r="AO1041" s="9"/>
      <c r="AU1041" s="9"/>
      <c r="BA1041" s="9"/>
    </row>
    <row r="1042" spans="1:53" ht="12" customHeight="1" x14ac:dyDescent="0.15">
      <c r="A1042" s="9"/>
      <c r="AN1042" s="9"/>
      <c r="AO1042" s="9"/>
      <c r="AU1042" s="9"/>
      <c r="BA1042" s="9"/>
    </row>
    <row r="1043" spans="1:53" ht="12" customHeight="1" x14ac:dyDescent="0.15">
      <c r="A1043" s="9"/>
      <c r="AN1043" s="9"/>
      <c r="AO1043" s="9"/>
      <c r="AU1043" s="9"/>
      <c r="BA1043" s="9"/>
    </row>
    <row r="1044" spans="1:53" ht="12" customHeight="1" x14ac:dyDescent="0.15">
      <c r="A1044" s="9"/>
      <c r="AN1044" s="9"/>
      <c r="AO1044" s="9"/>
      <c r="AU1044" s="9"/>
      <c r="BA1044" s="9"/>
    </row>
    <row r="1045" spans="1:53" ht="12" customHeight="1" x14ac:dyDescent="0.15">
      <c r="A1045" s="9"/>
      <c r="AN1045" s="9"/>
      <c r="AO1045" s="9"/>
      <c r="AU1045" s="9"/>
      <c r="BA1045" s="9"/>
    </row>
    <row r="1046" spans="1:53" ht="12" customHeight="1" x14ac:dyDescent="0.15">
      <c r="A1046" s="9"/>
      <c r="AN1046" s="9"/>
      <c r="AO1046" s="9"/>
      <c r="AU1046" s="9"/>
      <c r="BA1046" s="9"/>
    </row>
    <row r="1047" spans="1:53" ht="12" customHeight="1" x14ac:dyDescent="0.15">
      <c r="A1047" s="9"/>
      <c r="AN1047" s="9"/>
      <c r="AO1047" s="9"/>
      <c r="AU1047" s="9"/>
      <c r="BA1047" s="9"/>
    </row>
    <row r="1048" spans="1:53" ht="12" customHeight="1" x14ac:dyDescent="0.15">
      <c r="A1048" s="9"/>
      <c r="AN1048" s="9"/>
      <c r="AO1048" s="9"/>
      <c r="AU1048" s="9"/>
      <c r="BA1048" s="9"/>
    </row>
    <row r="1049" spans="1:53" ht="12" customHeight="1" x14ac:dyDescent="0.15">
      <c r="A1049" s="9"/>
      <c r="AN1049" s="9"/>
      <c r="AO1049" s="9"/>
      <c r="AU1049" s="9"/>
      <c r="BA1049" s="9"/>
    </row>
    <row r="1050" spans="1:53" ht="12" customHeight="1" x14ac:dyDescent="0.15">
      <c r="A1050" s="9"/>
      <c r="AN1050" s="9"/>
      <c r="AO1050" s="9"/>
      <c r="AU1050" s="9"/>
      <c r="BA1050" s="9"/>
    </row>
    <row r="1051" spans="1:53" ht="12" customHeight="1" x14ac:dyDescent="0.15">
      <c r="A1051" s="9"/>
      <c r="AN1051" s="9"/>
      <c r="AO1051" s="9"/>
      <c r="AU1051" s="9"/>
      <c r="BA1051" s="9"/>
    </row>
    <row r="1052" spans="1:53" ht="12" customHeight="1" x14ac:dyDescent="0.15">
      <c r="A1052" s="9"/>
      <c r="AN1052" s="9"/>
      <c r="AO1052" s="9"/>
      <c r="AU1052" s="9"/>
      <c r="BA1052" s="9"/>
    </row>
    <row r="1053" spans="1:53" ht="12" customHeight="1" x14ac:dyDescent="0.15">
      <c r="A1053" s="9"/>
      <c r="AN1053" s="9"/>
      <c r="AO1053" s="9"/>
      <c r="AU1053" s="9"/>
      <c r="BA1053" s="9"/>
    </row>
    <row r="1054" spans="1:53" ht="12" customHeight="1" x14ac:dyDescent="0.15">
      <c r="A1054" s="9"/>
      <c r="AN1054" s="9"/>
      <c r="AO1054" s="9"/>
      <c r="AU1054" s="9"/>
      <c r="BA1054" s="9"/>
    </row>
    <row r="1055" spans="1:53" ht="12" customHeight="1" x14ac:dyDescent="0.15">
      <c r="A1055" s="9"/>
      <c r="AN1055" s="9"/>
      <c r="AO1055" s="9"/>
      <c r="AU1055" s="9"/>
      <c r="BA1055" s="9"/>
    </row>
    <row r="1056" spans="1:53" ht="12" customHeight="1" x14ac:dyDescent="0.15">
      <c r="A1056" s="9"/>
      <c r="AN1056" s="9"/>
      <c r="AO1056" s="9"/>
      <c r="AU1056" s="9"/>
      <c r="BA1056" s="9"/>
    </row>
    <row r="1057" spans="1:53" ht="12" customHeight="1" x14ac:dyDescent="0.15">
      <c r="A1057" s="9"/>
      <c r="AN1057" s="9"/>
      <c r="AO1057" s="9"/>
      <c r="AU1057" s="9"/>
      <c r="BA1057" s="9"/>
    </row>
    <row r="1058" spans="1:53" ht="12" customHeight="1" x14ac:dyDescent="0.15">
      <c r="A1058" s="9"/>
      <c r="AN1058" s="9"/>
      <c r="AO1058" s="9"/>
      <c r="AU1058" s="9"/>
      <c r="BA1058" s="9"/>
    </row>
    <row r="1059" spans="1:53" ht="12" customHeight="1" x14ac:dyDescent="0.15">
      <c r="A1059" s="9"/>
      <c r="AN1059" s="9"/>
      <c r="AO1059" s="9"/>
      <c r="AU1059" s="9"/>
      <c r="BA1059" s="9"/>
    </row>
    <row r="1060" spans="1:53" ht="12" customHeight="1" x14ac:dyDescent="0.15">
      <c r="A1060" s="9"/>
      <c r="AN1060" s="9"/>
      <c r="AO1060" s="9"/>
      <c r="AU1060" s="9"/>
      <c r="BA1060" s="9"/>
    </row>
    <row r="1061" spans="1:53" ht="12" customHeight="1" x14ac:dyDescent="0.15">
      <c r="A1061" s="9"/>
      <c r="AN1061" s="9"/>
      <c r="AO1061" s="9"/>
      <c r="AU1061" s="9"/>
      <c r="BA1061" s="9"/>
    </row>
    <row r="1062" spans="1:53" ht="12" customHeight="1" x14ac:dyDescent="0.15">
      <c r="A1062" s="9"/>
      <c r="AN1062" s="9"/>
      <c r="AO1062" s="9"/>
      <c r="AU1062" s="9"/>
      <c r="BA1062" s="9"/>
    </row>
    <row r="1063" spans="1:53" ht="12" customHeight="1" x14ac:dyDescent="0.15">
      <c r="A1063" s="9"/>
      <c r="AN1063" s="9"/>
      <c r="AO1063" s="9"/>
      <c r="AU1063" s="9"/>
      <c r="BA1063" s="9"/>
    </row>
    <row r="1064" spans="1:53" ht="12" customHeight="1" x14ac:dyDescent="0.15">
      <c r="A1064" s="9"/>
      <c r="AN1064" s="9"/>
      <c r="AO1064" s="9"/>
      <c r="AU1064" s="9"/>
      <c r="BA1064" s="9"/>
    </row>
    <row r="1065" spans="1:53" ht="12" customHeight="1" x14ac:dyDescent="0.15">
      <c r="A1065" s="9"/>
      <c r="AN1065" s="9"/>
      <c r="AO1065" s="9"/>
      <c r="AU1065" s="9"/>
      <c r="BA1065" s="9"/>
    </row>
    <row r="1066" spans="1:53" ht="12" customHeight="1" x14ac:dyDescent="0.15">
      <c r="A1066" s="9"/>
      <c r="AN1066" s="9"/>
      <c r="AO1066" s="9"/>
      <c r="AU1066" s="9"/>
      <c r="BA1066" s="9"/>
    </row>
    <row r="1067" spans="1:53" ht="12" customHeight="1" x14ac:dyDescent="0.15">
      <c r="A1067" s="9"/>
      <c r="AN1067" s="9"/>
      <c r="AO1067" s="9"/>
      <c r="AU1067" s="9"/>
      <c r="BA1067" s="9"/>
    </row>
    <row r="1068" spans="1:53" ht="12" customHeight="1" x14ac:dyDescent="0.15">
      <c r="A1068" s="9"/>
      <c r="AN1068" s="9"/>
      <c r="AO1068" s="9"/>
      <c r="AU1068" s="9"/>
      <c r="BA1068" s="9"/>
    </row>
    <row r="1069" spans="1:53" ht="12" customHeight="1" x14ac:dyDescent="0.15">
      <c r="A1069" s="9"/>
      <c r="AN1069" s="9"/>
      <c r="AO1069" s="9"/>
      <c r="AU1069" s="9"/>
      <c r="BA1069" s="9"/>
    </row>
    <row r="1070" spans="1:53" ht="12" customHeight="1" x14ac:dyDescent="0.15">
      <c r="A1070" s="9"/>
      <c r="AN1070" s="9"/>
      <c r="AO1070" s="9"/>
      <c r="AU1070" s="9"/>
      <c r="BA1070" s="9"/>
    </row>
    <row r="1071" spans="1:53" ht="12" customHeight="1" x14ac:dyDescent="0.15">
      <c r="A1071" s="9"/>
      <c r="AN1071" s="9"/>
      <c r="AO1071" s="9"/>
      <c r="AU1071" s="9"/>
      <c r="BA1071" s="9"/>
    </row>
    <row r="1072" spans="1:53" ht="12" customHeight="1" x14ac:dyDescent="0.15">
      <c r="A1072" s="9"/>
      <c r="AN1072" s="9"/>
      <c r="AO1072" s="9"/>
      <c r="AU1072" s="9"/>
      <c r="BA1072" s="9"/>
    </row>
    <row r="1073" spans="1:53" ht="12" customHeight="1" x14ac:dyDescent="0.15">
      <c r="A1073" s="9"/>
      <c r="AN1073" s="9"/>
      <c r="AO1073" s="9"/>
      <c r="AU1073" s="9"/>
      <c r="BA1073" s="9"/>
    </row>
    <row r="1074" spans="1:53" ht="12" customHeight="1" x14ac:dyDescent="0.15">
      <c r="A1074" s="9"/>
      <c r="AN1074" s="9"/>
      <c r="AO1074" s="9"/>
      <c r="AU1074" s="9"/>
      <c r="BA1074" s="9"/>
    </row>
    <row r="1075" spans="1:53" ht="12" customHeight="1" x14ac:dyDescent="0.15">
      <c r="A1075" s="9"/>
      <c r="AN1075" s="9"/>
      <c r="AO1075" s="9"/>
      <c r="AU1075" s="9"/>
      <c r="BA1075" s="9"/>
    </row>
    <row r="1076" spans="1:53" ht="12" customHeight="1" x14ac:dyDescent="0.15">
      <c r="A1076" s="9"/>
      <c r="AN1076" s="9"/>
      <c r="AO1076" s="9"/>
      <c r="AU1076" s="9"/>
      <c r="BA1076" s="9"/>
    </row>
    <row r="1077" spans="1:53" ht="12" customHeight="1" x14ac:dyDescent="0.15">
      <c r="A1077" s="9"/>
      <c r="AN1077" s="9"/>
      <c r="AO1077" s="9"/>
      <c r="AU1077" s="9"/>
      <c r="BA1077" s="9"/>
    </row>
    <row r="1078" spans="1:53" ht="12" customHeight="1" x14ac:dyDescent="0.15">
      <c r="A1078" s="9"/>
      <c r="AN1078" s="9"/>
      <c r="AO1078" s="9"/>
      <c r="AU1078" s="9"/>
      <c r="BA1078" s="9"/>
    </row>
    <row r="1079" spans="1:53" ht="12" customHeight="1" x14ac:dyDescent="0.15">
      <c r="A1079" s="9"/>
      <c r="AN1079" s="9"/>
      <c r="AO1079" s="9"/>
      <c r="AU1079" s="9"/>
      <c r="BA1079" s="9"/>
    </row>
    <row r="1080" spans="1:53" ht="12" customHeight="1" x14ac:dyDescent="0.15">
      <c r="A1080" s="9"/>
      <c r="AN1080" s="9"/>
      <c r="AO1080" s="9"/>
      <c r="AU1080" s="9"/>
      <c r="BA1080" s="9"/>
    </row>
    <row r="1081" spans="1:53" ht="12" customHeight="1" x14ac:dyDescent="0.15">
      <c r="A1081" s="9"/>
      <c r="AN1081" s="9"/>
      <c r="AO1081" s="9"/>
      <c r="AU1081" s="9"/>
      <c r="BA1081" s="9"/>
    </row>
    <row r="1082" spans="1:53" ht="12" customHeight="1" x14ac:dyDescent="0.15">
      <c r="A1082" s="9"/>
      <c r="AN1082" s="9"/>
      <c r="AO1082" s="9"/>
      <c r="AU1082" s="9"/>
      <c r="BA1082" s="9"/>
    </row>
    <row r="1083" spans="1:53" ht="12" customHeight="1" x14ac:dyDescent="0.15">
      <c r="A1083" s="9"/>
      <c r="AN1083" s="9"/>
      <c r="AO1083" s="9"/>
      <c r="AU1083" s="9"/>
      <c r="BA1083" s="9"/>
    </row>
    <row r="1084" spans="1:53" ht="12" customHeight="1" x14ac:dyDescent="0.15">
      <c r="A1084" s="9"/>
      <c r="AN1084" s="9"/>
      <c r="AO1084" s="9"/>
      <c r="AU1084" s="9"/>
      <c r="BA1084" s="9"/>
    </row>
    <row r="1085" spans="1:53" ht="12" customHeight="1" x14ac:dyDescent="0.15">
      <c r="A1085" s="9"/>
      <c r="AN1085" s="9"/>
      <c r="AO1085" s="9"/>
      <c r="AU1085" s="9"/>
      <c r="BA1085" s="9"/>
    </row>
    <row r="1086" spans="1:53" ht="12" customHeight="1" x14ac:dyDescent="0.15">
      <c r="A1086" s="9"/>
      <c r="AN1086" s="9"/>
      <c r="AO1086" s="9"/>
      <c r="AU1086" s="9"/>
      <c r="BA1086" s="9"/>
    </row>
    <row r="1087" spans="1:53" ht="12" customHeight="1" x14ac:dyDescent="0.15">
      <c r="A1087" s="9"/>
      <c r="AN1087" s="9"/>
      <c r="AO1087" s="9"/>
      <c r="AU1087" s="9"/>
      <c r="BA1087" s="9"/>
    </row>
    <row r="1088" spans="1:53" ht="12" customHeight="1" x14ac:dyDescent="0.15">
      <c r="A1088" s="9"/>
      <c r="AN1088" s="9"/>
      <c r="AO1088" s="9"/>
      <c r="AU1088" s="9"/>
      <c r="BA1088" s="9"/>
    </row>
    <row r="1089" spans="1:53" ht="12" customHeight="1" x14ac:dyDescent="0.15">
      <c r="A1089" s="9"/>
      <c r="AN1089" s="9"/>
      <c r="AO1089" s="9"/>
      <c r="AU1089" s="9"/>
      <c r="BA1089" s="9"/>
    </row>
    <row r="1090" spans="1:53" ht="12" customHeight="1" x14ac:dyDescent="0.15">
      <c r="A1090" s="9"/>
      <c r="AN1090" s="9"/>
      <c r="AO1090" s="9"/>
      <c r="AU1090" s="9"/>
      <c r="BA1090" s="9"/>
    </row>
    <row r="1091" spans="1:53" ht="12" customHeight="1" x14ac:dyDescent="0.15">
      <c r="A1091" s="9"/>
      <c r="AN1091" s="9"/>
      <c r="AO1091" s="9"/>
      <c r="AU1091" s="9"/>
      <c r="BA1091" s="9"/>
    </row>
    <row r="1092" spans="1:53" ht="12" customHeight="1" x14ac:dyDescent="0.15">
      <c r="A1092" s="9"/>
      <c r="AN1092" s="9"/>
      <c r="AO1092" s="9"/>
      <c r="AU1092" s="9"/>
      <c r="BA1092" s="9"/>
    </row>
    <row r="1093" spans="1:53" ht="12" customHeight="1" x14ac:dyDescent="0.15">
      <c r="A1093" s="9"/>
      <c r="AN1093" s="9"/>
      <c r="AO1093" s="9"/>
      <c r="AU1093" s="9"/>
      <c r="BA1093" s="9"/>
    </row>
    <row r="1094" spans="1:53" ht="12" customHeight="1" x14ac:dyDescent="0.15">
      <c r="A1094" s="9"/>
      <c r="AN1094" s="9"/>
      <c r="AO1094" s="9"/>
      <c r="AU1094" s="9"/>
      <c r="BA1094" s="9"/>
    </row>
    <row r="1095" spans="1:53" ht="12" customHeight="1" x14ac:dyDescent="0.15">
      <c r="A1095" s="9"/>
      <c r="AN1095" s="9"/>
      <c r="AO1095" s="9"/>
      <c r="AU1095" s="9"/>
      <c r="BA1095" s="9"/>
    </row>
    <row r="1096" spans="1:53" ht="12" customHeight="1" x14ac:dyDescent="0.15">
      <c r="A1096" s="9"/>
      <c r="AN1096" s="9"/>
      <c r="AO1096" s="9"/>
      <c r="AU1096" s="9"/>
      <c r="BA1096" s="9"/>
    </row>
    <row r="1097" spans="1:53" ht="12" customHeight="1" x14ac:dyDescent="0.15">
      <c r="A1097" s="9"/>
      <c r="AN1097" s="9"/>
      <c r="AO1097" s="9"/>
      <c r="AU1097" s="9"/>
      <c r="BA1097" s="9"/>
    </row>
    <row r="1098" spans="1:53" ht="12" customHeight="1" x14ac:dyDescent="0.15">
      <c r="A1098" s="9"/>
      <c r="AN1098" s="9"/>
      <c r="AO1098" s="9"/>
      <c r="AU1098" s="9"/>
      <c r="BA1098" s="9"/>
    </row>
    <row r="1099" spans="1:53" ht="12" customHeight="1" x14ac:dyDescent="0.15">
      <c r="A1099" s="9"/>
      <c r="AN1099" s="9"/>
      <c r="AO1099" s="9"/>
      <c r="AU1099" s="9"/>
      <c r="BA1099" s="9"/>
    </row>
    <row r="1100" spans="1:53" ht="12" customHeight="1" x14ac:dyDescent="0.15">
      <c r="A1100" s="9"/>
      <c r="AN1100" s="9"/>
      <c r="AO1100" s="9"/>
      <c r="AU1100" s="9"/>
      <c r="BA1100" s="9"/>
    </row>
    <row r="1101" spans="1:53" ht="12" customHeight="1" x14ac:dyDescent="0.15">
      <c r="A1101" s="9"/>
      <c r="AN1101" s="9"/>
      <c r="AO1101" s="9"/>
      <c r="AU1101" s="9"/>
      <c r="BA1101" s="9"/>
    </row>
    <row r="1102" spans="1:53" ht="12" customHeight="1" x14ac:dyDescent="0.15">
      <c r="A1102" s="9"/>
      <c r="AN1102" s="9"/>
      <c r="AO1102" s="9"/>
      <c r="AU1102" s="9"/>
      <c r="BA1102" s="9"/>
    </row>
    <row r="1103" spans="1:53" ht="12" customHeight="1" x14ac:dyDescent="0.15">
      <c r="A1103" s="9"/>
      <c r="AN1103" s="9"/>
      <c r="AO1103" s="9"/>
      <c r="AU1103" s="9"/>
      <c r="BA1103" s="9"/>
    </row>
    <row r="1104" spans="1:53" ht="12" customHeight="1" x14ac:dyDescent="0.15">
      <c r="A1104" s="9"/>
      <c r="AN1104" s="9"/>
      <c r="AO1104" s="9"/>
      <c r="AU1104" s="9"/>
      <c r="BA1104" s="9"/>
    </row>
    <row r="1105" spans="1:53" ht="12" customHeight="1" x14ac:dyDescent="0.15">
      <c r="A1105" s="9"/>
      <c r="AN1105" s="9"/>
      <c r="AO1105" s="9"/>
      <c r="AU1105" s="9"/>
      <c r="BA1105" s="9"/>
    </row>
    <row r="1106" spans="1:53" ht="12" customHeight="1" x14ac:dyDescent="0.15">
      <c r="A1106" s="9"/>
      <c r="AN1106" s="9"/>
      <c r="AO1106" s="9"/>
      <c r="AU1106" s="9"/>
      <c r="BA1106" s="9"/>
    </row>
    <row r="1107" spans="1:53" ht="12" customHeight="1" x14ac:dyDescent="0.15">
      <c r="A1107" s="9"/>
      <c r="AN1107" s="9"/>
      <c r="AO1107" s="9"/>
      <c r="AU1107" s="9"/>
      <c r="BA1107" s="9"/>
    </row>
    <row r="1108" spans="1:53" ht="12" customHeight="1" x14ac:dyDescent="0.15">
      <c r="A1108" s="9"/>
      <c r="AN1108" s="9"/>
      <c r="AO1108" s="9"/>
      <c r="AU1108" s="9"/>
      <c r="BA1108" s="9"/>
    </row>
    <row r="1109" spans="1:53" ht="12" customHeight="1" x14ac:dyDescent="0.15">
      <c r="A1109" s="9"/>
      <c r="AN1109" s="9"/>
      <c r="AO1109" s="9"/>
      <c r="AU1109" s="9"/>
      <c r="BA1109" s="9"/>
    </row>
    <row r="1110" spans="1:53" ht="12" customHeight="1" x14ac:dyDescent="0.15">
      <c r="A1110" s="9"/>
      <c r="AN1110" s="9"/>
      <c r="AO1110" s="9"/>
      <c r="AU1110" s="9"/>
      <c r="BA1110" s="9"/>
    </row>
    <row r="1111" spans="1:53" ht="12" customHeight="1" x14ac:dyDescent="0.15">
      <c r="A1111" s="9"/>
      <c r="AN1111" s="9"/>
      <c r="AO1111" s="9"/>
      <c r="AU1111" s="9"/>
      <c r="BA1111" s="9"/>
    </row>
    <row r="1112" spans="1:53" ht="12" customHeight="1" x14ac:dyDescent="0.15">
      <c r="A1112" s="9"/>
      <c r="AN1112" s="9"/>
      <c r="AO1112" s="9"/>
      <c r="AU1112" s="9"/>
      <c r="BA1112" s="9"/>
    </row>
    <row r="1113" spans="1:53" ht="12" customHeight="1" x14ac:dyDescent="0.15">
      <c r="A1113" s="9"/>
      <c r="AN1113" s="9"/>
      <c r="AO1113" s="9"/>
      <c r="AU1113" s="9"/>
      <c r="BA1113" s="9"/>
    </row>
    <row r="1114" spans="1:53" ht="12" customHeight="1" x14ac:dyDescent="0.15">
      <c r="A1114" s="9"/>
      <c r="AN1114" s="9"/>
      <c r="AO1114" s="9"/>
      <c r="AU1114" s="9"/>
      <c r="BA1114" s="9"/>
    </row>
    <row r="1115" spans="1:53" ht="12" customHeight="1" x14ac:dyDescent="0.15">
      <c r="A1115" s="9"/>
      <c r="AN1115" s="9"/>
      <c r="AO1115" s="9"/>
      <c r="AU1115" s="9"/>
      <c r="BA1115" s="9"/>
    </row>
    <row r="1116" spans="1:53" ht="12" customHeight="1" x14ac:dyDescent="0.15">
      <c r="A1116" s="9"/>
      <c r="AN1116" s="9"/>
      <c r="AO1116" s="9"/>
      <c r="AU1116" s="9"/>
      <c r="BA1116" s="9"/>
    </row>
    <row r="1117" spans="1:53" ht="12" customHeight="1" x14ac:dyDescent="0.15">
      <c r="A1117" s="9"/>
      <c r="AN1117" s="9"/>
      <c r="AO1117" s="9"/>
      <c r="AU1117" s="9"/>
      <c r="BA1117" s="9"/>
    </row>
    <row r="1118" spans="1:53" ht="12" customHeight="1" x14ac:dyDescent="0.15">
      <c r="A1118" s="9"/>
      <c r="AN1118" s="9"/>
      <c r="AO1118" s="9"/>
      <c r="AU1118" s="9"/>
      <c r="BA1118" s="9"/>
    </row>
    <row r="1119" spans="1:53" ht="12" customHeight="1" x14ac:dyDescent="0.15">
      <c r="A1119" s="9"/>
      <c r="AN1119" s="9"/>
      <c r="AO1119" s="9"/>
      <c r="AU1119" s="9"/>
      <c r="BA1119" s="9"/>
    </row>
    <row r="1120" spans="1:53" ht="12" customHeight="1" x14ac:dyDescent="0.15">
      <c r="A1120" s="9"/>
      <c r="AN1120" s="9"/>
      <c r="AO1120" s="9"/>
      <c r="AU1120" s="9"/>
      <c r="BA1120" s="9"/>
    </row>
    <row r="1121" spans="1:53" ht="12" customHeight="1" x14ac:dyDescent="0.15">
      <c r="A1121" s="9"/>
      <c r="AN1121" s="9"/>
      <c r="AO1121" s="9"/>
      <c r="AU1121" s="9"/>
      <c r="BA1121" s="9"/>
    </row>
    <row r="1122" spans="1:53" ht="12" customHeight="1" x14ac:dyDescent="0.15">
      <c r="A1122" s="9"/>
      <c r="AN1122" s="9"/>
      <c r="AO1122" s="9"/>
      <c r="AU1122" s="9"/>
      <c r="BA1122" s="9"/>
    </row>
    <row r="1123" spans="1:53" ht="12" customHeight="1" x14ac:dyDescent="0.15">
      <c r="A1123" s="9"/>
      <c r="AN1123" s="9"/>
      <c r="AO1123" s="9"/>
      <c r="AU1123" s="9"/>
      <c r="BA1123" s="9"/>
    </row>
    <row r="1124" spans="1:53" ht="12" customHeight="1" x14ac:dyDescent="0.15">
      <c r="A1124" s="9"/>
      <c r="AN1124" s="9"/>
      <c r="AO1124" s="9"/>
      <c r="AU1124" s="9"/>
      <c r="BA1124" s="9"/>
    </row>
    <row r="1125" spans="1:53" ht="12" customHeight="1" x14ac:dyDescent="0.15">
      <c r="A1125" s="9"/>
      <c r="AN1125" s="9"/>
      <c r="AO1125" s="9"/>
      <c r="AU1125" s="9"/>
      <c r="BA1125" s="9"/>
    </row>
    <row r="1126" spans="1:53" ht="12" customHeight="1" x14ac:dyDescent="0.15">
      <c r="A1126" s="9"/>
      <c r="AN1126" s="9"/>
      <c r="AO1126" s="9"/>
      <c r="AU1126" s="9"/>
      <c r="BA1126" s="9"/>
    </row>
    <row r="1127" spans="1:53" ht="12" customHeight="1" x14ac:dyDescent="0.15">
      <c r="A1127" s="9"/>
      <c r="AN1127" s="9"/>
      <c r="AO1127" s="9"/>
      <c r="AU1127" s="9"/>
      <c r="BA1127" s="9"/>
    </row>
    <row r="1128" spans="1:53" ht="12" customHeight="1" x14ac:dyDescent="0.15">
      <c r="A1128" s="9"/>
      <c r="AN1128" s="9"/>
      <c r="AO1128" s="9"/>
      <c r="AU1128" s="9"/>
      <c r="BA1128" s="9"/>
    </row>
    <row r="1129" spans="1:53" ht="12" customHeight="1" x14ac:dyDescent="0.15">
      <c r="A1129" s="9"/>
      <c r="AN1129" s="9"/>
      <c r="AO1129" s="9"/>
      <c r="AU1129" s="9"/>
      <c r="BA1129" s="9"/>
    </row>
    <row r="1130" spans="1:53" ht="12" customHeight="1" x14ac:dyDescent="0.15">
      <c r="A1130" s="9"/>
      <c r="AN1130" s="9"/>
      <c r="AO1130" s="9"/>
      <c r="AU1130" s="9"/>
      <c r="BA1130" s="9"/>
    </row>
    <row r="1131" spans="1:53" ht="12" customHeight="1" x14ac:dyDescent="0.15">
      <c r="A1131" s="9"/>
      <c r="AN1131" s="9"/>
      <c r="AO1131" s="9"/>
      <c r="AU1131" s="9"/>
      <c r="BA1131" s="9"/>
    </row>
    <row r="1132" spans="1:53" ht="12" customHeight="1" x14ac:dyDescent="0.15">
      <c r="A1132" s="9"/>
      <c r="AN1132" s="9"/>
      <c r="AO1132" s="9"/>
      <c r="AU1132" s="9"/>
      <c r="BA1132" s="9"/>
    </row>
    <row r="1133" spans="1:53" ht="12" customHeight="1" x14ac:dyDescent="0.15">
      <c r="A1133" s="9"/>
      <c r="AN1133" s="9"/>
      <c r="AO1133" s="9"/>
      <c r="AU1133" s="9"/>
      <c r="BA1133" s="9"/>
    </row>
    <row r="1134" spans="1:53" ht="12" customHeight="1" x14ac:dyDescent="0.15">
      <c r="A1134" s="9"/>
      <c r="AN1134" s="9"/>
      <c r="AO1134" s="9"/>
      <c r="AU1134" s="9"/>
      <c r="BA1134" s="9"/>
    </row>
    <row r="1135" spans="1:53" ht="12" customHeight="1" x14ac:dyDescent="0.15">
      <c r="A1135" s="9"/>
      <c r="AN1135" s="9"/>
      <c r="AO1135" s="9"/>
      <c r="AU1135" s="9"/>
      <c r="BA1135" s="9"/>
    </row>
    <row r="1136" spans="1:53" ht="12" customHeight="1" x14ac:dyDescent="0.15">
      <c r="A1136" s="9"/>
      <c r="AN1136" s="9"/>
      <c r="AO1136" s="9"/>
      <c r="AU1136" s="9"/>
      <c r="BA1136" s="9"/>
    </row>
    <row r="1137" spans="1:53" ht="12" customHeight="1" x14ac:dyDescent="0.15">
      <c r="A1137" s="9"/>
      <c r="AN1137" s="9"/>
      <c r="AO1137" s="9"/>
      <c r="AU1137" s="9"/>
      <c r="BA1137" s="9"/>
    </row>
    <row r="1138" spans="1:53" ht="12" customHeight="1" x14ac:dyDescent="0.15">
      <c r="A1138" s="9"/>
      <c r="AN1138" s="9"/>
      <c r="AO1138" s="9"/>
      <c r="AU1138" s="9"/>
      <c r="BA1138" s="9"/>
    </row>
    <row r="1139" spans="1:53" ht="12" customHeight="1" x14ac:dyDescent="0.15">
      <c r="A1139" s="9"/>
      <c r="AN1139" s="9"/>
      <c r="AO1139" s="9"/>
      <c r="AU1139" s="9"/>
      <c r="BA1139" s="9"/>
    </row>
    <row r="1140" spans="1:53" ht="12" customHeight="1" x14ac:dyDescent="0.15">
      <c r="A1140" s="9"/>
      <c r="AN1140" s="9"/>
      <c r="AO1140" s="9"/>
      <c r="AU1140" s="9"/>
      <c r="BA1140" s="9"/>
    </row>
    <row r="1141" spans="1:53" ht="12" customHeight="1" x14ac:dyDescent="0.15">
      <c r="A1141" s="9"/>
      <c r="AN1141" s="9"/>
      <c r="AO1141" s="9"/>
      <c r="AU1141" s="9"/>
      <c r="BA1141" s="9"/>
    </row>
    <row r="1142" spans="1:53" ht="12" customHeight="1" x14ac:dyDescent="0.15">
      <c r="A1142" s="9"/>
      <c r="AN1142" s="9"/>
      <c r="AO1142" s="9"/>
      <c r="AU1142" s="9"/>
      <c r="BA1142" s="9"/>
    </row>
    <row r="1143" spans="1:53" ht="12" customHeight="1" x14ac:dyDescent="0.15">
      <c r="A1143" s="9"/>
      <c r="AN1143" s="9"/>
      <c r="AO1143" s="9"/>
      <c r="AU1143" s="9"/>
      <c r="BA1143" s="9"/>
    </row>
    <row r="1144" spans="1:53" ht="12" customHeight="1" x14ac:dyDescent="0.15">
      <c r="A1144" s="9"/>
      <c r="AN1144" s="9"/>
      <c r="AO1144" s="9"/>
      <c r="AU1144" s="9"/>
      <c r="BA1144" s="9"/>
    </row>
    <row r="1145" spans="1:53" ht="12" customHeight="1" x14ac:dyDescent="0.15">
      <c r="A1145" s="9"/>
      <c r="AN1145" s="9"/>
      <c r="AO1145" s="9"/>
      <c r="AU1145" s="9"/>
      <c r="BA1145" s="9"/>
    </row>
    <row r="1146" spans="1:53" ht="12" customHeight="1" x14ac:dyDescent="0.15">
      <c r="A1146" s="9"/>
      <c r="AN1146" s="9"/>
      <c r="AO1146" s="9"/>
      <c r="AU1146" s="9"/>
      <c r="BA1146" s="9"/>
    </row>
    <row r="1147" spans="1:53" ht="12" customHeight="1" x14ac:dyDescent="0.15">
      <c r="A1147" s="9"/>
      <c r="AN1147" s="9"/>
      <c r="AO1147" s="9"/>
      <c r="AU1147" s="9"/>
      <c r="BA1147" s="9"/>
    </row>
    <row r="1148" spans="1:53" ht="12" customHeight="1" x14ac:dyDescent="0.15">
      <c r="A1148" s="9"/>
      <c r="AN1148" s="9"/>
      <c r="AO1148" s="9"/>
      <c r="AU1148" s="9"/>
      <c r="BA1148" s="9"/>
    </row>
    <row r="1149" spans="1:53" ht="12" customHeight="1" x14ac:dyDescent="0.15">
      <c r="A1149" s="9"/>
      <c r="AN1149" s="9"/>
      <c r="AO1149" s="9"/>
      <c r="AU1149" s="9"/>
      <c r="BA1149" s="9"/>
    </row>
    <row r="1150" spans="1:53" ht="12" customHeight="1" x14ac:dyDescent="0.15">
      <c r="A1150" s="9"/>
      <c r="AN1150" s="9"/>
      <c r="AO1150" s="9"/>
      <c r="AU1150" s="9"/>
      <c r="BA1150" s="9"/>
    </row>
    <row r="1151" spans="1:53" ht="12" customHeight="1" x14ac:dyDescent="0.15">
      <c r="A1151" s="9"/>
      <c r="AN1151" s="9"/>
      <c r="AO1151" s="9"/>
      <c r="AU1151" s="9"/>
      <c r="BA1151" s="9"/>
    </row>
    <row r="1152" spans="1:53" ht="12" customHeight="1" x14ac:dyDescent="0.15">
      <c r="A1152" s="9"/>
      <c r="AN1152" s="9"/>
      <c r="AO1152" s="9"/>
      <c r="AU1152" s="9"/>
      <c r="BA1152" s="9"/>
    </row>
    <row r="1153" spans="1:53" ht="12" customHeight="1" x14ac:dyDescent="0.15">
      <c r="A1153" s="9"/>
      <c r="AN1153" s="9"/>
      <c r="AO1153" s="9"/>
      <c r="AU1153" s="9"/>
      <c r="BA1153" s="9"/>
    </row>
    <row r="1154" spans="1:53" ht="12" customHeight="1" x14ac:dyDescent="0.15">
      <c r="A1154" s="9"/>
      <c r="AN1154" s="9"/>
      <c r="AO1154" s="9"/>
      <c r="AU1154" s="9"/>
      <c r="BA1154" s="9"/>
    </row>
    <row r="1155" spans="1:53" ht="12" customHeight="1" x14ac:dyDescent="0.15">
      <c r="A1155" s="9"/>
      <c r="AN1155" s="9"/>
      <c r="AO1155" s="9"/>
      <c r="AU1155" s="9"/>
      <c r="BA1155" s="9"/>
    </row>
    <row r="1156" spans="1:53" ht="12" customHeight="1" x14ac:dyDescent="0.15">
      <c r="A1156" s="9"/>
      <c r="AN1156" s="9"/>
      <c r="AO1156" s="9"/>
      <c r="AU1156" s="9"/>
      <c r="BA1156" s="9"/>
    </row>
    <row r="1157" spans="1:53" ht="12" customHeight="1" x14ac:dyDescent="0.15">
      <c r="A1157" s="9"/>
      <c r="AN1157" s="9"/>
      <c r="AO1157" s="9"/>
      <c r="AU1157" s="9"/>
      <c r="BA1157" s="9"/>
    </row>
    <row r="1158" spans="1:53" ht="12" customHeight="1" x14ac:dyDescent="0.15">
      <c r="A1158" s="9"/>
      <c r="AN1158" s="9"/>
      <c r="AO1158" s="9"/>
      <c r="AU1158" s="9"/>
      <c r="BA1158" s="9"/>
    </row>
    <row r="1159" spans="1:53" ht="12" customHeight="1" x14ac:dyDescent="0.15">
      <c r="A1159" s="9"/>
      <c r="AN1159" s="9"/>
      <c r="AO1159" s="9"/>
      <c r="AU1159" s="9"/>
      <c r="BA1159" s="9"/>
    </row>
    <row r="1160" spans="1:53" ht="12" customHeight="1" x14ac:dyDescent="0.15">
      <c r="A1160" s="9"/>
      <c r="AN1160" s="9"/>
      <c r="AO1160" s="9"/>
      <c r="AU1160" s="9"/>
      <c r="BA1160" s="9"/>
    </row>
    <row r="1161" spans="1:53" ht="12" customHeight="1" x14ac:dyDescent="0.15">
      <c r="A1161" s="9"/>
      <c r="AN1161" s="9"/>
      <c r="AO1161" s="9"/>
      <c r="AU1161" s="9"/>
      <c r="BA1161" s="9"/>
    </row>
    <row r="1162" spans="1:53" ht="12" customHeight="1" x14ac:dyDescent="0.15">
      <c r="A1162" s="9"/>
      <c r="AN1162" s="9"/>
      <c r="AO1162" s="9"/>
      <c r="AU1162" s="9"/>
      <c r="BA1162" s="9"/>
    </row>
    <row r="1163" spans="1:53" ht="12" customHeight="1" x14ac:dyDescent="0.15">
      <c r="A1163" s="9"/>
      <c r="AN1163" s="9"/>
      <c r="AO1163" s="9"/>
      <c r="AU1163" s="9"/>
      <c r="BA1163" s="9"/>
    </row>
    <row r="1164" spans="1:53" ht="12" customHeight="1" x14ac:dyDescent="0.15">
      <c r="A1164" s="9"/>
      <c r="AN1164" s="9"/>
      <c r="AO1164" s="9"/>
      <c r="AU1164" s="9"/>
      <c r="BA1164" s="9"/>
    </row>
    <row r="1165" spans="1:53" ht="12" customHeight="1" x14ac:dyDescent="0.15">
      <c r="A1165" s="9"/>
      <c r="AN1165" s="9"/>
      <c r="AO1165" s="9"/>
      <c r="AU1165" s="9"/>
      <c r="BA1165" s="9"/>
    </row>
    <row r="1166" spans="1:53" ht="12" customHeight="1" x14ac:dyDescent="0.15">
      <c r="A1166" s="9"/>
      <c r="AN1166" s="9"/>
      <c r="AO1166" s="9"/>
      <c r="AU1166" s="9"/>
      <c r="BA1166" s="9"/>
    </row>
    <row r="1167" spans="1:53" ht="12" customHeight="1" x14ac:dyDescent="0.15">
      <c r="A1167" s="9"/>
      <c r="AN1167" s="9"/>
      <c r="AO1167" s="9"/>
      <c r="AU1167" s="9"/>
      <c r="BA1167" s="9"/>
    </row>
    <row r="1168" spans="1:53" ht="12" customHeight="1" x14ac:dyDescent="0.15">
      <c r="A1168" s="9"/>
      <c r="AN1168" s="9"/>
      <c r="AO1168" s="9"/>
      <c r="AU1168" s="9"/>
      <c r="BA1168" s="9"/>
    </row>
    <row r="1169" spans="1:53" ht="12" customHeight="1" x14ac:dyDescent="0.15">
      <c r="A1169" s="9"/>
      <c r="AN1169" s="9"/>
      <c r="AO1169" s="9"/>
      <c r="AU1169" s="9"/>
      <c r="BA1169" s="9"/>
    </row>
    <row r="1170" spans="1:53" ht="12" customHeight="1" x14ac:dyDescent="0.15">
      <c r="A1170" s="9"/>
      <c r="AN1170" s="9"/>
      <c r="AO1170" s="9"/>
      <c r="AU1170" s="9"/>
      <c r="BA1170" s="9"/>
    </row>
    <row r="1171" spans="1:53" ht="12" customHeight="1" x14ac:dyDescent="0.15">
      <c r="A1171" s="9"/>
      <c r="AN1171" s="9"/>
      <c r="AO1171" s="9"/>
      <c r="AU1171" s="9"/>
      <c r="BA1171" s="9"/>
    </row>
    <row r="1172" spans="1:53" ht="12" customHeight="1" x14ac:dyDescent="0.15">
      <c r="A1172" s="9"/>
      <c r="AN1172" s="9"/>
      <c r="AO1172" s="9"/>
      <c r="AU1172" s="9"/>
      <c r="BA1172" s="9"/>
    </row>
    <row r="1173" spans="1:53" ht="12" customHeight="1" x14ac:dyDescent="0.15">
      <c r="A1173" s="9"/>
      <c r="AN1173" s="9"/>
      <c r="AO1173" s="9"/>
      <c r="AU1173" s="9"/>
      <c r="BA1173" s="9"/>
    </row>
    <row r="1174" spans="1:53" ht="12" customHeight="1" x14ac:dyDescent="0.15">
      <c r="A1174" s="9"/>
      <c r="AN1174" s="9"/>
      <c r="AO1174" s="9"/>
      <c r="AU1174" s="9"/>
      <c r="BA1174" s="9"/>
    </row>
    <row r="1175" spans="1:53" ht="12" customHeight="1" x14ac:dyDescent="0.15">
      <c r="A1175" s="9"/>
      <c r="AN1175" s="9"/>
      <c r="AO1175" s="9"/>
      <c r="AU1175" s="9"/>
      <c r="BA1175" s="9"/>
    </row>
    <row r="1176" spans="1:53" ht="12" customHeight="1" x14ac:dyDescent="0.15">
      <c r="A1176" s="9"/>
      <c r="AN1176" s="9"/>
      <c r="AO1176" s="9"/>
      <c r="AU1176" s="9"/>
      <c r="BA1176" s="9"/>
    </row>
    <row r="1177" spans="1:53" ht="12" customHeight="1" x14ac:dyDescent="0.15">
      <c r="A1177" s="9"/>
      <c r="AN1177" s="9"/>
      <c r="AO1177" s="9"/>
      <c r="AU1177" s="9"/>
      <c r="BA1177" s="9"/>
    </row>
    <row r="1178" spans="1:53" ht="12" customHeight="1" x14ac:dyDescent="0.15">
      <c r="A1178" s="9"/>
      <c r="AN1178" s="9"/>
      <c r="AO1178" s="9"/>
      <c r="AU1178" s="9"/>
      <c r="BA1178" s="9"/>
    </row>
    <row r="1179" spans="1:53" ht="12" customHeight="1" x14ac:dyDescent="0.15">
      <c r="A1179" s="9"/>
      <c r="AN1179" s="9"/>
      <c r="AO1179" s="9"/>
      <c r="AU1179" s="9"/>
      <c r="BA1179" s="9"/>
    </row>
    <row r="1180" spans="1:53" ht="12" customHeight="1" x14ac:dyDescent="0.15">
      <c r="A1180" s="9"/>
      <c r="AN1180" s="9"/>
      <c r="AO1180" s="9"/>
      <c r="AU1180" s="9"/>
      <c r="BA1180" s="9"/>
    </row>
    <row r="1181" spans="1:53" ht="12" customHeight="1" x14ac:dyDescent="0.15">
      <c r="A1181" s="9"/>
      <c r="AN1181" s="9"/>
      <c r="AO1181" s="9"/>
      <c r="AU1181" s="9"/>
      <c r="BA1181" s="9"/>
    </row>
    <row r="1182" spans="1:53" ht="12" customHeight="1" x14ac:dyDescent="0.15">
      <c r="A1182" s="9"/>
      <c r="AN1182" s="9"/>
      <c r="AO1182" s="9"/>
      <c r="AU1182" s="9"/>
      <c r="BA1182" s="9"/>
    </row>
    <row r="1183" spans="1:53" ht="12" customHeight="1" x14ac:dyDescent="0.15">
      <c r="A1183" s="9"/>
      <c r="AN1183" s="9"/>
      <c r="AO1183" s="9"/>
      <c r="AU1183" s="9"/>
      <c r="BA1183" s="9"/>
    </row>
    <row r="1184" spans="1:53" ht="12" customHeight="1" x14ac:dyDescent="0.15">
      <c r="A1184" s="9"/>
      <c r="AN1184" s="9"/>
      <c r="AO1184" s="9"/>
      <c r="AU1184" s="9"/>
      <c r="BA1184" s="9"/>
    </row>
    <row r="1185" spans="1:53" ht="12" customHeight="1" x14ac:dyDescent="0.15">
      <c r="A1185" s="9"/>
      <c r="AN1185" s="9"/>
      <c r="AO1185" s="9"/>
      <c r="AU1185" s="9"/>
      <c r="BA1185" s="9"/>
    </row>
    <row r="1186" spans="1:53" ht="12" customHeight="1" x14ac:dyDescent="0.15">
      <c r="A1186" s="9"/>
      <c r="AN1186" s="9"/>
      <c r="AO1186" s="9"/>
      <c r="AU1186" s="9"/>
      <c r="BA1186" s="9"/>
    </row>
    <row r="1187" spans="1:53" ht="12" customHeight="1" x14ac:dyDescent="0.15">
      <c r="A1187" s="9"/>
      <c r="AN1187" s="9"/>
      <c r="AO1187" s="9"/>
      <c r="AU1187" s="9"/>
      <c r="BA1187" s="9"/>
    </row>
    <row r="1188" spans="1:53" ht="12" customHeight="1" x14ac:dyDescent="0.15">
      <c r="A1188" s="9"/>
      <c r="AN1188" s="9"/>
      <c r="AO1188" s="9"/>
      <c r="AU1188" s="9"/>
      <c r="BA1188" s="9"/>
    </row>
    <row r="1189" spans="1:53" ht="12" customHeight="1" x14ac:dyDescent="0.15">
      <c r="A1189" s="9"/>
      <c r="AN1189" s="9"/>
      <c r="AO1189" s="9"/>
      <c r="AU1189" s="9"/>
      <c r="BA1189" s="9"/>
    </row>
    <row r="1190" spans="1:53" ht="12" customHeight="1" x14ac:dyDescent="0.15">
      <c r="A1190" s="9"/>
      <c r="AN1190" s="9"/>
      <c r="AO1190" s="9"/>
      <c r="AU1190" s="9"/>
      <c r="BA1190" s="9"/>
    </row>
    <row r="1191" spans="1:53" ht="12" customHeight="1" x14ac:dyDescent="0.15">
      <c r="A1191" s="9"/>
      <c r="AN1191" s="9"/>
      <c r="AO1191" s="9"/>
      <c r="AU1191" s="9"/>
      <c r="BA1191" s="9"/>
    </row>
    <row r="1192" spans="1:53" ht="12" customHeight="1" x14ac:dyDescent="0.15">
      <c r="A1192" s="9"/>
      <c r="AN1192" s="9"/>
      <c r="AO1192" s="9"/>
      <c r="AU1192" s="9"/>
      <c r="BA1192" s="9"/>
    </row>
    <row r="1193" spans="1:53" ht="12" customHeight="1" x14ac:dyDescent="0.15">
      <c r="A1193" s="9"/>
      <c r="AN1193" s="9"/>
      <c r="AO1193" s="9"/>
      <c r="AU1193" s="9"/>
      <c r="BA1193" s="9"/>
    </row>
    <row r="1194" spans="1:53" ht="12" customHeight="1" x14ac:dyDescent="0.15">
      <c r="A1194" s="9"/>
      <c r="AN1194" s="9"/>
      <c r="AO1194" s="9"/>
      <c r="AU1194" s="9"/>
      <c r="BA1194" s="9"/>
    </row>
    <row r="1195" spans="1:53" ht="12" customHeight="1" x14ac:dyDescent="0.15">
      <c r="A1195" s="9"/>
      <c r="AN1195" s="9"/>
      <c r="AO1195" s="9"/>
      <c r="AU1195" s="9"/>
      <c r="BA1195" s="9"/>
    </row>
    <row r="1196" spans="1:53" ht="12" customHeight="1" x14ac:dyDescent="0.15">
      <c r="A1196" s="9"/>
      <c r="AN1196" s="9"/>
      <c r="AO1196" s="9"/>
      <c r="AU1196" s="9"/>
      <c r="BA1196" s="9"/>
    </row>
    <row r="1197" spans="1:53" ht="12" customHeight="1" x14ac:dyDescent="0.15">
      <c r="A1197" s="9"/>
      <c r="AN1197" s="9"/>
      <c r="AO1197" s="9"/>
      <c r="AU1197" s="9"/>
      <c r="BA1197" s="9"/>
    </row>
    <row r="1198" spans="1:53" ht="12" customHeight="1" x14ac:dyDescent="0.15">
      <c r="A1198" s="9"/>
      <c r="AN1198" s="9"/>
      <c r="AO1198" s="9"/>
      <c r="AU1198" s="9"/>
      <c r="BA1198" s="9"/>
    </row>
    <row r="1199" spans="1:53" ht="12" customHeight="1" x14ac:dyDescent="0.15">
      <c r="A1199" s="9"/>
      <c r="AN1199" s="9"/>
      <c r="AO1199" s="9"/>
      <c r="AU1199" s="9"/>
      <c r="BA1199" s="9"/>
    </row>
    <row r="1200" spans="1:53" ht="12" customHeight="1" x14ac:dyDescent="0.15">
      <c r="A1200" s="9"/>
      <c r="AN1200" s="9"/>
      <c r="AO1200" s="9"/>
      <c r="AU1200" s="9"/>
      <c r="BA1200" s="9"/>
    </row>
    <row r="1201" spans="1:53" ht="12" customHeight="1" x14ac:dyDescent="0.15">
      <c r="A1201" s="9"/>
      <c r="AN1201" s="9"/>
      <c r="AO1201" s="9"/>
      <c r="AU1201" s="9"/>
      <c r="BA1201" s="9"/>
    </row>
    <row r="1202" spans="1:53" ht="12" customHeight="1" x14ac:dyDescent="0.15">
      <c r="A1202" s="9"/>
      <c r="AN1202" s="9"/>
      <c r="AO1202" s="9"/>
      <c r="AU1202" s="9"/>
      <c r="BA1202" s="9"/>
    </row>
    <row r="1203" spans="1:53" ht="12" customHeight="1" x14ac:dyDescent="0.15">
      <c r="A1203" s="9"/>
      <c r="AN1203" s="9"/>
      <c r="AO1203" s="9"/>
      <c r="AU1203" s="9"/>
      <c r="BA1203" s="9"/>
    </row>
    <row r="1204" spans="1:53" ht="12" customHeight="1" x14ac:dyDescent="0.15">
      <c r="A1204" s="9"/>
      <c r="AN1204" s="9"/>
      <c r="AO1204" s="9"/>
      <c r="AU1204" s="9"/>
      <c r="BA1204" s="9"/>
    </row>
    <row r="1205" spans="1:53" ht="12" customHeight="1" x14ac:dyDescent="0.15">
      <c r="A1205" s="9"/>
      <c r="AN1205" s="9"/>
      <c r="AO1205" s="9"/>
      <c r="AU1205" s="9"/>
      <c r="BA1205" s="9"/>
    </row>
    <row r="1206" spans="1:53" ht="12" customHeight="1" x14ac:dyDescent="0.15">
      <c r="A1206" s="9"/>
      <c r="AN1206" s="9"/>
      <c r="AO1206" s="9"/>
      <c r="AU1206" s="9"/>
      <c r="BA1206" s="9"/>
    </row>
    <row r="1207" spans="1:53" ht="12" customHeight="1" x14ac:dyDescent="0.15">
      <c r="A1207" s="9"/>
      <c r="AN1207" s="9"/>
      <c r="AO1207" s="9"/>
      <c r="AU1207" s="9"/>
      <c r="BA1207" s="9"/>
    </row>
    <row r="1208" spans="1:53" ht="12" customHeight="1" x14ac:dyDescent="0.15">
      <c r="A1208" s="9"/>
      <c r="AN1208" s="9"/>
      <c r="AO1208" s="9"/>
      <c r="AU1208" s="9"/>
      <c r="BA1208" s="9"/>
    </row>
    <row r="1209" spans="1:53" ht="12" customHeight="1" x14ac:dyDescent="0.15">
      <c r="A1209" s="9"/>
      <c r="AN1209" s="9"/>
      <c r="AO1209" s="9"/>
      <c r="AU1209" s="9"/>
      <c r="BA1209" s="9"/>
    </row>
    <row r="1210" spans="1:53" ht="12" customHeight="1" x14ac:dyDescent="0.15">
      <c r="A1210" s="9"/>
      <c r="AN1210" s="9"/>
      <c r="AO1210" s="9"/>
      <c r="AU1210" s="9"/>
      <c r="BA1210" s="9"/>
    </row>
    <row r="1211" spans="1:53" ht="12" customHeight="1" x14ac:dyDescent="0.15">
      <c r="A1211" s="9"/>
      <c r="AN1211" s="9"/>
      <c r="AO1211" s="9"/>
      <c r="AU1211" s="9"/>
      <c r="BA1211" s="9"/>
    </row>
    <row r="1212" spans="1:53" ht="12" customHeight="1" x14ac:dyDescent="0.15">
      <c r="A1212" s="9"/>
      <c r="AN1212" s="9"/>
      <c r="AO1212" s="9"/>
      <c r="AU1212" s="9"/>
      <c r="BA1212" s="9"/>
    </row>
    <row r="1213" spans="1:53" ht="12" customHeight="1" x14ac:dyDescent="0.15">
      <c r="A1213" s="9"/>
      <c r="AN1213" s="9"/>
      <c r="AO1213" s="9"/>
      <c r="AU1213" s="9"/>
      <c r="BA1213" s="9"/>
    </row>
    <row r="1214" spans="1:53" ht="12" customHeight="1" x14ac:dyDescent="0.15">
      <c r="A1214" s="9"/>
      <c r="AN1214" s="9"/>
      <c r="AO1214" s="9"/>
      <c r="AU1214" s="9"/>
      <c r="BA1214" s="9"/>
    </row>
    <row r="1215" spans="1:53" ht="12" customHeight="1" x14ac:dyDescent="0.15">
      <c r="A1215" s="9"/>
      <c r="AN1215" s="9"/>
      <c r="AO1215" s="9"/>
      <c r="AU1215" s="9"/>
      <c r="BA1215" s="9"/>
    </row>
    <row r="1216" spans="1:53" ht="12" customHeight="1" x14ac:dyDescent="0.15">
      <c r="A1216" s="9"/>
      <c r="AN1216" s="9"/>
      <c r="AO1216" s="9"/>
      <c r="AU1216" s="9"/>
      <c r="BA1216" s="9"/>
    </row>
    <row r="1217" spans="1:53" ht="12" customHeight="1" x14ac:dyDescent="0.15">
      <c r="A1217" s="9"/>
      <c r="AN1217" s="9"/>
      <c r="AO1217" s="9"/>
      <c r="AU1217" s="9"/>
      <c r="BA1217" s="9"/>
    </row>
    <row r="1218" spans="1:53" ht="12" customHeight="1" x14ac:dyDescent="0.15">
      <c r="A1218" s="9"/>
      <c r="AN1218" s="9"/>
      <c r="AO1218" s="9"/>
      <c r="AU1218" s="9"/>
      <c r="BA1218" s="9"/>
    </row>
    <row r="1219" spans="1:53" ht="12" customHeight="1" x14ac:dyDescent="0.15">
      <c r="A1219" s="9"/>
      <c r="AN1219" s="9"/>
      <c r="AO1219" s="9"/>
      <c r="AU1219" s="9"/>
      <c r="BA1219" s="9"/>
    </row>
    <row r="1220" spans="1:53" ht="12" customHeight="1" x14ac:dyDescent="0.15">
      <c r="A1220" s="9"/>
      <c r="AN1220" s="9"/>
      <c r="AO1220" s="9"/>
      <c r="AU1220" s="9"/>
      <c r="BA1220" s="9"/>
    </row>
    <row r="1221" spans="1:53" ht="12" customHeight="1" x14ac:dyDescent="0.15">
      <c r="A1221" s="9"/>
      <c r="AN1221" s="9"/>
      <c r="AO1221" s="9"/>
      <c r="AU1221" s="9"/>
      <c r="BA1221" s="9"/>
    </row>
    <row r="1222" spans="1:53" ht="12" customHeight="1" x14ac:dyDescent="0.15">
      <c r="A1222" s="9"/>
      <c r="AN1222" s="9"/>
      <c r="AO1222" s="9"/>
      <c r="AU1222" s="9"/>
      <c r="BA1222" s="9"/>
    </row>
    <row r="1223" spans="1:53" ht="12" customHeight="1" x14ac:dyDescent="0.15">
      <c r="A1223" s="9"/>
      <c r="AN1223" s="9"/>
      <c r="AO1223" s="9"/>
      <c r="AU1223" s="9"/>
      <c r="BA1223" s="9"/>
    </row>
    <row r="1224" spans="1:53" ht="12" customHeight="1" x14ac:dyDescent="0.15">
      <c r="A1224" s="9"/>
      <c r="AN1224" s="9"/>
      <c r="AO1224" s="9"/>
      <c r="AU1224" s="9"/>
      <c r="BA1224" s="9"/>
    </row>
    <row r="1225" spans="1:53" ht="12" customHeight="1" x14ac:dyDescent="0.15">
      <c r="A1225" s="9"/>
      <c r="AN1225" s="9"/>
      <c r="AO1225" s="9"/>
      <c r="AU1225" s="9"/>
      <c r="BA1225" s="9"/>
    </row>
    <row r="1226" spans="1:53" ht="12" customHeight="1" x14ac:dyDescent="0.15">
      <c r="A1226" s="9"/>
      <c r="AN1226" s="9"/>
      <c r="AO1226" s="9"/>
      <c r="AU1226" s="9"/>
      <c r="BA1226" s="9"/>
    </row>
    <row r="1227" spans="1:53" ht="12" customHeight="1" x14ac:dyDescent="0.15">
      <c r="A1227" s="9"/>
      <c r="AN1227" s="9"/>
      <c r="AO1227" s="9"/>
      <c r="AU1227" s="9"/>
      <c r="BA1227" s="9"/>
    </row>
    <row r="1228" spans="1:53" ht="12" customHeight="1" x14ac:dyDescent="0.15">
      <c r="A1228" s="9"/>
      <c r="AN1228" s="9"/>
      <c r="AO1228" s="9"/>
      <c r="AU1228" s="9"/>
      <c r="BA1228" s="9"/>
    </row>
    <row r="1229" spans="1:53" ht="12" customHeight="1" x14ac:dyDescent="0.15">
      <c r="A1229" s="9"/>
      <c r="AN1229" s="9"/>
      <c r="AO1229" s="9"/>
      <c r="AU1229" s="9"/>
      <c r="BA1229" s="9"/>
    </row>
    <row r="1230" spans="1:53" ht="12" customHeight="1" x14ac:dyDescent="0.15">
      <c r="A1230" s="9"/>
      <c r="AN1230" s="9"/>
      <c r="AO1230" s="9"/>
      <c r="AU1230" s="9"/>
      <c r="BA1230" s="9"/>
    </row>
    <row r="1231" spans="1:53" ht="12" customHeight="1" x14ac:dyDescent="0.15">
      <c r="A1231" s="9"/>
      <c r="AN1231" s="9"/>
      <c r="AO1231" s="9"/>
      <c r="AU1231" s="9"/>
      <c r="BA1231" s="9"/>
    </row>
    <row r="1232" spans="1:53" ht="12" customHeight="1" x14ac:dyDescent="0.15">
      <c r="A1232" s="9"/>
      <c r="AN1232" s="9"/>
      <c r="AO1232" s="9"/>
      <c r="AU1232" s="9"/>
      <c r="BA1232" s="9"/>
    </row>
    <row r="1233" spans="1:53" ht="12" customHeight="1" x14ac:dyDescent="0.15">
      <c r="A1233" s="9"/>
      <c r="AN1233" s="9"/>
      <c r="AO1233" s="9"/>
      <c r="AU1233" s="9"/>
      <c r="BA1233" s="9"/>
    </row>
    <row r="1234" spans="1:53" ht="12" customHeight="1" x14ac:dyDescent="0.15">
      <c r="A1234" s="9"/>
      <c r="AN1234" s="9"/>
      <c r="AO1234" s="9"/>
      <c r="AU1234" s="9"/>
      <c r="BA1234" s="9"/>
    </row>
    <row r="1235" spans="1:53" ht="12" customHeight="1" x14ac:dyDescent="0.15">
      <c r="A1235" s="9"/>
      <c r="AN1235" s="9"/>
      <c r="AO1235" s="9"/>
      <c r="AU1235" s="9"/>
      <c r="BA1235" s="9"/>
    </row>
    <row r="1236" spans="1:53" ht="12" customHeight="1" x14ac:dyDescent="0.15">
      <c r="A1236" s="9"/>
      <c r="AN1236" s="9"/>
      <c r="AO1236" s="9"/>
      <c r="AU1236" s="9"/>
      <c r="BA1236" s="9"/>
    </row>
    <row r="1237" spans="1:53" ht="12" customHeight="1" x14ac:dyDescent="0.15">
      <c r="A1237" s="9"/>
      <c r="AN1237" s="9"/>
      <c r="AO1237" s="9"/>
      <c r="AU1237" s="9"/>
      <c r="BA1237" s="9"/>
    </row>
    <row r="1238" spans="1:53" ht="12" customHeight="1" x14ac:dyDescent="0.15">
      <c r="A1238" s="9"/>
      <c r="AN1238" s="9"/>
      <c r="AO1238" s="9"/>
      <c r="AU1238" s="9"/>
      <c r="BA1238" s="9"/>
    </row>
    <row r="1239" spans="1:53" ht="12" customHeight="1" x14ac:dyDescent="0.15">
      <c r="A1239" s="9"/>
      <c r="AN1239" s="9"/>
      <c r="AO1239" s="9"/>
      <c r="AU1239" s="9"/>
      <c r="BA1239" s="9"/>
    </row>
    <row r="1240" spans="1:53" ht="12" customHeight="1" x14ac:dyDescent="0.15">
      <c r="A1240" s="9"/>
      <c r="AN1240" s="9"/>
      <c r="AO1240" s="9"/>
      <c r="AU1240" s="9"/>
      <c r="BA1240" s="9"/>
    </row>
    <row r="1241" spans="1:53" ht="12" customHeight="1" x14ac:dyDescent="0.15">
      <c r="A1241" s="9"/>
      <c r="AN1241" s="9"/>
      <c r="AO1241" s="9"/>
      <c r="AU1241" s="9"/>
      <c r="BA1241" s="9"/>
    </row>
    <row r="1242" spans="1:53" ht="12" customHeight="1" x14ac:dyDescent="0.15">
      <c r="A1242" s="9"/>
      <c r="AN1242" s="9"/>
      <c r="AO1242" s="9"/>
      <c r="AU1242" s="9"/>
      <c r="BA1242" s="9"/>
    </row>
    <row r="1243" spans="1:53" ht="12" customHeight="1" x14ac:dyDescent="0.15">
      <c r="A1243" s="9"/>
      <c r="AN1243" s="9"/>
      <c r="AO1243" s="9"/>
      <c r="AU1243" s="9"/>
      <c r="BA1243" s="9"/>
    </row>
    <row r="1244" spans="1:53" ht="12" customHeight="1" x14ac:dyDescent="0.15">
      <c r="A1244" s="9"/>
      <c r="AN1244" s="9"/>
      <c r="AO1244" s="9"/>
      <c r="AU1244" s="9"/>
      <c r="BA1244" s="9"/>
    </row>
    <row r="1245" spans="1:53" ht="12" customHeight="1" x14ac:dyDescent="0.15">
      <c r="A1245" s="9"/>
      <c r="AN1245" s="9"/>
      <c r="AO1245" s="9"/>
      <c r="AU1245" s="9"/>
      <c r="BA1245" s="9"/>
    </row>
    <row r="1246" spans="1:53" ht="12" customHeight="1" x14ac:dyDescent="0.15">
      <c r="A1246" s="9"/>
      <c r="AN1246" s="9"/>
      <c r="AO1246" s="9"/>
      <c r="AU1246" s="9"/>
      <c r="BA1246" s="9"/>
    </row>
    <row r="1247" spans="1:53" ht="12" customHeight="1" x14ac:dyDescent="0.15">
      <c r="A1247" s="9"/>
      <c r="AN1247" s="9"/>
      <c r="AO1247" s="9"/>
      <c r="AU1247" s="9"/>
      <c r="BA1247" s="9"/>
    </row>
    <row r="1248" spans="1:53" ht="12" customHeight="1" x14ac:dyDescent="0.15">
      <c r="A1248" s="9"/>
      <c r="AN1248" s="9"/>
      <c r="AO1248" s="9"/>
      <c r="AU1248" s="9"/>
      <c r="BA1248" s="9"/>
    </row>
    <row r="1249" spans="1:53" ht="12" customHeight="1" x14ac:dyDescent="0.15">
      <c r="A1249" s="9"/>
      <c r="AN1249" s="9"/>
      <c r="AO1249" s="9"/>
      <c r="AU1249" s="9"/>
      <c r="BA1249" s="9"/>
    </row>
    <row r="1250" spans="1:53" ht="12" customHeight="1" x14ac:dyDescent="0.15">
      <c r="A1250" s="9"/>
      <c r="AN1250" s="9"/>
      <c r="AO1250" s="9"/>
      <c r="AU1250" s="9"/>
      <c r="BA1250" s="9"/>
    </row>
    <row r="1251" spans="1:53" ht="12" customHeight="1" x14ac:dyDescent="0.15">
      <c r="A1251" s="9"/>
      <c r="AN1251" s="9"/>
      <c r="AO1251" s="9"/>
      <c r="AU1251" s="9"/>
      <c r="BA1251" s="9"/>
    </row>
    <row r="1252" spans="1:53" ht="12" customHeight="1" x14ac:dyDescent="0.15">
      <c r="A1252" s="9"/>
      <c r="AN1252" s="9"/>
      <c r="AO1252" s="9"/>
      <c r="AU1252" s="9"/>
      <c r="BA1252" s="9"/>
    </row>
    <row r="1253" spans="1:53" ht="12" customHeight="1" x14ac:dyDescent="0.15">
      <c r="A1253" s="9"/>
      <c r="AN1253" s="9"/>
      <c r="AO1253" s="9"/>
      <c r="AU1253" s="9"/>
      <c r="BA1253" s="9"/>
    </row>
    <row r="1254" spans="1:53" ht="12" customHeight="1" x14ac:dyDescent="0.15">
      <c r="A1254" s="9"/>
      <c r="AN1254" s="9"/>
      <c r="AO1254" s="9"/>
      <c r="AU1254" s="9"/>
      <c r="BA1254" s="9"/>
    </row>
    <row r="1255" spans="1:53" ht="12" customHeight="1" x14ac:dyDescent="0.15">
      <c r="A1255" s="9"/>
      <c r="AN1255" s="9"/>
      <c r="AO1255" s="9"/>
      <c r="AU1255" s="9"/>
      <c r="BA1255" s="9"/>
    </row>
    <row r="1256" spans="1:53" ht="12" customHeight="1" x14ac:dyDescent="0.15">
      <c r="A1256" s="9"/>
      <c r="AN1256" s="9"/>
      <c r="AO1256" s="9"/>
      <c r="AU1256" s="9"/>
      <c r="BA1256" s="9"/>
    </row>
    <row r="1257" spans="1:53" ht="12" customHeight="1" x14ac:dyDescent="0.15">
      <c r="A1257" s="9"/>
      <c r="AN1257" s="9"/>
      <c r="AO1257" s="9"/>
      <c r="AU1257" s="9"/>
      <c r="BA1257" s="9"/>
    </row>
    <row r="1258" spans="1:53" ht="12" customHeight="1" x14ac:dyDescent="0.15">
      <c r="A1258" s="9"/>
      <c r="AN1258" s="9"/>
      <c r="AO1258" s="9"/>
      <c r="AU1258" s="9"/>
      <c r="BA1258" s="9"/>
    </row>
    <row r="1259" spans="1:53" ht="12" customHeight="1" x14ac:dyDescent="0.15">
      <c r="A1259" s="9"/>
      <c r="AN1259" s="9"/>
      <c r="AO1259" s="9"/>
      <c r="AU1259" s="9"/>
      <c r="BA1259" s="9"/>
    </row>
    <row r="1260" spans="1:53" ht="12" customHeight="1" x14ac:dyDescent="0.15">
      <c r="A1260" s="9"/>
      <c r="AN1260" s="9"/>
      <c r="AO1260" s="9"/>
      <c r="AU1260" s="9"/>
      <c r="BA1260" s="9"/>
    </row>
    <row r="1261" spans="1:53" ht="12" customHeight="1" x14ac:dyDescent="0.15">
      <c r="A1261" s="9"/>
      <c r="AN1261" s="9"/>
      <c r="AO1261" s="9"/>
      <c r="AU1261" s="9"/>
      <c r="BA1261" s="9"/>
    </row>
    <row r="1262" spans="1:53" ht="12" customHeight="1" x14ac:dyDescent="0.15">
      <c r="A1262" s="9"/>
      <c r="AN1262" s="9"/>
      <c r="AO1262" s="9"/>
      <c r="AU1262" s="9"/>
      <c r="BA1262" s="9"/>
    </row>
    <row r="1263" spans="1:53" ht="12" customHeight="1" x14ac:dyDescent="0.15">
      <c r="A1263" s="9"/>
      <c r="AN1263" s="9"/>
      <c r="AO1263" s="9"/>
      <c r="AU1263" s="9"/>
      <c r="BA1263" s="9"/>
    </row>
    <row r="1264" spans="1:53" ht="12" customHeight="1" x14ac:dyDescent="0.15">
      <c r="A1264" s="9"/>
      <c r="AN1264" s="9"/>
      <c r="AO1264" s="9"/>
      <c r="AU1264" s="9"/>
      <c r="BA1264" s="9"/>
    </row>
    <row r="1265" spans="1:53" ht="12" customHeight="1" x14ac:dyDescent="0.15">
      <c r="A1265" s="9"/>
      <c r="AN1265" s="9"/>
      <c r="AO1265" s="9"/>
      <c r="AU1265" s="9"/>
      <c r="BA1265" s="9"/>
    </row>
    <row r="1266" spans="1:53" ht="12" customHeight="1" x14ac:dyDescent="0.15">
      <c r="A1266" s="9"/>
      <c r="AN1266" s="9"/>
      <c r="AO1266" s="9"/>
      <c r="AU1266" s="9"/>
      <c r="BA1266" s="9"/>
    </row>
    <row r="1267" spans="1:53" ht="12" customHeight="1" x14ac:dyDescent="0.15">
      <c r="A1267" s="9"/>
      <c r="AN1267" s="9"/>
      <c r="AO1267" s="9"/>
      <c r="AU1267" s="9"/>
      <c r="BA1267" s="9"/>
    </row>
    <row r="1268" spans="1:53" ht="12" customHeight="1" x14ac:dyDescent="0.15">
      <c r="A1268" s="9"/>
      <c r="AN1268" s="9"/>
      <c r="AO1268" s="9"/>
      <c r="AU1268" s="9"/>
      <c r="BA1268" s="9"/>
    </row>
    <row r="1269" spans="1:53" ht="12" customHeight="1" x14ac:dyDescent="0.15">
      <c r="A1269" s="9"/>
      <c r="AN1269" s="9"/>
      <c r="AO1269" s="9"/>
      <c r="AU1269" s="9"/>
      <c r="BA1269" s="9"/>
    </row>
    <row r="1270" spans="1:53" ht="12" customHeight="1" x14ac:dyDescent="0.15">
      <c r="A1270" s="9"/>
      <c r="AN1270" s="9"/>
      <c r="AO1270" s="9"/>
      <c r="AU1270" s="9"/>
      <c r="BA1270" s="9"/>
    </row>
    <row r="1271" spans="1:53" ht="12" customHeight="1" x14ac:dyDescent="0.15">
      <c r="A1271" s="9"/>
      <c r="AN1271" s="9"/>
      <c r="AO1271" s="9"/>
      <c r="AU1271" s="9"/>
      <c r="BA1271" s="9"/>
    </row>
    <row r="1272" spans="1:53" ht="12" customHeight="1" x14ac:dyDescent="0.15">
      <c r="A1272" s="9"/>
      <c r="AN1272" s="9"/>
      <c r="AO1272" s="9"/>
      <c r="AU1272" s="9"/>
      <c r="BA1272" s="9"/>
    </row>
    <row r="1273" spans="1:53" ht="12" customHeight="1" x14ac:dyDescent="0.15">
      <c r="A1273" s="9"/>
      <c r="AN1273" s="9"/>
      <c r="AO1273" s="9"/>
      <c r="AU1273" s="9"/>
      <c r="BA1273" s="9"/>
    </row>
  </sheetData>
  <mergeCells count="43">
    <mergeCell ref="BX29:BX31"/>
    <mergeCell ref="C54:I56"/>
    <mergeCell ref="K54:L55"/>
    <mergeCell ref="N54:O55"/>
    <mergeCell ref="BW21:BW28"/>
    <mergeCell ref="BL29:BL31"/>
    <mergeCell ref="BK29:BK31"/>
    <mergeCell ref="BF29:BF31"/>
    <mergeCell ref="BG29:BG31"/>
    <mergeCell ref="BH29:BH31"/>
    <mergeCell ref="BI29:BI31"/>
    <mergeCell ref="BR30:BR31"/>
    <mergeCell ref="BS30:BS31"/>
    <mergeCell ref="BT30:BT31"/>
    <mergeCell ref="BW29:BW31"/>
    <mergeCell ref="BM30:BM31"/>
    <mergeCell ref="AG30:AG31"/>
    <mergeCell ref="R8:R12"/>
    <mergeCell ref="S8:S12"/>
    <mergeCell ref="T8:T12"/>
    <mergeCell ref="U8:U12"/>
    <mergeCell ref="V8:V12"/>
    <mergeCell ref="BO30:BO31"/>
    <mergeCell ref="BP30:BP31"/>
    <mergeCell ref="BQ30:BQ31"/>
    <mergeCell ref="BE29:BE31"/>
    <mergeCell ref="W8:W12"/>
    <mergeCell ref="AP29:AP31"/>
    <mergeCell ref="AQ29:AQ31"/>
    <mergeCell ref="AR29:AR31"/>
    <mergeCell ref="X8:X12"/>
    <mergeCell ref="AB22:AB24"/>
    <mergeCell ref="AC22:AC24"/>
    <mergeCell ref="AD22:AE24"/>
    <mergeCell ref="AF22:AH24"/>
    <mergeCell ref="AI22:AJ24"/>
    <mergeCell ref="AK22:AK24"/>
    <mergeCell ref="AO30:AO31"/>
    <mergeCell ref="BC29:BC31"/>
    <mergeCell ref="BD29:BD31"/>
    <mergeCell ref="AS29:AS31"/>
    <mergeCell ref="AT29:AT31"/>
    <mergeCell ref="BN30:BN31"/>
  </mergeCells>
  <phoneticPr fontId="2"/>
  <hyperlinks>
    <hyperlink ref="AB2" r:id="rId1"/>
    <hyperlink ref="R2" r:id="rId2"/>
  </hyperlinks>
  <pageMargins left="0.75" right="0.75" top="1" bottom="1" header="0" footer="0"/>
  <pageSetup paperSize="8" orientation="portrait" verticalDpi="0"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343"/>
  <sheetViews>
    <sheetView zoomScale="75" zoomScaleNormal="75" workbookViewId="0">
      <selection activeCell="S21" sqref="S21"/>
    </sheetView>
  </sheetViews>
  <sheetFormatPr defaultColWidth="4.625" defaultRowHeight="9.9499999999999993" customHeight="1" x14ac:dyDescent="0.15"/>
  <cols>
    <col min="1" max="1" width="4.125" style="238" bestFit="1" customWidth="1"/>
    <col min="2" max="2" width="5.5" style="239" customWidth="1"/>
    <col min="3" max="4" width="4.125" style="239" customWidth="1"/>
    <col min="5" max="5" width="4.875" style="239" customWidth="1"/>
    <col min="6" max="38" width="4" style="239" customWidth="1"/>
    <col min="39" max="16384" width="4.625" style="239"/>
  </cols>
  <sheetData>
    <row r="2" spans="1:11" ht="9.9499999999999993" customHeight="1" x14ac:dyDescent="0.15">
      <c r="B2" s="239" t="s">
        <v>477</v>
      </c>
      <c r="C2" s="240"/>
      <c r="D2" s="240"/>
      <c r="E2" s="240"/>
      <c r="F2" s="257"/>
      <c r="G2" s="240"/>
      <c r="H2" s="240"/>
      <c r="I2" s="240"/>
      <c r="J2" s="239" t="s">
        <v>2</v>
      </c>
      <c r="K2" s="240"/>
    </row>
    <row r="3" spans="1:11" ht="9.9499999999999993" customHeight="1" x14ac:dyDescent="0.15">
      <c r="A3" s="238" t="s">
        <v>197</v>
      </c>
      <c r="B3" s="258" t="s">
        <v>0</v>
      </c>
      <c r="C3" s="259" t="s">
        <v>450</v>
      </c>
      <c r="D3" s="241"/>
      <c r="E3" s="242"/>
      <c r="F3" s="260" t="s">
        <v>13</v>
      </c>
      <c r="G3" s="243"/>
      <c r="H3" s="260" t="s">
        <v>14</v>
      </c>
      <c r="I3" s="243"/>
      <c r="J3" s="260" t="s">
        <v>15</v>
      </c>
      <c r="K3" s="243"/>
    </row>
    <row r="4" spans="1:11" ht="9.9499999999999993" customHeight="1" x14ac:dyDescent="0.15">
      <c r="A4" s="238" t="s">
        <v>197</v>
      </c>
      <c r="B4" s="244"/>
      <c r="C4" s="245"/>
      <c r="D4" s="240"/>
      <c r="E4" s="246"/>
      <c r="F4" s="261" t="s">
        <v>3</v>
      </c>
      <c r="G4" s="261" t="s">
        <v>1</v>
      </c>
      <c r="H4" s="261" t="s">
        <v>3</v>
      </c>
      <c r="I4" s="261" t="s">
        <v>4</v>
      </c>
      <c r="J4" s="261" t="s">
        <v>3</v>
      </c>
      <c r="K4" s="261" t="s">
        <v>4</v>
      </c>
    </row>
    <row r="5" spans="1:11" ht="9.9499999999999993" customHeight="1" x14ac:dyDescent="0.15">
      <c r="A5" s="238" t="s">
        <v>197</v>
      </c>
      <c r="B5" s="258" t="s">
        <v>5</v>
      </c>
      <c r="C5" s="258" t="s">
        <v>267</v>
      </c>
      <c r="D5" s="258" t="s">
        <v>462</v>
      </c>
      <c r="E5" s="261" t="s">
        <v>444</v>
      </c>
      <c r="F5" s="277" t="s">
        <v>195</v>
      </c>
      <c r="G5" s="262">
        <v>43495</v>
      </c>
      <c r="H5" s="277" t="s">
        <v>195</v>
      </c>
      <c r="I5" s="262">
        <v>43523</v>
      </c>
      <c r="J5" s="277" t="s">
        <v>195</v>
      </c>
      <c r="K5" s="262">
        <v>43533</v>
      </c>
    </row>
    <row r="6" spans="1:11" ht="9.9499999999999993" customHeight="1" x14ac:dyDescent="0.15">
      <c r="A6" s="238" t="s">
        <v>197</v>
      </c>
      <c r="B6" s="247"/>
      <c r="C6" s="247"/>
      <c r="D6" s="247"/>
      <c r="E6" s="261" t="s">
        <v>443</v>
      </c>
      <c r="F6" s="277" t="s">
        <v>195</v>
      </c>
      <c r="G6" s="278"/>
      <c r="H6" s="277" t="s">
        <v>195</v>
      </c>
      <c r="I6" s="278"/>
      <c r="J6" s="277" t="s">
        <v>195</v>
      </c>
      <c r="K6" s="278"/>
    </row>
    <row r="7" spans="1:11" ht="9.9499999999999993" customHeight="1" x14ac:dyDescent="0.15">
      <c r="A7" s="238" t="s">
        <v>197</v>
      </c>
      <c r="B7" s="247"/>
      <c r="C7" s="247"/>
      <c r="D7" s="244"/>
      <c r="E7" s="261" t="s">
        <v>6</v>
      </c>
      <c r="F7" s="277" t="s">
        <v>7</v>
      </c>
      <c r="G7" s="282"/>
      <c r="H7" s="277" t="s">
        <v>7</v>
      </c>
      <c r="I7" s="282"/>
      <c r="J7" s="277" t="s">
        <v>7</v>
      </c>
      <c r="K7" s="282"/>
    </row>
    <row r="8" spans="1:11" ht="9.9499999999999993" customHeight="1" x14ac:dyDescent="0.15">
      <c r="A8" s="238" t="s">
        <v>197</v>
      </c>
      <c r="B8" s="247"/>
      <c r="C8" s="247"/>
      <c r="D8" s="258" t="s">
        <v>463</v>
      </c>
      <c r="E8" s="261" t="s">
        <v>444</v>
      </c>
      <c r="F8" s="277" t="s">
        <v>195</v>
      </c>
      <c r="G8" s="262">
        <v>43495</v>
      </c>
      <c r="H8" s="277" t="s">
        <v>195</v>
      </c>
      <c r="I8" s="262">
        <v>43510</v>
      </c>
      <c r="J8" s="277" t="s">
        <v>195</v>
      </c>
      <c r="K8" s="262">
        <v>43533</v>
      </c>
    </row>
    <row r="9" spans="1:11" ht="9.9499999999999993" customHeight="1" x14ac:dyDescent="0.15">
      <c r="A9" s="238" t="s">
        <v>197</v>
      </c>
      <c r="B9" s="247"/>
      <c r="C9" s="247"/>
      <c r="D9" s="247"/>
      <c r="E9" s="261" t="s">
        <v>443</v>
      </c>
      <c r="F9" s="277" t="s">
        <v>195</v>
      </c>
      <c r="G9" s="278"/>
      <c r="H9" s="277" t="s">
        <v>195</v>
      </c>
      <c r="I9" s="278"/>
      <c r="J9" s="277" t="s">
        <v>195</v>
      </c>
      <c r="K9" s="278"/>
    </row>
    <row r="10" spans="1:11" ht="9.9499999999999993" customHeight="1" x14ac:dyDescent="0.15">
      <c r="A10" s="238" t="s">
        <v>197</v>
      </c>
      <c r="B10" s="247"/>
      <c r="C10" s="244"/>
      <c r="D10" s="244"/>
      <c r="E10" s="261" t="s">
        <v>6</v>
      </c>
      <c r="F10" s="277" t="s">
        <v>7</v>
      </c>
      <c r="G10" s="282"/>
      <c r="H10" s="277" t="s">
        <v>7</v>
      </c>
      <c r="I10" s="282"/>
      <c r="J10" s="277" t="s">
        <v>7</v>
      </c>
      <c r="K10" s="282"/>
    </row>
    <row r="11" spans="1:11" ht="9.9499999999999993" customHeight="1" x14ac:dyDescent="0.15">
      <c r="A11" s="238" t="s">
        <v>197</v>
      </c>
      <c r="B11" s="247"/>
      <c r="C11" s="259" t="s">
        <v>62</v>
      </c>
      <c r="D11" s="242"/>
      <c r="E11" s="261" t="s">
        <v>444</v>
      </c>
      <c r="F11" s="279">
        <v>180</v>
      </c>
      <c r="G11" s="262">
        <v>43496</v>
      </c>
      <c r="H11" s="277">
        <v>210</v>
      </c>
      <c r="I11" s="262">
        <v>43510</v>
      </c>
      <c r="J11" s="277">
        <v>280</v>
      </c>
      <c r="K11" s="262">
        <v>43533</v>
      </c>
    </row>
    <row r="12" spans="1:11" ht="9.9499999999999993" customHeight="1" x14ac:dyDescent="0.15">
      <c r="A12" s="238" t="s">
        <v>197</v>
      </c>
      <c r="B12" s="247"/>
      <c r="C12" s="248"/>
      <c r="D12" s="249"/>
      <c r="E12" s="261" t="s">
        <v>443</v>
      </c>
      <c r="F12" s="279">
        <v>260</v>
      </c>
      <c r="G12" s="278"/>
      <c r="H12" s="279">
        <v>290</v>
      </c>
      <c r="I12" s="278"/>
      <c r="J12" s="279">
        <v>380</v>
      </c>
      <c r="K12" s="278"/>
    </row>
    <row r="13" spans="1:11" ht="9.9499999999999993" customHeight="1" x14ac:dyDescent="0.15">
      <c r="A13" s="238" t="s">
        <v>197</v>
      </c>
      <c r="B13" s="247"/>
      <c r="C13" s="245"/>
      <c r="D13" s="246"/>
      <c r="E13" s="261" t="s">
        <v>6</v>
      </c>
      <c r="F13" s="279">
        <v>440</v>
      </c>
      <c r="G13" s="282"/>
      <c r="H13" s="279">
        <v>500</v>
      </c>
      <c r="I13" s="282"/>
      <c r="J13" s="279">
        <v>660</v>
      </c>
      <c r="K13" s="282"/>
    </row>
    <row r="14" spans="1:11" ht="9.9499999999999993" customHeight="1" x14ac:dyDescent="0.15">
      <c r="A14" s="238" t="s">
        <v>197</v>
      </c>
      <c r="B14" s="247"/>
      <c r="C14" s="259" t="s">
        <v>79</v>
      </c>
      <c r="D14" s="242"/>
      <c r="E14" s="261" t="s">
        <v>444</v>
      </c>
      <c r="F14" s="279">
        <v>110</v>
      </c>
      <c r="G14" s="262">
        <v>43496</v>
      </c>
      <c r="H14" s="277" t="s">
        <v>515</v>
      </c>
      <c r="I14" s="262">
        <v>43510</v>
      </c>
      <c r="J14" s="277">
        <v>630</v>
      </c>
      <c r="K14" s="262">
        <v>43533</v>
      </c>
    </row>
    <row r="15" spans="1:11" ht="9.9499999999999993" customHeight="1" x14ac:dyDescent="0.15">
      <c r="A15" s="238" t="s">
        <v>197</v>
      </c>
      <c r="B15" s="247"/>
      <c r="C15" s="248"/>
      <c r="D15" s="249"/>
      <c r="E15" s="261" t="s">
        <v>443</v>
      </c>
      <c r="F15" s="279">
        <v>140</v>
      </c>
      <c r="G15" s="278"/>
      <c r="H15" s="275">
        <v>1100</v>
      </c>
      <c r="I15" s="278"/>
      <c r="J15" s="279">
        <v>840</v>
      </c>
      <c r="K15" s="278"/>
    </row>
    <row r="16" spans="1:11" ht="9.9499999999999993" customHeight="1" x14ac:dyDescent="0.15">
      <c r="A16" s="238" t="s">
        <v>197</v>
      </c>
      <c r="B16" s="244"/>
      <c r="C16" s="245"/>
      <c r="D16" s="246"/>
      <c r="E16" s="261" t="s">
        <v>6</v>
      </c>
      <c r="F16" s="279">
        <v>250</v>
      </c>
      <c r="G16" s="282"/>
      <c r="H16" s="275">
        <v>1870</v>
      </c>
      <c r="I16" s="282"/>
      <c r="J16" s="275">
        <v>1470</v>
      </c>
      <c r="K16" s="282"/>
    </row>
    <row r="17" spans="1:30" ht="9.9499999999999993" customHeight="1" x14ac:dyDescent="0.15">
      <c r="A17" s="238" t="s">
        <v>197</v>
      </c>
      <c r="B17" s="258" t="s">
        <v>8</v>
      </c>
      <c r="C17" s="259" t="s">
        <v>268</v>
      </c>
      <c r="D17" s="242"/>
      <c r="E17" s="261" t="s">
        <v>444</v>
      </c>
      <c r="F17" s="277" t="s">
        <v>195</v>
      </c>
      <c r="G17" s="262">
        <v>43496</v>
      </c>
      <c r="H17" s="277" t="s">
        <v>195</v>
      </c>
      <c r="I17" s="262">
        <v>43513</v>
      </c>
      <c r="J17" s="277" t="s">
        <v>195</v>
      </c>
      <c r="K17" s="262">
        <v>43533</v>
      </c>
    </row>
    <row r="18" spans="1:30" ht="9.9499999999999993" customHeight="1" x14ac:dyDescent="0.15">
      <c r="A18" s="238" t="s">
        <v>197</v>
      </c>
      <c r="B18" s="247"/>
      <c r="C18" s="248"/>
      <c r="D18" s="249"/>
      <c r="E18" s="261" t="s">
        <v>443</v>
      </c>
      <c r="F18" s="277" t="s">
        <v>195</v>
      </c>
      <c r="G18" s="278"/>
      <c r="H18" s="277" t="s">
        <v>195</v>
      </c>
      <c r="I18" s="278"/>
      <c r="J18" s="277" t="s">
        <v>195</v>
      </c>
      <c r="K18" s="278"/>
    </row>
    <row r="19" spans="1:30" ht="9.9499999999999993" customHeight="1" x14ac:dyDescent="0.15">
      <c r="A19" s="238" t="s">
        <v>197</v>
      </c>
      <c r="B19" s="247"/>
      <c r="C19" s="245"/>
      <c r="D19" s="246"/>
      <c r="E19" s="261" t="s">
        <v>6</v>
      </c>
      <c r="F19" s="277" t="s">
        <v>7</v>
      </c>
      <c r="G19" s="282"/>
      <c r="H19" s="277" t="s">
        <v>7</v>
      </c>
      <c r="I19" s="282"/>
      <c r="J19" s="277" t="s">
        <v>7</v>
      </c>
      <c r="K19" s="282"/>
    </row>
    <row r="20" spans="1:30" ht="9.9499999999999993" customHeight="1" x14ac:dyDescent="0.15">
      <c r="A20" s="238" t="s">
        <v>197</v>
      </c>
      <c r="B20" s="247"/>
      <c r="C20" s="259" t="s">
        <v>53</v>
      </c>
      <c r="D20" s="242"/>
      <c r="E20" s="261" t="s">
        <v>444</v>
      </c>
      <c r="F20" s="277" t="s">
        <v>195</v>
      </c>
      <c r="G20" s="262">
        <v>43496</v>
      </c>
      <c r="H20" s="277" t="s">
        <v>195</v>
      </c>
      <c r="I20" s="262">
        <v>43513</v>
      </c>
      <c r="J20" s="277" t="s">
        <v>195</v>
      </c>
      <c r="K20" s="262">
        <v>43533</v>
      </c>
    </row>
    <row r="21" spans="1:30" ht="9.9499999999999993" customHeight="1" x14ac:dyDescent="0.15">
      <c r="A21" s="238" t="s">
        <v>197</v>
      </c>
      <c r="B21" s="247"/>
      <c r="C21" s="248"/>
      <c r="D21" s="249"/>
      <c r="E21" s="261" t="s">
        <v>443</v>
      </c>
      <c r="F21" s="277" t="s">
        <v>195</v>
      </c>
      <c r="G21" s="278"/>
      <c r="H21" s="277" t="s">
        <v>195</v>
      </c>
      <c r="I21" s="278"/>
      <c r="J21" s="277" t="s">
        <v>195</v>
      </c>
      <c r="K21" s="278"/>
    </row>
    <row r="22" spans="1:30" ht="9.9499999999999993" customHeight="1" x14ac:dyDescent="0.15">
      <c r="A22" s="238" t="s">
        <v>197</v>
      </c>
      <c r="B22" s="244"/>
      <c r="C22" s="245"/>
      <c r="D22" s="246"/>
      <c r="E22" s="261" t="s">
        <v>6</v>
      </c>
      <c r="F22" s="277" t="s">
        <v>7</v>
      </c>
      <c r="G22" s="282"/>
      <c r="H22" s="277" t="s">
        <v>7</v>
      </c>
      <c r="I22" s="282"/>
      <c r="J22" s="277" t="s">
        <v>7</v>
      </c>
      <c r="K22" s="282"/>
    </row>
    <row r="23" spans="1:30" ht="9.9499999999999993" customHeight="1" x14ac:dyDescent="0.15">
      <c r="A23" s="238" t="s">
        <v>197</v>
      </c>
      <c r="B23" s="258" t="s">
        <v>9</v>
      </c>
      <c r="C23" s="259" t="s">
        <v>268</v>
      </c>
      <c r="D23" s="242"/>
      <c r="E23" s="261" t="s">
        <v>444</v>
      </c>
      <c r="F23" s="277" t="s">
        <v>195</v>
      </c>
      <c r="G23" s="262">
        <v>43496</v>
      </c>
      <c r="H23" s="277" t="s">
        <v>195</v>
      </c>
      <c r="I23" s="262">
        <v>43511</v>
      </c>
      <c r="J23" s="277" t="s">
        <v>195</v>
      </c>
      <c r="K23" s="262">
        <v>43533</v>
      </c>
    </row>
    <row r="24" spans="1:30" ht="9.9499999999999993" customHeight="1" x14ac:dyDescent="0.15">
      <c r="A24" s="238" t="s">
        <v>197</v>
      </c>
      <c r="B24" s="247"/>
      <c r="C24" s="248"/>
      <c r="D24" s="249"/>
      <c r="E24" s="261" t="s">
        <v>443</v>
      </c>
      <c r="F24" s="277" t="s">
        <v>195</v>
      </c>
      <c r="G24" s="278"/>
      <c r="H24" s="277" t="s">
        <v>195</v>
      </c>
      <c r="I24" s="278"/>
      <c r="J24" s="277" t="s">
        <v>195</v>
      </c>
      <c r="K24" s="278"/>
    </row>
    <row r="25" spans="1:30" ht="9.9499999999999993" customHeight="1" x14ac:dyDescent="0.15">
      <c r="A25" s="238" t="s">
        <v>197</v>
      </c>
      <c r="B25" s="247"/>
      <c r="C25" s="245"/>
      <c r="D25" s="246"/>
      <c r="E25" s="261" t="s">
        <v>6</v>
      </c>
      <c r="F25" s="277" t="s">
        <v>7</v>
      </c>
      <c r="G25" s="282"/>
      <c r="H25" s="277" t="s">
        <v>7</v>
      </c>
      <c r="I25" s="282"/>
      <c r="J25" s="277" t="s">
        <v>7</v>
      </c>
      <c r="K25" s="282"/>
    </row>
    <row r="26" spans="1:30" ht="9.9499999999999993" customHeight="1" x14ac:dyDescent="0.15">
      <c r="A26" s="238" t="s">
        <v>197</v>
      </c>
      <c r="B26" s="247"/>
      <c r="C26" s="259" t="s">
        <v>53</v>
      </c>
      <c r="D26" s="242"/>
      <c r="E26" s="261" t="s">
        <v>444</v>
      </c>
      <c r="F26" s="277" t="s">
        <v>195</v>
      </c>
      <c r="G26" s="262">
        <v>43496</v>
      </c>
      <c r="H26" s="277" t="s">
        <v>195</v>
      </c>
      <c r="I26" s="262">
        <v>43511</v>
      </c>
      <c r="J26" s="277" t="s">
        <v>195</v>
      </c>
      <c r="K26" s="262">
        <v>43533</v>
      </c>
    </row>
    <row r="27" spans="1:30" ht="9.9499999999999993" customHeight="1" x14ac:dyDescent="0.15">
      <c r="A27" s="238" t="s">
        <v>197</v>
      </c>
      <c r="B27" s="247"/>
      <c r="C27" s="248"/>
      <c r="D27" s="249"/>
      <c r="E27" s="261" t="s">
        <v>443</v>
      </c>
      <c r="F27" s="277" t="s">
        <v>195</v>
      </c>
      <c r="G27" s="278"/>
      <c r="H27" s="277" t="s">
        <v>195</v>
      </c>
      <c r="I27" s="278"/>
      <c r="J27" s="277" t="s">
        <v>195</v>
      </c>
      <c r="K27" s="278"/>
    </row>
    <row r="28" spans="1:30" ht="9.9499999999999993" customHeight="1" x14ac:dyDescent="0.15">
      <c r="A28" s="238" t="s">
        <v>197</v>
      </c>
      <c r="B28" s="244"/>
      <c r="C28" s="245"/>
      <c r="D28" s="246"/>
      <c r="E28" s="261" t="s">
        <v>6</v>
      </c>
      <c r="F28" s="277" t="s">
        <v>7</v>
      </c>
      <c r="G28" s="282"/>
      <c r="H28" s="277" t="s">
        <v>7</v>
      </c>
      <c r="I28" s="282"/>
      <c r="J28" s="277" t="s">
        <v>7</v>
      </c>
      <c r="K28" s="282"/>
    </row>
    <row r="29" spans="1:30" ht="9.9499999999999993" customHeight="1" x14ac:dyDescent="0.15">
      <c r="A29" s="238" t="s">
        <v>21</v>
      </c>
      <c r="B29" s="239" t="s">
        <v>479</v>
      </c>
      <c r="C29" s="240"/>
      <c r="D29" s="240"/>
      <c r="E29" s="240"/>
      <c r="F29" s="257"/>
      <c r="G29" s="240"/>
      <c r="H29" s="240"/>
      <c r="I29" s="240"/>
      <c r="J29" s="240"/>
      <c r="K29" s="240"/>
      <c r="L29" s="236"/>
      <c r="M29" s="236"/>
      <c r="N29" s="236"/>
      <c r="O29" s="236"/>
      <c r="P29" s="236"/>
      <c r="Q29" s="236"/>
      <c r="R29" s="236"/>
      <c r="S29" s="236"/>
      <c r="T29" s="236"/>
      <c r="U29" s="236"/>
      <c r="V29" s="236"/>
      <c r="W29" s="236"/>
      <c r="X29" s="236"/>
      <c r="Y29" s="236"/>
      <c r="Z29" s="236"/>
      <c r="AA29" s="236"/>
      <c r="AB29" s="236"/>
      <c r="AC29" s="236"/>
      <c r="AD29" s="250"/>
    </row>
    <row r="30" spans="1:30" ht="9.9499999999999993" customHeight="1" x14ac:dyDescent="0.15">
      <c r="A30" s="238" t="s">
        <v>21</v>
      </c>
      <c r="B30" s="259" t="s">
        <v>0</v>
      </c>
      <c r="C30" s="259" t="s">
        <v>450</v>
      </c>
      <c r="D30" s="241"/>
      <c r="E30" s="242"/>
      <c r="F30" s="260" t="s">
        <v>480</v>
      </c>
      <c r="G30" s="243"/>
      <c r="H30" s="260" t="s">
        <v>485</v>
      </c>
      <c r="I30" s="243"/>
      <c r="J30" s="260" t="s">
        <v>489</v>
      </c>
      <c r="K30" s="243"/>
      <c r="L30" s="260" t="s">
        <v>464</v>
      </c>
      <c r="M30" s="243"/>
      <c r="N30" s="260" t="s">
        <v>496</v>
      </c>
      <c r="O30" s="243"/>
      <c r="P30" s="260" t="s">
        <v>501</v>
      </c>
      <c r="Q30" s="243"/>
      <c r="R30" s="260" t="s">
        <v>10</v>
      </c>
      <c r="S30" s="243"/>
      <c r="T30" s="260" t="s">
        <v>11</v>
      </c>
      <c r="U30" s="243"/>
      <c r="V30" s="260" t="s">
        <v>12</v>
      </c>
      <c r="W30" s="243"/>
      <c r="X30" s="260" t="s">
        <v>13</v>
      </c>
      <c r="Y30" s="243"/>
      <c r="Z30" s="260" t="s">
        <v>14</v>
      </c>
      <c r="AA30" s="243"/>
      <c r="AB30" s="260" t="s">
        <v>15</v>
      </c>
      <c r="AC30" s="243"/>
    </row>
    <row r="31" spans="1:30" ht="9.9499999999999993" customHeight="1" x14ac:dyDescent="0.15">
      <c r="A31" s="238" t="s">
        <v>21</v>
      </c>
      <c r="B31" s="245"/>
      <c r="C31" s="245"/>
      <c r="D31" s="240"/>
      <c r="E31" s="246"/>
      <c r="F31" s="261" t="s">
        <v>3</v>
      </c>
      <c r="G31" s="261" t="s">
        <v>1</v>
      </c>
      <c r="H31" s="261" t="s">
        <v>16</v>
      </c>
      <c r="I31" s="261" t="s">
        <v>4</v>
      </c>
      <c r="J31" s="261" t="s">
        <v>16</v>
      </c>
      <c r="K31" s="261" t="s">
        <v>4</v>
      </c>
      <c r="L31" s="261" t="s">
        <v>16</v>
      </c>
      <c r="M31" s="261" t="s">
        <v>4</v>
      </c>
      <c r="N31" s="261" t="s">
        <v>3</v>
      </c>
      <c r="O31" s="261" t="s">
        <v>4</v>
      </c>
      <c r="P31" s="261" t="s">
        <v>3</v>
      </c>
      <c r="Q31" s="261" t="s">
        <v>4</v>
      </c>
      <c r="R31" s="261" t="s">
        <v>16</v>
      </c>
      <c r="S31" s="261" t="s">
        <v>4</v>
      </c>
      <c r="T31" s="261" t="s">
        <v>16</v>
      </c>
      <c r="U31" s="261" t="s">
        <v>4</v>
      </c>
      <c r="V31" s="261" t="s">
        <v>16</v>
      </c>
      <c r="W31" s="261" t="s">
        <v>4</v>
      </c>
      <c r="X31" s="261" t="s">
        <v>16</v>
      </c>
      <c r="Y31" s="261" t="s">
        <v>4</v>
      </c>
      <c r="Z31" s="261" t="s">
        <v>3</v>
      </c>
      <c r="AA31" s="261" t="s">
        <v>4</v>
      </c>
      <c r="AB31" s="261" t="s">
        <v>3</v>
      </c>
      <c r="AC31" s="261" t="s">
        <v>4</v>
      </c>
    </row>
    <row r="32" spans="1:30" ht="9.9499999999999993" customHeight="1" x14ac:dyDescent="0.15">
      <c r="A32" s="238" t="s">
        <v>21</v>
      </c>
      <c r="B32" s="259" t="s">
        <v>54</v>
      </c>
      <c r="C32" s="258" t="s">
        <v>267</v>
      </c>
      <c r="D32" s="258" t="s">
        <v>462</v>
      </c>
      <c r="E32" s="261" t="s">
        <v>444</v>
      </c>
      <c r="F32" s="277" t="s">
        <v>195</v>
      </c>
      <c r="G32" s="262">
        <v>43579</v>
      </c>
      <c r="H32" s="277" t="s">
        <v>195</v>
      </c>
      <c r="I32" s="262">
        <v>43600</v>
      </c>
      <c r="J32" s="277" t="s">
        <v>195</v>
      </c>
      <c r="K32" s="262">
        <v>43645</v>
      </c>
      <c r="L32" s="277" t="s">
        <v>195</v>
      </c>
      <c r="M32" s="262">
        <v>43657</v>
      </c>
      <c r="N32" s="277" t="s">
        <v>195</v>
      </c>
      <c r="O32" s="262">
        <v>43707</v>
      </c>
      <c r="P32" s="277" t="s">
        <v>195</v>
      </c>
      <c r="Q32" s="262">
        <v>43732</v>
      </c>
      <c r="R32" s="277" t="s">
        <v>195</v>
      </c>
      <c r="S32" s="262">
        <v>43749</v>
      </c>
      <c r="T32" s="277" t="s">
        <v>195</v>
      </c>
      <c r="U32" s="265" t="s">
        <v>512</v>
      </c>
      <c r="V32" s="277" t="s">
        <v>195</v>
      </c>
      <c r="W32" s="262">
        <v>43811</v>
      </c>
      <c r="X32" s="277" t="s">
        <v>195</v>
      </c>
      <c r="Y32" s="262">
        <v>43494</v>
      </c>
      <c r="Z32" s="277" t="s">
        <v>195</v>
      </c>
      <c r="AA32" s="262">
        <v>43501</v>
      </c>
      <c r="AB32" s="277" t="s">
        <v>195</v>
      </c>
      <c r="AC32" s="262">
        <v>43539</v>
      </c>
    </row>
    <row r="33" spans="1:29" ht="9.9499999999999993" customHeight="1" x14ac:dyDescent="0.15">
      <c r="A33" s="238" t="s">
        <v>21</v>
      </c>
      <c r="B33" s="248"/>
      <c r="C33" s="247"/>
      <c r="D33" s="247"/>
      <c r="E33" s="261" t="s">
        <v>443</v>
      </c>
      <c r="F33" s="277" t="s">
        <v>195</v>
      </c>
      <c r="G33" s="278"/>
      <c r="H33" s="277" t="s">
        <v>195</v>
      </c>
      <c r="I33" s="278"/>
      <c r="J33" s="277" t="s">
        <v>195</v>
      </c>
      <c r="K33" s="278"/>
      <c r="L33" s="277" t="s">
        <v>195</v>
      </c>
      <c r="M33" s="278"/>
      <c r="N33" s="277" t="s">
        <v>195</v>
      </c>
      <c r="O33" s="278"/>
      <c r="P33" s="277" t="s">
        <v>195</v>
      </c>
      <c r="Q33" s="278"/>
      <c r="R33" s="277" t="s">
        <v>195</v>
      </c>
      <c r="S33" s="278"/>
      <c r="T33" s="277" t="s">
        <v>195</v>
      </c>
      <c r="U33" s="278"/>
      <c r="V33" s="277" t="s">
        <v>195</v>
      </c>
      <c r="W33" s="278"/>
      <c r="X33" s="277" t="s">
        <v>195</v>
      </c>
      <c r="Y33" s="278"/>
      <c r="Z33" s="277" t="s">
        <v>195</v>
      </c>
      <c r="AA33" s="278"/>
      <c r="AB33" s="277" t="s">
        <v>195</v>
      </c>
      <c r="AC33" s="278"/>
    </row>
    <row r="34" spans="1:29" ht="9.9499999999999993" customHeight="1" x14ac:dyDescent="0.15">
      <c r="A34" s="238" t="s">
        <v>21</v>
      </c>
      <c r="B34" s="248"/>
      <c r="C34" s="247"/>
      <c r="D34" s="244"/>
      <c r="E34" s="261" t="s">
        <v>6</v>
      </c>
      <c r="F34" s="277" t="s">
        <v>195</v>
      </c>
      <c r="G34" s="282"/>
      <c r="H34" s="277" t="s">
        <v>195</v>
      </c>
      <c r="I34" s="282"/>
      <c r="J34" s="277" t="s">
        <v>195</v>
      </c>
      <c r="K34" s="282"/>
      <c r="L34" s="277" t="s">
        <v>195</v>
      </c>
      <c r="M34" s="282"/>
      <c r="N34" s="277" t="s">
        <v>195</v>
      </c>
      <c r="O34" s="282"/>
      <c r="P34" s="277" t="s">
        <v>195</v>
      </c>
      <c r="Q34" s="282"/>
      <c r="R34" s="277" t="s">
        <v>195</v>
      </c>
      <c r="S34" s="282"/>
      <c r="T34" s="277" t="s">
        <v>195</v>
      </c>
      <c r="U34" s="282"/>
      <c r="V34" s="277" t="s">
        <v>195</v>
      </c>
      <c r="W34" s="282"/>
      <c r="X34" s="277" t="s">
        <v>195</v>
      </c>
      <c r="Y34" s="282"/>
      <c r="Z34" s="277" t="s">
        <v>195</v>
      </c>
      <c r="AA34" s="282"/>
      <c r="AB34" s="277" t="s">
        <v>195</v>
      </c>
      <c r="AC34" s="282"/>
    </row>
    <row r="35" spans="1:29" ht="9.9499999999999993" customHeight="1" x14ac:dyDescent="0.15">
      <c r="A35" s="238" t="s">
        <v>21</v>
      </c>
      <c r="B35" s="248"/>
      <c r="C35" s="247"/>
      <c r="D35" s="258" t="s">
        <v>463</v>
      </c>
      <c r="E35" s="261" t="s">
        <v>444</v>
      </c>
      <c r="F35" s="277" t="s">
        <v>195</v>
      </c>
      <c r="G35" s="262">
        <v>43580</v>
      </c>
      <c r="H35" s="277" t="s">
        <v>195</v>
      </c>
      <c r="I35" s="262">
        <v>43601</v>
      </c>
      <c r="J35" s="277" t="s">
        <v>195</v>
      </c>
      <c r="K35" s="262">
        <v>43644</v>
      </c>
      <c r="L35" s="277" t="s">
        <v>195</v>
      </c>
      <c r="M35" s="262">
        <v>43658</v>
      </c>
      <c r="N35" s="277" t="s">
        <v>195</v>
      </c>
      <c r="O35" s="262">
        <v>43708</v>
      </c>
      <c r="P35" s="277" t="s">
        <v>195</v>
      </c>
      <c r="Q35" s="262">
        <v>43733</v>
      </c>
      <c r="R35" s="277" t="s">
        <v>195</v>
      </c>
      <c r="S35" s="262">
        <v>43750</v>
      </c>
      <c r="T35" s="277" t="s">
        <v>195</v>
      </c>
      <c r="U35" s="265" t="s">
        <v>490</v>
      </c>
      <c r="V35" s="277" t="s">
        <v>195</v>
      </c>
      <c r="W35" s="262">
        <v>43812</v>
      </c>
      <c r="X35" s="277" t="s">
        <v>195</v>
      </c>
      <c r="Y35" s="262">
        <v>43488</v>
      </c>
      <c r="Z35" s="277" t="s">
        <v>195</v>
      </c>
      <c r="AA35" s="262">
        <v>43502</v>
      </c>
      <c r="AB35" s="277" t="s">
        <v>195</v>
      </c>
      <c r="AC35" s="262">
        <v>43551</v>
      </c>
    </row>
    <row r="36" spans="1:29" ht="9.9499999999999993" customHeight="1" x14ac:dyDescent="0.15">
      <c r="A36" s="238" t="s">
        <v>21</v>
      </c>
      <c r="B36" s="248"/>
      <c r="C36" s="247"/>
      <c r="D36" s="247"/>
      <c r="E36" s="261" t="s">
        <v>443</v>
      </c>
      <c r="F36" s="277" t="s">
        <v>195</v>
      </c>
      <c r="G36" s="278"/>
      <c r="H36" s="277" t="s">
        <v>195</v>
      </c>
      <c r="I36" s="278"/>
      <c r="J36" s="277" t="s">
        <v>195</v>
      </c>
      <c r="K36" s="278"/>
      <c r="L36" s="277" t="s">
        <v>195</v>
      </c>
      <c r="M36" s="278"/>
      <c r="N36" s="277" t="s">
        <v>195</v>
      </c>
      <c r="O36" s="278"/>
      <c r="P36" s="277" t="s">
        <v>195</v>
      </c>
      <c r="Q36" s="278"/>
      <c r="R36" s="277" t="s">
        <v>195</v>
      </c>
      <c r="S36" s="278"/>
      <c r="T36" s="277" t="s">
        <v>195</v>
      </c>
      <c r="U36" s="278"/>
      <c r="V36" s="277" t="s">
        <v>195</v>
      </c>
      <c r="W36" s="278"/>
      <c r="X36" s="277" t="s">
        <v>195</v>
      </c>
      <c r="Y36" s="278"/>
      <c r="Z36" s="277" t="s">
        <v>195</v>
      </c>
      <c r="AA36" s="278"/>
      <c r="AB36" s="277" t="s">
        <v>195</v>
      </c>
      <c r="AC36" s="278"/>
    </row>
    <row r="37" spans="1:29" ht="9.9499999999999993" customHeight="1" x14ac:dyDescent="0.15">
      <c r="A37" s="238" t="s">
        <v>21</v>
      </c>
      <c r="B37" s="248"/>
      <c r="C37" s="244"/>
      <c r="D37" s="244"/>
      <c r="E37" s="261" t="s">
        <v>6</v>
      </c>
      <c r="F37" s="277" t="s">
        <v>195</v>
      </c>
      <c r="G37" s="282"/>
      <c r="H37" s="277" t="s">
        <v>195</v>
      </c>
      <c r="I37" s="282"/>
      <c r="J37" s="277" t="s">
        <v>195</v>
      </c>
      <c r="K37" s="282"/>
      <c r="L37" s="277" t="s">
        <v>195</v>
      </c>
      <c r="M37" s="282"/>
      <c r="N37" s="277" t="s">
        <v>195</v>
      </c>
      <c r="O37" s="282"/>
      <c r="P37" s="277" t="s">
        <v>195</v>
      </c>
      <c r="Q37" s="282"/>
      <c r="R37" s="277" t="s">
        <v>195</v>
      </c>
      <c r="S37" s="282"/>
      <c r="T37" s="277" t="s">
        <v>195</v>
      </c>
      <c r="U37" s="282"/>
      <c r="V37" s="277" t="s">
        <v>195</v>
      </c>
      <c r="W37" s="282"/>
      <c r="X37" s="277" t="s">
        <v>195</v>
      </c>
      <c r="Y37" s="282"/>
      <c r="Z37" s="277" t="s">
        <v>195</v>
      </c>
      <c r="AA37" s="282"/>
      <c r="AB37" s="277" t="s">
        <v>195</v>
      </c>
      <c r="AC37" s="282"/>
    </row>
    <row r="38" spans="1:29" ht="9.9499999999999993" customHeight="1" x14ac:dyDescent="0.15">
      <c r="A38" s="238" t="s">
        <v>21</v>
      </c>
      <c r="B38" s="248"/>
      <c r="C38" s="259" t="s">
        <v>62</v>
      </c>
      <c r="D38" s="242"/>
      <c r="E38" s="261" t="s">
        <v>444</v>
      </c>
      <c r="F38" s="279">
        <v>160</v>
      </c>
      <c r="G38" s="262">
        <v>43580</v>
      </c>
      <c r="H38" s="277">
        <v>350</v>
      </c>
      <c r="I38" s="262">
        <v>43601</v>
      </c>
      <c r="J38" s="277">
        <v>220</v>
      </c>
      <c r="K38" s="262">
        <v>43645</v>
      </c>
      <c r="L38" s="277">
        <v>260</v>
      </c>
      <c r="M38" s="262">
        <v>43658</v>
      </c>
      <c r="N38" s="277">
        <v>160</v>
      </c>
      <c r="O38" s="262">
        <v>43708</v>
      </c>
      <c r="P38" s="277">
        <v>120</v>
      </c>
      <c r="Q38" s="262">
        <v>43732</v>
      </c>
      <c r="R38" s="277" t="s">
        <v>17</v>
      </c>
      <c r="S38" s="262">
        <v>43750</v>
      </c>
      <c r="T38" s="277">
        <v>130</v>
      </c>
      <c r="U38" s="265" t="s">
        <v>490</v>
      </c>
      <c r="V38" s="277">
        <v>66</v>
      </c>
      <c r="W38" s="262">
        <v>43812</v>
      </c>
      <c r="X38" s="277">
        <v>22</v>
      </c>
      <c r="Y38" s="262">
        <v>43494</v>
      </c>
      <c r="Z38" s="277">
        <v>23</v>
      </c>
      <c r="AA38" s="262">
        <v>43502</v>
      </c>
      <c r="AB38" s="277">
        <v>52</v>
      </c>
      <c r="AC38" s="262">
        <v>43539</v>
      </c>
    </row>
    <row r="39" spans="1:29" ht="9.9499999999999993" customHeight="1" x14ac:dyDescent="0.15">
      <c r="A39" s="238" t="s">
        <v>21</v>
      </c>
      <c r="B39" s="248"/>
      <c r="C39" s="248"/>
      <c r="D39" s="249"/>
      <c r="E39" s="261" t="s">
        <v>443</v>
      </c>
      <c r="F39" s="279">
        <v>270</v>
      </c>
      <c r="G39" s="278"/>
      <c r="H39" s="279">
        <v>530</v>
      </c>
      <c r="I39" s="278"/>
      <c r="J39" s="279">
        <v>340</v>
      </c>
      <c r="K39" s="278"/>
      <c r="L39" s="279">
        <v>400</v>
      </c>
      <c r="M39" s="278"/>
      <c r="N39" s="279">
        <v>260</v>
      </c>
      <c r="O39" s="278"/>
      <c r="P39" s="279">
        <v>200</v>
      </c>
      <c r="Q39" s="278"/>
      <c r="R39" s="279">
        <v>180</v>
      </c>
      <c r="S39" s="278"/>
      <c r="T39" s="279">
        <v>230</v>
      </c>
      <c r="U39" s="278"/>
      <c r="V39" s="277" t="s">
        <v>17</v>
      </c>
      <c r="W39" s="278"/>
      <c r="X39" s="279">
        <v>42</v>
      </c>
      <c r="Y39" s="278"/>
      <c r="Z39" s="279">
        <v>44</v>
      </c>
      <c r="AA39" s="278"/>
      <c r="AB39" s="279">
        <v>93</v>
      </c>
      <c r="AC39" s="278"/>
    </row>
    <row r="40" spans="1:29" ht="9.9499999999999993" customHeight="1" x14ac:dyDescent="0.15">
      <c r="A40" s="238" t="s">
        <v>21</v>
      </c>
      <c r="B40" s="248"/>
      <c r="C40" s="245"/>
      <c r="D40" s="246"/>
      <c r="E40" s="261" t="s">
        <v>6</v>
      </c>
      <c r="F40" s="279">
        <v>430</v>
      </c>
      <c r="G40" s="282"/>
      <c r="H40" s="279">
        <v>880</v>
      </c>
      <c r="I40" s="282"/>
      <c r="J40" s="279">
        <v>560</v>
      </c>
      <c r="K40" s="282"/>
      <c r="L40" s="279">
        <v>660</v>
      </c>
      <c r="M40" s="282"/>
      <c r="N40" s="279">
        <v>420</v>
      </c>
      <c r="O40" s="282"/>
      <c r="P40" s="279">
        <v>320</v>
      </c>
      <c r="Q40" s="282"/>
      <c r="R40" s="279">
        <v>290</v>
      </c>
      <c r="S40" s="282"/>
      <c r="T40" s="279">
        <v>360</v>
      </c>
      <c r="U40" s="282"/>
      <c r="V40" s="279">
        <v>176</v>
      </c>
      <c r="W40" s="282"/>
      <c r="X40" s="279">
        <v>64</v>
      </c>
      <c r="Y40" s="282"/>
      <c r="Z40" s="279">
        <v>67</v>
      </c>
      <c r="AA40" s="282"/>
      <c r="AB40" s="279">
        <v>145</v>
      </c>
      <c r="AC40" s="282"/>
    </row>
    <row r="41" spans="1:29" ht="9.9499999999999993" customHeight="1" x14ac:dyDescent="0.15">
      <c r="A41" s="238" t="s">
        <v>21</v>
      </c>
      <c r="B41" s="248"/>
      <c r="C41" s="259" t="s">
        <v>80</v>
      </c>
      <c r="D41" s="242"/>
      <c r="E41" s="261" t="s">
        <v>444</v>
      </c>
      <c r="F41" s="279">
        <v>780</v>
      </c>
      <c r="G41" s="262">
        <v>43580</v>
      </c>
      <c r="H41" s="277">
        <v>800</v>
      </c>
      <c r="I41" s="262">
        <v>43601</v>
      </c>
      <c r="J41" s="277">
        <v>680</v>
      </c>
      <c r="K41" s="262">
        <v>43645</v>
      </c>
      <c r="L41" s="277">
        <v>570</v>
      </c>
      <c r="M41" s="262">
        <v>43658</v>
      </c>
      <c r="N41" s="277">
        <v>610</v>
      </c>
      <c r="O41" s="262">
        <v>43708</v>
      </c>
      <c r="P41" s="277">
        <v>380</v>
      </c>
      <c r="Q41" s="262">
        <v>43732</v>
      </c>
      <c r="R41" s="277">
        <v>350</v>
      </c>
      <c r="S41" s="262">
        <v>43750</v>
      </c>
      <c r="T41" s="277">
        <v>160</v>
      </c>
      <c r="U41" s="265" t="s">
        <v>490</v>
      </c>
      <c r="V41" s="277">
        <v>250</v>
      </c>
      <c r="W41" s="262">
        <v>43812</v>
      </c>
      <c r="X41" s="277">
        <v>68</v>
      </c>
      <c r="Y41" s="262">
        <v>43494</v>
      </c>
      <c r="Z41" s="280" t="s">
        <v>18</v>
      </c>
      <c r="AA41" s="262">
        <v>43502</v>
      </c>
      <c r="AB41" s="277">
        <v>200</v>
      </c>
      <c r="AC41" s="262">
        <v>43539</v>
      </c>
    </row>
    <row r="42" spans="1:29" ht="9.9499999999999993" customHeight="1" x14ac:dyDescent="0.15">
      <c r="A42" s="238" t="s">
        <v>21</v>
      </c>
      <c r="B42" s="248"/>
      <c r="C42" s="248"/>
      <c r="D42" s="249"/>
      <c r="E42" s="261" t="s">
        <v>443</v>
      </c>
      <c r="F42" s="275">
        <v>1100</v>
      </c>
      <c r="G42" s="278"/>
      <c r="H42" s="275">
        <v>1200</v>
      </c>
      <c r="I42" s="278"/>
      <c r="J42" s="275">
        <v>1000</v>
      </c>
      <c r="K42" s="278"/>
      <c r="L42" s="279">
        <v>900</v>
      </c>
      <c r="M42" s="278"/>
      <c r="N42" s="279">
        <v>980</v>
      </c>
      <c r="O42" s="278"/>
      <c r="P42" s="279">
        <v>650</v>
      </c>
      <c r="Q42" s="278"/>
      <c r="R42" s="279">
        <v>600</v>
      </c>
      <c r="S42" s="278"/>
      <c r="T42" s="279">
        <v>280</v>
      </c>
      <c r="U42" s="278"/>
      <c r="V42" s="279">
        <v>430</v>
      </c>
      <c r="W42" s="278"/>
      <c r="X42" s="279">
        <v>130</v>
      </c>
      <c r="Y42" s="278"/>
      <c r="Z42" s="279">
        <v>180</v>
      </c>
      <c r="AA42" s="278"/>
      <c r="AB42" s="279">
        <v>350</v>
      </c>
      <c r="AC42" s="278"/>
    </row>
    <row r="43" spans="1:29" ht="9.9499999999999993" customHeight="1" x14ac:dyDescent="0.15">
      <c r="A43" s="238" t="s">
        <v>21</v>
      </c>
      <c r="B43" s="245"/>
      <c r="C43" s="245"/>
      <c r="D43" s="246"/>
      <c r="E43" s="261" t="s">
        <v>6</v>
      </c>
      <c r="F43" s="275">
        <v>1880</v>
      </c>
      <c r="G43" s="282"/>
      <c r="H43" s="275">
        <v>2000</v>
      </c>
      <c r="I43" s="282"/>
      <c r="J43" s="275">
        <v>1680</v>
      </c>
      <c r="K43" s="282"/>
      <c r="L43" s="275">
        <v>1470</v>
      </c>
      <c r="M43" s="282"/>
      <c r="N43" s="275">
        <v>1590</v>
      </c>
      <c r="O43" s="282"/>
      <c r="P43" s="275">
        <v>1030</v>
      </c>
      <c r="Q43" s="282"/>
      <c r="R43" s="279">
        <v>950</v>
      </c>
      <c r="S43" s="282"/>
      <c r="T43" s="279">
        <v>440</v>
      </c>
      <c r="U43" s="282"/>
      <c r="V43" s="279">
        <v>680</v>
      </c>
      <c r="W43" s="282"/>
      <c r="X43" s="279">
        <v>198</v>
      </c>
      <c r="Y43" s="282"/>
      <c r="Z43" s="279">
        <v>280</v>
      </c>
      <c r="AA43" s="282"/>
      <c r="AB43" s="279">
        <v>550</v>
      </c>
      <c r="AC43" s="282"/>
    </row>
    <row r="44" spans="1:29" ht="9.9499999999999993" customHeight="1" x14ac:dyDescent="0.15">
      <c r="A44" s="238" t="s">
        <v>21</v>
      </c>
      <c r="B44" s="259" t="s">
        <v>55</v>
      </c>
      <c r="C44" s="258" t="s">
        <v>267</v>
      </c>
      <c r="D44" s="258" t="s">
        <v>462</v>
      </c>
      <c r="E44" s="261" t="s">
        <v>444</v>
      </c>
      <c r="F44" s="283" t="s">
        <v>451</v>
      </c>
      <c r="G44" s="284"/>
      <c r="H44" s="284"/>
      <c r="I44" s="284"/>
      <c r="J44" s="284"/>
      <c r="K44" s="285"/>
      <c r="L44" s="277" t="s">
        <v>195</v>
      </c>
      <c r="M44" s="262">
        <v>43673</v>
      </c>
      <c r="N44" s="277" t="s">
        <v>195</v>
      </c>
      <c r="O44" s="262">
        <v>43699</v>
      </c>
      <c r="P44" s="277" t="s">
        <v>195</v>
      </c>
      <c r="Q44" s="262">
        <v>43712</v>
      </c>
      <c r="R44" s="277" t="s">
        <v>195</v>
      </c>
      <c r="S44" s="262">
        <v>43754</v>
      </c>
      <c r="T44" s="277" t="s">
        <v>195</v>
      </c>
      <c r="U44" s="265" t="s">
        <v>497</v>
      </c>
      <c r="V44" s="277" t="s">
        <v>195</v>
      </c>
      <c r="W44" s="262">
        <v>43803</v>
      </c>
      <c r="X44" s="277" t="s">
        <v>195</v>
      </c>
      <c r="Y44" s="262">
        <v>43476</v>
      </c>
      <c r="Z44" s="277" t="s">
        <v>195</v>
      </c>
      <c r="AA44" s="262">
        <v>43501</v>
      </c>
      <c r="AB44" s="277" t="s">
        <v>195</v>
      </c>
      <c r="AC44" s="262">
        <v>43531</v>
      </c>
    </row>
    <row r="45" spans="1:29" ht="9.9499999999999993" customHeight="1" x14ac:dyDescent="0.15">
      <c r="A45" s="238" t="s">
        <v>21</v>
      </c>
      <c r="B45" s="248"/>
      <c r="C45" s="247"/>
      <c r="D45" s="247"/>
      <c r="E45" s="261" t="s">
        <v>443</v>
      </c>
      <c r="F45" s="286"/>
      <c r="G45" s="287"/>
      <c r="H45" s="287"/>
      <c r="I45" s="287"/>
      <c r="J45" s="287"/>
      <c r="K45" s="288"/>
      <c r="L45" s="277" t="s">
        <v>195</v>
      </c>
      <c r="M45" s="278"/>
      <c r="N45" s="277" t="s">
        <v>195</v>
      </c>
      <c r="O45" s="278"/>
      <c r="P45" s="277" t="s">
        <v>195</v>
      </c>
      <c r="Q45" s="278"/>
      <c r="R45" s="277" t="s">
        <v>195</v>
      </c>
      <c r="S45" s="278"/>
      <c r="T45" s="277" t="s">
        <v>195</v>
      </c>
      <c r="U45" s="278"/>
      <c r="V45" s="277" t="s">
        <v>195</v>
      </c>
      <c r="W45" s="278"/>
      <c r="X45" s="277" t="s">
        <v>195</v>
      </c>
      <c r="Y45" s="278"/>
      <c r="Z45" s="277" t="s">
        <v>195</v>
      </c>
      <c r="AA45" s="278"/>
      <c r="AB45" s="277" t="s">
        <v>195</v>
      </c>
      <c r="AC45" s="278"/>
    </row>
    <row r="46" spans="1:29" ht="9.9499999999999993" customHeight="1" x14ac:dyDescent="0.15">
      <c r="A46" s="238" t="s">
        <v>21</v>
      </c>
      <c r="B46" s="248"/>
      <c r="C46" s="247"/>
      <c r="D46" s="244"/>
      <c r="E46" s="261" t="s">
        <v>6</v>
      </c>
      <c r="F46" s="286"/>
      <c r="G46" s="287"/>
      <c r="H46" s="287"/>
      <c r="I46" s="287"/>
      <c r="J46" s="287"/>
      <c r="K46" s="288"/>
      <c r="L46" s="277" t="s">
        <v>195</v>
      </c>
      <c r="M46" s="282"/>
      <c r="N46" s="277" t="s">
        <v>195</v>
      </c>
      <c r="O46" s="282"/>
      <c r="P46" s="277" t="s">
        <v>195</v>
      </c>
      <c r="Q46" s="282"/>
      <c r="R46" s="277" t="s">
        <v>195</v>
      </c>
      <c r="S46" s="282"/>
      <c r="T46" s="277" t="s">
        <v>195</v>
      </c>
      <c r="U46" s="282"/>
      <c r="V46" s="277" t="s">
        <v>195</v>
      </c>
      <c r="W46" s="282"/>
      <c r="X46" s="277" t="s">
        <v>195</v>
      </c>
      <c r="Y46" s="282"/>
      <c r="Z46" s="277" t="s">
        <v>195</v>
      </c>
      <c r="AA46" s="282"/>
      <c r="AB46" s="277" t="s">
        <v>195</v>
      </c>
      <c r="AC46" s="282"/>
    </row>
    <row r="47" spans="1:29" ht="9.9499999999999993" customHeight="1" x14ac:dyDescent="0.15">
      <c r="A47" s="238" t="s">
        <v>21</v>
      </c>
      <c r="B47" s="248"/>
      <c r="C47" s="247"/>
      <c r="D47" s="258" t="s">
        <v>463</v>
      </c>
      <c r="E47" s="261" t="s">
        <v>444</v>
      </c>
      <c r="F47" s="286"/>
      <c r="G47" s="287"/>
      <c r="H47" s="287"/>
      <c r="I47" s="287"/>
      <c r="J47" s="287"/>
      <c r="K47" s="288"/>
      <c r="L47" s="277" t="s">
        <v>195</v>
      </c>
      <c r="M47" s="262">
        <v>43671</v>
      </c>
      <c r="N47" s="277" t="s">
        <v>195</v>
      </c>
      <c r="O47" s="262">
        <v>43700</v>
      </c>
      <c r="P47" s="277" t="s">
        <v>195</v>
      </c>
      <c r="Q47" s="262">
        <v>43713</v>
      </c>
      <c r="R47" s="277" t="s">
        <v>195</v>
      </c>
      <c r="S47" s="262">
        <v>43755</v>
      </c>
      <c r="T47" s="277" t="s">
        <v>195</v>
      </c>
      <c r="U47" s="265" t="s">
        <v>502</v>
      </c>
      <c r="V47" s="277" t="s">
        <v>195</v>
      </c>
      <c r="W47" s="262">
        <v>43804</v>
      </c>
      <c r="X47" s="277" t="s">
        <v>195</v>
      </c>
      <c r="Y47" s="262">
        <v>43494</v>
      </c>
      <c r="Z47" s="277" t="s">
        <v>195</v>
      </c>
      <c r="AA47" s="262">
        <v>43502</v>
      </c>
      <c r="AB47" s="277" t="s">
        <v>195</v>
      </c>
      <c r="AC47" s="262">
        <v>43532</v>
      </c>
    </row>
    <row r="48" spans="1:29" ht="9.9499999999999993" customHeight="1" x14ac:dyDescent="0.15">
      <c r="A48" s="238" t="s">
        <v>21</v>
      </c>
      <c r="B48" s="248"/>
      <c r="C48" s="247"/>
      <c r="D48" s="247"/>
      <c r="E48" s="261" t="s">
        <v>443</v>
      </c>
      <c r="F48" s="286"/>
      <c r="G48" s="287"/>
      <c r="H48" s="287"/>
      <c r="I48" s="287"/>
      <c r="J48" s="287"/>
      <c r="K48" s="288"/>
      <c r="L48" s="277" t="s">
        <v>195</v>
      </c>
      <c r="M48" s="278"/>
      <c r="N48" s="277" t="s">
        <v>195</v>
      </c>
      <c r="O48" s="278"/>
      <c r="P48" s="277" t="s">
        <v>195</v>
      </c>
      <c r="Q48" s="278"/>
      <c r="R48" s="277" t="s">
        <v>195</v>
      </c>
      <c r="S48" s="278"/>
      <c r="T48" s="277" t="s">
        <v>195</v>
      </c>
      <c r="U48" s="278"/>
      <c r="V48" s="277" t="s">
        <v>195</v>
      </c>
      <c r="W48" s="278"/>
      <c r="X48" s="277" t="s">
        <v>195</v>
      </c>
      <c r="Y48" s="278"/>
      <c r="Z48" s="277" t="s">
        <v>195</v>
      </c>
      <c r="AA48" s="278"/>
      <c r="AB48" s="277" t="s">
        <v>195</v>
      </c>
      <c r="AC48" s="278"/>
    </row>
    <row r="49" spans="1:29" ht="9.9499999999999993" customHeight="1" x14ac:dyDescent="0.15">
      <c r="A49" s="238" t="s">
        <v>21</v>
      </c>
      <c r="B49" s="248"/>
      <c r="C49" s="244"/>
      <c r="D49" s="244"/>
      <c r="E49" s="261" t="s">
        <v>6</v>
      </c>
      <c r="F49" s="286"/>
      <c r="G49" s="287"/>
      <c r="H49" s="287"/>
      <c r="I49" s="287"/>
      <c r="J49" s="287"/>
      <c r="K49" s="288"/>
      <c r="L49" s="277" t="s">
        <v>195</v>
      </c>
      <c r="M49" s="282"/>
      <c r="N49" s="277" t="s">
        <v>195</v>
      </c>
      <c r="O49" s="282"/>
      <c r="P49" s="277" t="s">
        <v>195</v>
      </c>
      <c r="Q49" s="282"/>
      <c r="R49" s="277" t="s">
        <v>195</v>
      </c>
      <c r="S49" s="282"/>
      <c r="T49" s="277" t="s">
        <v>195</v>
      </c>
      <c r="U49" s="282"/>
      <c r="V49" s="277" t="s">
        <v>195</v>
      </c>
      <c r="W49" s="282"/>
      <c r="X49" s="277" t="s">
        <v>195</v>
      </c>
      <c r="Y49" s="282"/>
      <c r="Z49" s="277" t="s">
        <v>195</v>
      </c>
      <c r="AA49" s="282"/>
      <c r="AB49" s="277" t="s">
        <v>195</v>
      </c>
      <c r="AC49" s="282"/>
    </row>
    <row r="50" spans="1:29" ht="9.9499999999999993" customHeight="1" x14ac:dyDescent="0.15">
      <c r="A50" s="238" t="s">
        <v>21</v>
      </c>
      <c r="B50" s="248"/>
      <c r="C50" s="259" t="s">
        <v>62</v>
      </c>
      <c r="D50" s="242"/>
      <c r="E50" s="261" t="s">
        <v>444</v>
      </c>
      <c r="F50" s="286"/>
      <c r="G50" s="287"/>
      <c r="H50" s="287"/>
      <c r="I50" s="287"/>
      <c r="J50" s="287"/>
      <c r="K50" s="288"/>
      <c r="L50" s="277">
        <v>220</v>
      </c>
      <c r="M50" s="262">
        <v>43671</v>
      </c>
      <c r="N50" s="277">
        <v>150</v>
      </c>
      <c r="O50" s="262">
        <v>43700</v>
      </c>
      <c r="P50" s="277">
        <v>120</v>
      </c>
      <c r="Q50" s="262">
        <v>43713</v>
      </c>
      <c r="R50" s="277">
        <v>120</v>
      </c>
      <c r="S50" s="262">
        <v>43755</v>
      </c>
      <c r="T50" s="277">
        <v>120</v>
      </c>
      <c r="U50" s="265" t="s">
        <v>497</v>
      </c>
      <c r="V50" s="277">
        <v>98</v>
      </c>
      <c r="W50" s="262">
        <v>43803</v>
      </c>
      <c r="X50" s="277">
        <v>32</v>
      </c>
      <c r="Y50" s="262">
        <v>43494</v>
      </c>
      <c r="Z50" s="277">
        <v>37</v>
      </c>
      <c r="AA50" s="262">
        <v>43502</v>
      </c>
      <c r="AB50" s="277">
        <v>62</v>
      </c>
      <c r="AC50" s="262">
        <v>43532</v>
      </c>
    </row>
    <row r="51" spans="1:29" ht="9.9499999999999993" customHeight="1" x14ac:dyDescent="0.15">
      <c r="A51" s="238" t="s">
        <v>21</v>
      </c>
      <c r="B51" s="248"/>
      <c r="C51" s="248"/>
      <c r="D51" s="249"/>
      <c r="E51" s="261" t="s">
        <v>443</v>
      </c>
      <c r="F51" s="286"/>
      <c r="G51" s="287"/>
      <c r="H51" s="287"/>
      <c r="I51" s="287"/>
      <c r="J51" s="287"/>
      <c r="K51" s="288"/>
      <c r="L51" s="279">
        <v>340</v>
      </c>
      <c r="M51" s="278"/>
      <c r="N51" s="279">
        <v>230</v>
      </c>
      <c r="O51" s="278"/>
      <c r="P51" s="279">
        <v>190</v>
      </c>
      <c r="Q51" s="278"/>
      <c r="R51" s="279">
        <v>200</v>
      </c>
      <c r="S51" s="278"/>
      <c r="T51" s="279">
        <v>210</v>
      </c>
      <c r="U51" s="278"/>
      <c r="V51" s="277">
        <v>170</v>
      </c>
      <c r="W51" s="278"/>
      <c r="X51" s="279">
        <v>59</v>
      </c>
      <c r="Y51" s="278"/>
      <c r="Z51" s="281" t="s">
        <v>516</v>
      </c>
      <c r="AA51" s="278"/>
      <c r="AB51" s="279" t="s">
        <v>18</v>
      </c>
      <c r="AC51" s="278"/>
    </row>
    <row r="52" spans="1:29" ht="9.9499999999999993" customHeight="1" x14ac:dyDescent="0.15">
      <c r="A52" s="238" t="s">
        <v>21</v>
      </c>
      <c r="B52" s="248"/>
      <c r="C52" s="245"/>
      <c r="D52" s="246"/>
      <c r="E52" s="261" t="s">
        <v>6</v>
      </c>
      <c r="F52" s="286"/>
      <c r="G52" s="287"/>
      <c r="H52" s="287"/>
      <c r="I52" s="287"/>
      <c r="J52" s="287"/>
      <c r="K52" s="288"/>
      <c r="L52" s="279">
        <v>560</v>
      </c>
      <c r="M52" s="282"/>
      <c r="N52" s="279">
        <v>380</v>
      </c>
      <c r="O52" s="282"/>
      <c r="P52" s="279">
        <v>310</v>
      </c>
      <c r="Q52" s="282"/>
      <c r="R52" s="279">
        <v>320</v>
      </c>
      <c r="S52" s="282"/>
      <c r="T52" s="279">
        <v>330</v>
      </c>
      <c r="U52" s="282"/>
      <c r="V52" s="279">
        <v>268</v>
      </c>
      <c r="W52" s="282"/>
      <c r="X52" s="279">
        <v>91</v>
      </c>
      <c r="Y52" s="282"/>
      <c r="Z52" s="281" t="s">
        <v>507</v>
      </c>
      <c r="AA52" s="282"/>
      <c r="AB52" s="279">
        <v>162</v>
      </c>
      <c r="AC52" s="282"/>
    </row>
    <row r="53" spans="1:29" ht="9.9499999999999993" customHeight="1" x14ac:dyDescent="0.15">
      <c r="A53" s="238" t="s">
        <v>21</v>
      </c>
      <c r="B53" s="248"/>
      <c r="C53" s="259" t="s">
        <v>80</v>
      </c>
      <c r="D53" s="242"/>
      <c r="E53" s="261" t="s">
        <v>444</v>
      </c>
      <c r="F53" s="286"/>
      <c r="G53" s="287"/>
      <c r="H53" s="287"/>
      <c r="I53" s="287"/>
      <c r="J53" s="287"/>
      <c r="K53" s="288"/>
      <c r="L53" s="277">
        <v>840</v>
      </c>
      <c r="M53" s="262">
        <v>43671</v>
      </c>
      <c r="N53" s="277">
        <v>600</v>
      </c>
      <c r="O53" s="262">
        <v>43700</v>
      </c>
      <c r="P53" s="277">
        <v>510</v>
      </c>
      <c r="Q53" s="262">
        <v>43713</v>
      </c>
      <c r="R53" s="277">
        <v>530</v>
      </c>
      <c r="S53" s="262">
        <v>43755</v>
      </c>
      <c r="T53" s="277">
        <v>540</v>
      </c>
      <c r="U53" s="265" t="s">
        <v>497</v>
      </c>
      <c r="V53" s="277">
        <v>500</v>
      </c>
      <c r="W53" s="262">
        <v>43803</v>
      </c>
      <c r="X53" s="277">
        <v>180</v>
      </c>
      <c r="Y53" s="262">
        <v>43494</v>
      </c>
      <c r="Z53" s="277">
        <v>220</v>
      </c>
      <c r="AA53" s="262">
        <v>43502</v>
      </c>
      <c r="AB53" s="277">
        <v>280</v>
      </c>
      <c r="AC53" s="262">
        <v>43532</v>
      </c>
    </row>
    <row r="54" spans="1:29" ht="9.9499999999999993" customHeight="1" x14ac:dyDescent="0.15">
      <c r="A54" s="238" t="s">
        <v>21</v>
      </c>
      <c r="B54" s="248"/>
      <c r="C54" s="248"/>
      <c r="D54" s="249"/>
      <c r="E54" s="261" t="s">
        <v>443</v>
      </c>
      <c r="F54" s="286"/>
      <c r="G54" s="287"/>
      <c r="H54" s="287"/>
      <c r="I54" s="287"/>
      <c r="J54" s="287"/>
      <c r="K54" s="288"/>
      <c r="L54" s="279">
        <v>1300</v>
      </c>
      <c r="M54" s="278"/>
      <c r="N54" s="279">
        <v>970</v>
      </c>
      <c r="O54" s="278"/>
      <c r="P54" s="279">
        <v>840</v>
      </c>
      <c r="Q54" s="278"/>
      <c r="R54" s="279">
        <v>880</v>
      </c>
      <c r="S54" s="278"/>
      <c r="T54" s="279">
        <v>910</v>
      </c>
      <c r="U54" s="278"/>
      <c r="V54" s="279">
        <v>870</v>
      </c>
      <c r="W54" s="278"/>
      <c r="X54" s="279">
        <v>330</v>
      </c>
      <c r="Y54" s="278"/>
      <c r="Z54" s="279">
        <v>400</v>
      </c>
      <c r="AA54" s="278"/>
      <c r="AB54" s="279">
        <v>560</v>
      </c>
      <c r="AC54" s="278"/>
    </row>
    <row r="55" spans="1:29" ht="9.9499999999999993" customHeight="1" x14ac:dyDescent="0.15">
      <c r="A55" s="238" t="s">
        <v>21</v>
      </c>
      <c r="B55" s="245"/>
      <c r="C55" s="245"/>
      <c r="D55" s="246"/>
      <c r="E55" s="261" t="s">
        <v>6</v>
      </c>
      <c r="F55" s="289"/>
      <c r="G55" s="290"/>
      <c r="H55" s="290"/>
      <c r="I55" s="290"/>
      <c r="J55" s="290"/>
      <c r="K55" s="291"/>
      <c r="L55" s="275">
        <v>2140</v>
      </c>
      <c r="M55" s="282"/>
      <c r="N55" s="275">
        <v>1570</v>
      </c>
      <c r="O55" s="282"/>
      <c r="P55" s="275">
        <v>1350</v>
      </c>
      <c r="Q55" s="282"/>
      <c r="R55" s="279">
        <v>1410</v>
      </c>
      <c r="S55" s="282"/>
      <c r="T55" s="279">
        <v>1450</v>
      </c>
      <c r="U55" s="282"/>
      <c r="V55" s="279">
        <v>1370</v>
      </c>
      <c r="W55" s="282"/>
      <c r="X55" s="279">
        <v>510</v>
      </c>
      <c r="Y55" s="282"/>
      <c r="Z55" s="279">
        <v>620</v>
      </c>
      <c r="AA55" s="282"/>
      <c r="AB55" s="279">
        <v>840</v>
      </c>
      <c r="AC55" s="282"/>
    </row>
    <row r="56" spans="1:29" ht="9.9499999999999993" customHeight="1" x14ac:dyDescent="0.15">
      <c r="A56" s="238" t="s">
        <v>21</v>
      </c>
      <c r="B56" s="259" t="s">
        <v>467</v>
      </c>
      <c r="C56" s="259" t="s">
        <v>268</v>
      </c>
      <c r="D56" s="242"/>
      <c r="E56" s="261" t="s">
        <v>444</v>
      </c>
      <c r="F56" s="277" t="s">
        <v>195</v>
      </c>
      <c r="G56" s="262">
        <v>43579</v>
      </c>
      <c r="H56" s="277" t="s">
        <v>195</v>
      </c>
      <c r="I56" s="262">
        <v>43599</v>
      </c>
      <c r="J56" s="277" t="s">
        <v>195</v>
      </c>
      <c r="K56" s="262">
        <v>43634</v>
      </c>
      <c r="L56" s="277" t="s">
        <v>195</v>
      </c>
      <c r="M56" s="262">
        <v>43669</v>
      </c>
      <c r="N56" s="277" t="s">
        <v>195</v>
      </c>
      <c r="O56" s="262">
        <v>43697</v>
      </c>
      <c r="P56" s="277" t="s">
        <v>195</v>
      </c>
      <c r="Q56" s="262" t="s">
        <v>503</v>
      </c>
      <c r="R56" s="277" t="s">
        <v>195</v>
      </c>
      <c r="S56" s="262">
        <v>43750</v>
      </c>
      <c r="T56" s="277" t="s">
        <v>195</v>
      </c>
      <c r="U56" s="265" t="s">
        <v>502</v>
      </c>
      <c r="V56" s="277" t="s">
        <v>195</v>
      </c>
      <c r="W56" s="262">
        <v>43802</v>
      </c>
      <c r="X56" s="277" t="s">
        <v>195</v>
      </c>
      <c r="Y56" s="262">
        <v>43489</v>
      </c>
      <c r="Z56" s="277" t="s">
        <v>195</v>
      </c>
      <c r="AA56" s="262">
        <v>43514</v>
      </c>
      <c r="AB56" s="277" t="s">
        <v>195</v>
      </c>
      <c r="AC56" s="262">
        <v>43528</v>
      </c>
    </row>
    <row r="57" spans="1:29" ht="9.9499999999999993" customHeight="1" x14ac:dyDescent="0.15">
      <c r="A57" s="238" t="s">
        <v>21</v>
      </c>
      <c r="B57" s="248"/>
      <c r="C57" s="248"/>
      <c r="D57" s="249"/>
      <c r="E57" s="261" t="s">
        <v>443</v>
      </c>
      <c r="F57" s="277" t="s">
        <v>195</v>
      </c>
      <c r="G57" s="278"/>
      <c r="H57" s="277" t="s">
        <v>195</v>
      </c>
      <c r="I57" s="278"/>
      <c r="J57" s="277" t="s">
        <v>195</v>
      </c>
      <c r="K57" s="278"/>
      <c r="L57" s="277" t="s">
        <v>195</v>
      </c>
      <c r="M57" s="278"/>
      <c r="N57" s="277" t="s">
        <v>195</v>
      </c>
      <c r="O57" s="278"/>
      <c r="P57" s="277" t="s">
        <v>195</v>
      </c>
      <c r="Q57" s="278"/>
      <c r="R57" s="277" t="s">
        <v>195</v>
      </c>
      <c r="S57" s="278"/>
      <c r="T57" s="277" t="s">
        <v>195</v>
      </c>
      <c r="U57" s="278"/>
      <c r="V57" s="277" t="s">
        <v>195</v>
      </c>
      <c r="W57" s="278"/>
      <c r="X57" s="277" t="s">
        <v>195</v>
      </c>
      <c r="Y57" s="278"/>
      <c r="Z57" s="277" t="s">
        <v>195</v>
      </c>
      <c r="AA57" s="278"/>
      <c r="AB57" s="277" t="s">
        <v>195</v>
      </c>
      <c r="AC57" s="278"/>
    </row>
    <row r="58" spans="1:29" ht="9.9499999999999993" customHeight="1" x14ac:dyDescent="0.15">
      <c r="A58" s="238" t="s">
        <v>21</v>
      </c>
      <c r="B58" s="248"/>
      <c r="C58" s="245"/>
      <c r="D58" s="246"/>
      <c r="E58" s="261" t="s">
        <v>6</v>
      </c>
      <c r="F58" s="277" t="s">
        <v>195</v>
      </c>
      <c r="G58" s="282"/>
      <c r="H58" s="277" t="s">
        <v>195</v>
      </c>
      <c r="I58" s="282"/>
      <c r="J58" s="277" t="s">
        <v>195</v>
      </c>
      <c r="K58" s="282"/>
      <c r="L58" s="277" t="s">
        <v>195</v>
      </c>
      <c r="M58" s="282"/>
      <c r="N58" s="277" t="s">
        <v>195</v>
      </c>
      <c r="O58" s="282"/>
      <c r="P58" s="277" t="s">
        <v>195</v>
      </c>
      <c r="Q58" s="282"/>
      <c r="R58" s="277" t="s">
        <v>195</v>
      </c>
      <c r="S58" s="282"/>
      <c r="T58" s="277" t="s">
        <v>195</v>
      </c>
      <c r="U58" s="282"/>
      <c r="V58" s="277" t="s">
        <v>195</v>
      </c>
      <c r="W58" s="282"/>
      <c r="X58" s="277" t="s">
        <v>195</v>
      </c>
      <c r="Y58" s="282"/>
      <c r="Z58" s="277" t="s">
        <v>195</v>
      </c>
      <c r="AA58" s="282"/>
      <c r="AB58" s="277" t="s">
        <v>195</v>
      </c>
      <c r="AC58" s="282"/>
    </row>
    <row r="59" spans="1:29" ht="9.9499999999999993" customHeight="1" x14ac:dyDescent="0.15">
      <c r="A59" s="238" t="s">
        <v>21</v>
      </c>
      <c r="B59" s="248"/>
      <c r="C59" s="259" t="s">
        <v>53</v>
      </c>
      <c r="D59" s="242"/>
      <c r="E59" s="261" t="s">
        <v>444</v>
      </c>
      <c r="F59" s="277" t="s">
        <v>195</v>
      </c>
      <c r="G59" s="262">
        <v>43579</v>
      </c>
      <c r="H59" s="277">
        <v>0.99</v>
      </c>
      <c r="I59" s="262">
        <v>43599</v>
      </c>
      <c r="J59" s="277">
        <v>2.2999999999999998</v>
      </c>
      <c r="K59" s="262">
        <v>43634</v>
      </c>
      <c r="L59" s="277">
        <v>2.2000000000000002</v>
      </c>
      <c r="M59" s="262">
        <v>43669</v>
      </c>
      <c r="N59" s="277" t="s">
        <v>19</v>
      </c>
      <c r="O59" s="262">
        <v>43697</v>
      </c>
      <c r="P59" s="277">
        <v>78</v>
      </c>
      <c r="Q59" s="262" t="s">
        <v>503</v>
      </c>
      <c r="R59" s="277" t="s">
        <v>195</v>
      </c>
      <c r="S59" s="262">
        <v>43750</v>
      </c>
      <c r="T59" s="277">
        <v>2.6</v>
      </c>
      <c r="U59" s="265" t="s">
        <v>502</v>
      </c>
      <c r="V59" s="277" t="s">
        <v>20</v>
      </c>
      <c r="W59" s="262">
        <v>43802</v>
      </c>
      <c r="X59" s="277">
        <v>15</v>
      </c>
      <c r="Y59" s="262">
        <v>43489</v>
      </c>
      <c r="Z59" s="277">
        <v>17</v>
      </c>
      <c r="AA59" s="262">
        <v>43514</v>
      </c>
      <c r="AB59" s="277">
        <v>1.3</v>
      </c>
      <c r="AC59" s="262">
        <v>43528</v>
      </c>
    </row>
    <row r="60" spans="1:29" ht="9.9499999999999993" customHeight="1" x14ac:dyDescent="0.15">
      <c r="A60" s="238" t="s">
        <v>21</v>
      </c>
      <c r="B60" s="248"/>
      <c r="C60" s="248"/>
      <c r="D60" s="249"/>
      <c r="E60" s="261" t="s">
        <v>443</v>
      </c>
      <c r="F60" s="277" t="s">
        <v>195</v>
      </c>
      <c r="G60" s="278"/>
      <c r="H60" s="271">
        <v>1.2</v>
      </c>
      <c r="I60" s="278"/>
      <c r="J60" s="271">
        <v>3.6</v>
      </c>
      <c r="K60" s="278"/>
      <c r="L60" s="271">
        <v>3.8</v>
      </c>
      <c r="M60" s="278"/>
      <c r="N60" s="279">
        <v>34</v>
      </c>
      <c r="O60" s="278"/>
      <c r="P60" s="271">
        <v>2.8</v>
      </c>
      <c r="Q60" s="278"/>
      <c r="R60" s="277" t="s">
        <v>195</v>
      </c>
      <c r="S60" s="278"/>
      <c r="T60" s="271">
        <v>4.5999999999999996</v>
      </c>
      <c r="U60" s="278"/>
      <c r="V60" s="271">
        <v>4.0999999999999996</v>
      </c>
      <c r="W60" s="278"/>
      <c r="X60" s="271">
        <v>2.9</v>
      </c>
      <c r="Y60" s="278"/>
      <c r="Z60" s="271">
        <v>3.2</v>
      </c>
      <c r="AA60" s="278"/>
      <c r="AB60" s="271">
        <v>3.1</v>
      </c>
      <c r="AC60" s="278"/>
    </row>
    <row r="61" spans="1:29" ht="9.9499999999999993" customHeight="1" x14ac:dyDescent="0.15">
      <c r="A61" s="238" t="s">
        <v>21</v>
      </c>
      <c r="B61" s="245"/>
      <c r="C61" s="245"/>
      <c r="D61" s="246"/>
      <c r="E61" s="261" t="s">
        <v>6</v>
      </c>
      <c r="F61" s="277" t="s">
        <v>195</v>
      </c>
      <c r="G61" s="282"/>
      <c r="H61" s="271">
        <v>2.19</v>
      </c>
      <c r="I61" s="282"/>
      <c r="J61" s="271">
        <v>5.9</v>
      </c>
      <c r="K61" s="282"/>
      <c r="L61" s="279">
        <v>6</v>
      </c>
      <c r="M61" s="282"/>
      <c r="N61" s="271">
        <v>5.2</v>
      </c>
      <c r="O61" s="282"/>
      <c r="P61" s="271">
        <v>3.58</v>
      </c>
      <c r="Q61" s="282"/>
      <c r="R61" s="277" t="s">
        <v>195</v>
      </c>
      <c r="S61" s="282"/>
      <c r="T61" s="277">
        <v>7.2</v>
      </c>
      <c r="U61" s="282"/>
      <c r="V61" s="271">
        <v>6</v>
      </c>
      <c r="W61" s="282"/>
      <c r="X61" s="271">
        <v>4.4000000000000004</v>
      </c>
      <c r="Y61" s="282"/>
      <c r="Z61" s="271">
        <v>4.9000000000000004</v>
      </c>
      <c r="AA61" s="282"/>
      <c r="AB61" s="271">
        <v>4.4000000000000004</v>
      </c>
      <c r="AC61" s="282"/>
    </row>
    <row r="62" spans="1:29" ht="9.9499999999999993" customHeight="1" x14ac:dyDescent="0.15">
      <c r="A62" s="238" t="s">
        <v>21</v>
      </c>
      <c r="B62" s="259" t="s">
        <v>468</v>
      </c>
      <c r="C62" s="259" t="s">
        <v>268</v>
      </c>
      <c r="D62" s="242"/>
      <c r="E62" s="261" t="s">
        <v>444</v>
      </c>
      <c r="F62" s="277" t="s">
        <v>195</v>
      </c>
      <c r="G62" s="262">
        <v>43579</v>
      </c>
      <c r="H62" s="277" t="s">
        <v>195</v>
      </c>
      <c r="I62" s="262">
        <v>43599</v>
      </c>
      <c r="J62" s="277" t="s">
        <v>195</v>
      </c>
      <c r="K62" s="262">
        <v>43634</v>
      </c>
      <c r="L62" s="277" t="s">
        <v>195</v>
      </c>
      <c r="M62" s="262">
        <v>43669</v>
      </c>
      <c r="N62" s="277" t="s">
        <v>195</v>
      </c>
      <c r="O62" s="262">
        <v>43697</v>
      </c>
      <c r="P62" s="277" t="s">
        <v>195</v>
      </c>
      <c r="Q62" s="262" t="s">
        <v>503</v>
      </c>
      <c r="R62" s="277" t="s">
        <v>195</v>
      </c>
      <c r="S62" s="262">
        <v>43750</v>
      </c>
      <c r="T62" s="277" t="s">
        <v>195</v>
      </c>
      <c r="U62" s="265" t="s">
        <v>502</v>
      </c>
      <c r="V62" s="277" t="s">
        <v>195</v>
      </c>
      <c r="W62" s="262">
        <v>43802</v>
      </c>
      <c r="X62" s="277" t="s">
        <v>195</v>
      </c>
      <c r="Y62" s="262">
        <v>43489</v>
      </c>
      <c r="Z62" s="277" t="s">
        <v>195</v>
      </c>
      <c r="AA62" s="262">
        <v>43514</v>
      </c>
      <c r="AB62" s="277" t="s">
        <v>195</v>
      </c>
      <c r="AC62" s="262">
        <v>43528</v>
      </c>
    </row>
    <row r="63" spans="1:29" ht="9.9499999999999993" customHeight="1" x14ac:dyDescent="0.15">
      <c r="A63" s="238" t="s">
        <v>21</v>
      </c>
      <c r="B63" s="248"/>
      <c r="C63" s="248"/>
      <c r="D63" s="249"/>
      <c r="E63" s="261" t="s">
        <v>443</v>
      </c>
      <c r="F63" s="277" t="s">
        <v>195</v>
      </c>
      <c r="G63" s="278"/>
      <c r="H63" s="277" t="s">
        <v>195</v>
      </c>
      <c r="I63" s="278"/>
      <c r="J63" s="277" t="s">
        <v>195</v>
      </c>
      <c r="K63" s="278"/>
      <c r="L63" s="277" t="s">
        <v>195</v>
      </c>
      <c r="M63" s="278"/>
      <c r="N63" s="277" t="s">
        <v>195</v>
      </c>
      <c r="O63" s="278"/>
      <c r="P63" s="277" t="s">
        <v>195</v>
      </c>
      <c r="Q63" s="278"/>
      <c r="R63" s="277" t="s">
        <v>195</v>
      </c>
      <c r="S63" s="278"/>
      <c r="T63" s="277" t="s">
        <v>195</v>
      </c>
      <c r="U63" s="278"/>
      <c r="V63" s="277" t="s">
        <v>195</v>
      </c>
      <c r="W63" s="278"/>
      <c r="X63" s="277" t="s">
        <v>195</v>
      </c>
      <c r="Y63" s="278"/>
      <c r="Z63" s="277" t="s">
        <v>195</v>
      </c>
      <c r="AA63" s="278"/>
      <c r="AB63" s="277" t="s">
        <v>195</v>
      </c>
      <c r="AC63" s="278"/>
    </row>
    <row r="64" spans="1:29" ht="9.9499999999999993" customHeight="1" x14ac:dyDescent="0.15">
      <c r="A64" s="238" t="s">
        <v>21</v>
      </c>
      <c r="B64" s="248"/>
      <c r="C64" s="245"/>
      <c r="D64" s="246"/>
      <c r="E64" s="261" t="s">
        <v>6</v>
      </c>
      <c r="F64" s="277" t="s">
        <v>195</v>
      </c>
      <c r="G64" s="282"/>
      <c r="H64" s="277" t="s">
        <v>195</v>
      </c>
      <c r="I64" s="282"/>
      <c r="J64" s="277" t="s">
        <v>195</v>
      </c>
      <c r="K64" s="282"/>
      <c r="L64" s="277" t="s">
        <v>195</v>
      </c>
      <c r="M64" s="282"/>
      <c r="N64" s="277" t="s">
        <v>195</v>
      </c>
      <c r="O64" s="282"/>
      <c r="P64" s="277" t="s">
        <v>195</v>
      </c>
      <c r="Q64" s="282"/>
      <c r="R64" s="277" t="s">
        <v>195</v>
      </c>
      <c r="S64" s="282"/>
      <c r="T64" s="277" t="s">
        <v>195</v>
      </c>
      <c r="U64" s="282"/>
      <c r="V64" s="277" t="s">
        <v>195</v>
      </c>
      <c r="W64" s="282"/>
      <c r="X64" s="277" t="s">
        <v>195</v>
      </c>
      <c r="Y64" s="282"/>
      <c r="Z64" s="277" t="s">
        <v>195</v>
      </c>
      <c r="AA64" s="282"/>
      <c r="AB64" s="277" t="s">
        <v>195</v>
      </c>
      <c r="AC64" s="282"/>
    </row>
    <row r="65" spans="1:30" ht="9.9499999999999993" customHeight="1" x14ac:dyDescent="0.15">
      <c r="A65" s="238" t="s">
        <v>21</v>
      </c>
      <c r="B65" s="248"/>
      <c r="C65" s="259" t="s">
        <v>53</v>
      </c>
      <c r="D65" s="242"/>
      <c r="E65" s="261" t="s">
        <v>444</v>
      </c>
      <c r="F65" s="277" t="s">
        <v>195</v>
      </c>
      <c r="G65" s="262">
        <v>43579</v>
      </c>
      <c r="H65" s="277">
        <v>1</v>
      </c>
      <c r="I65" s="262">
        <v>43599</v>
      </c>
      <c r="J65" s="277" t="s">
        <v>195</v>
      </c>
      <c r="K65" s="262">
        <v>43634</v>
      </c>
      <c r="L65" s="277" t="s">
        <v>195</v>
      </c>
      <c r="M65" s="262">
        <v>43669</v>
      </c>
      <c r="N65" s="277" t="s">
        <v>195</v>
      </c>
      <c r="O65" s="262">
        <v>43697</v>
      </c>
      <c r="P65" s="277" t="s">
        <v>195</v>
      </c>
      <c r="Q65" s="262" t="s">
        <v>503</v>
      </c>
      <c r="R65" s="277" t="s">
        <v>195</v>
      </c>
      <c r="S65" s="262">
        <v>43750</v>
      </c>
      <c r="T65" s="277" t="s">
        <v>195</v>
      </c>
      <c r="U65" s="265" t="s">
        <v>502</v>
      </c>
      <c r="V65" s="277" t="s">
        <v>195</v>
      </c>
      <c r="W65" s="262">
        <v>43802</v>
      </c>
      <c r="X65" s="277" t="s">
        <v>195</v>
      </c>
      <c r="Y65" s="262">
        <v>43489</v>
      </c>
      <c r="Z65" s="277" t="s">
        <v>195</v>
      </c>
      <c r="AA65" s="262">
        <v>43514</v>
      </c>
      <c r="AB65" s="277" t="s">
        <v>195</v>
      </c>
      <c r="AC65" s="262">
        <v>43528</v>
      </c>
    </row>
    <row r="66" spans="1:30" ht="9.9499999999999993" customHeight="1" x14ac:dyDescent="0.15">
      <c r="A66" s="238" t="s">
        <v>21</v>
      </c>
      <c r="B66" s="248"/>
      <c r="C66" s="248"/>
      <c r="D66" s="249"/>
      <c r="E66" s="261" t="s">
        <v>443</v>
      </c>
      <c r="F66" s="277" t="s">
        <v>195</v>
      </c>
      <c r="G66" s="278"/>
      <c r="H66" s="271">
        <v>2.1</v>
      </c>
      <c r="I66" s="278"/>
      <c r="J66" s="277" t="s">
        <v>195</v>
      </c>
      <c r="K66" s="278"/>
      <c r="L66" s="277" t="s">
        <v>195</v>
      </c>
      <c r="M66" s="278"/>
      <c r="N66" s="277" t="s">
        <v>195</v>
      </c>
      <c r="O66" s="278"/>
      <c r="P66" s="277" t="s">
        <v>195</v>
      </c>
      <c r="Q66" s="278"/>
      <c r="R66" s="277" t="s">
        <v>195</v>
      </c>
      <c r="S66" s="278"/>
      <c r="T66" s="277" t="s">
        <v>195</v>
      </c>
      <c r="U66" s="278"/>
      <c r="V66" s="277" t="s">
        <v>195</v>
      </c>
      <c r="W66" s="278"/>
      <c r="X66" s="277" t="s">
        <v>195</v>
      </c>
      <c r="Y66" s="278"/>
      <c r="Z66" s="277" t="s">
        <v>195</v>
      </c>
      <c r="AA66" s="278"/>
      <c r="AB66" s="277" t="s">
        <v>195</v>
      </c>
      <c r="AC66" s="278"/>
    </row>
    <row r="67" spans="1:30" ht="9.9499999999999993" customHeight="1" x14ac:dyDescent="0.15">
      <c r="A67" s="238" t="s">
        <v>21</v>
      </c>
      <c r="B67" s="245"/>
      <c r="C67" s="245"/>
      <c r="D67" s="246"/>
      <c r="E67" s="261" t="s">
        <v>6</v>
      </c>
      <c r="F67" s="277" t="s">
        <v>195</v>
      </c>
      <c r="G67" s="282"/>
      <c r="H67" s="271">
        <v>3.1</v>
      </c>
      <c r="I67" s="282"/>
      <c r="J67" s="277" t="s">
        <v>195</v>
      </c>
      <c r="K67" s="282"/>
      <c r="L67" s="277" t="s">
        <v>195</v>
      </c>
      <c r="M67" s="282"/>
      <c r="N67" s="277" t="s">
        <v>195</v>
      </c>
      <c r="O67" s="282"/>
      <c r="P67" s="277" t="s">
        <v>195</v>
      </c>
      <c r="Q67" s="282"/>
      <c r="R67" s="277" t="s">
        <v>195</v>
      </c>
      <c r="S67" s="282"/>
      <c r="T67" s="277" t="s">
        <v>195</v>
      </c>
      <c r="U67" s="282"/>
      <c r="V67" s="277" t="s">
        <v>195</v>
      </c>
      <c r="W67" s="282"/>
      <c r="X67" s="277" t="s">
        <v>195</v>
      </c>
      <c r="Y67" s="282"/>
      <c r="Z67" s="277" t="s">
        <v>195</v>
      </c>
      <c r="AA67" s="282"/>
      <c r="AB67" s="277" t="s">
        <v>195</v>
      </c>
      <c r="AC67" s="282"/>
    </row>
    <row r="68" spans="1:30" ht="9.9499999999999993" customHeight="1" x14ac:dyDescent="0.15">
      <c r="A68" s="238" t="s">
        <v>28</v>
      </c>
      <c r="B68" s="267" t="s">
        <v>486</v>
      </c>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2"/>
    </row>
    <row r="69" spans="1:30" ht="9.9499999999999993" customHeight="1" x14ac:dyDescent="0.15">
      <c r="A69" s="238" t="s">
        <v>28</v>
      </c>
      <c r="B69" s="259" t="s">
        <v>0</v>
      </c>
      <c r="C69" s="259" t="s">
        <v>450</v>
      </c>
      <c r="D69" s="241"/>
      <c r="E69" s="242"/>
      <c r="F69" s="260" t="s">
        <v>480</v>
      </c>
      <c r="G69" s="243"/>
      <c r="H69" s="260" t="s">
        <v>485</v>
      </c>
      <c r="I69" s="243"/>
      <c r="J69" s="260" t="s">
        <v>489</v>
      </c>
      <c r="K69" s="243"/>
      <c r="L69" s="260" t="s">
        <v>464</v>
      </c>
      <c r="M69" s="243"/>
      <c r="N69" s="260" t="s">
        <v>496</v>
      </c>
      <c r="O69" s="243"/>
      <c r="P69" s="260" t="s">
        <v>501</v>
      </c>
      <c r="Q69" s="243"/>
      <c r="R69" s="260" t="s">
        <v>22</v>
      </c>
      <c r="S69" s="243"/>
      <c r="T69" s="260" t="s">
        <v>23</v>
      </c>
      <c r="U69" s="243"/>
      <c r="V69" s="260" t="s">
        <v>12</v>
      </c>
      <c r="W69" s="243"/>
      <c r="X69" s="260" t="s">
        <v>13</v>
      </c>
      <c r="Y69" s="243"/>
      <c r="Z69" s="260" t="s">
        <v>14</v>
      </c>
      <c r="AA69" s="243"/>
      <c r="AB69" s="260" t="s">
        <v>15</v>
      </c>
      <c r="AC69" s="243"/>
    </row>
    <row r="70" spans="1:30" ht="9.9499999999999993" customHeight="1" x14ac:dyDescent="0.15">
      <c r="A70" s="238" t="s">
        <v>28</v>
      </c>
      <c r="B70" s="245"/>
      <c r="C70" s="245"/>
      <c r="D70" s="240"/>
      <c r="E70" s="246"/>
      <c r="F70" s="261" t="s">
        <v>3</v>
      </c>
      <c r="G70" s="261" t="s">
        <v>1</v>
      </c>
      <c r="H70" s="261" t="s">
        <v>3</v>
      </c>
      <c r="I70" s="261" t="s">
        <v>4</v>
      </c>
      <c r="J70" s="261" t="s">
        <v>3</v>
      </c>
      <c r="K70" s="261" t="s">
        <v>4</v>
      </c>
      <c r="L70" s="261" t="s">
        <v>3</v>
      </c>
      <c r="M70" s="261" t="s">
        <v>4</v>
      </c>
      <c r="N70" s="261" t="s">
        <v>3</v>
      </c>
      <c r="O70" s="261" t="s">
        <v>4</v>
      </c>
      <c r="P70" s="261" t="s">
        <v>3</v>
      </c>
      <c r="Q70" s="261" t="s">
        <v>4</v>
      </c>
      <c r="R70" s="261" t="s">
        <v>3</v>
      </c>
      <c r="S70" s="261" t="s">
        <v>4</v>
      </c>
      <c r="T70" s="261" t="s">
        <v>3</v>
      </c>
      <c r="U70" s="261" t="s">
        <v>4</v>
      </c>
      <c r="V70" s="261" t="s">
        <v>3</v>
      </c>
      <c r="W70" s="261" t="s">
        <v>4</v>
      </c>
      <c r="X70" s="261" t="s">
        <v>3</v>
      </c>
      <c r="Y70" s="261" t="s">
        <v>4</v>
      </c>
      <c r="Z70" s="261" t="s">
        <v>3</v>
      </c>
      <c r="AA70" s="261" t="s">
        <v>4</v>
      </c>
      <c r="AB70" s="261" t="s">
        <v>3</v>
      </c>
      <c r="AC70" s="261" t="s">
        <v>4</v>
      </c>
    </row>
    <row r="71" spans="1:30" ht="9.9499999999999993" customHeight="1" x14ac:dyDescent="0.15">
      <c r="A71" s="238" t="s">
        <v>28</v>
      </c>
      <c r="B71" s="259" t="s">
        <v>54</v>
      </c>
      <c r="C71" s="258" t="s">
        <v>267</v>
      </c>
      <c r="D71" s="258" t="s">
        <v>462</v>
      </c>
      <c r="E71" s="261" t="s">
        <v>444</v>
      </c>
      <c r="F71" s="277" t="s">
        <v>195</v>
      </c>
      <c r="G71" s="262">
        <v>43565</v>
      </c>
      <c r="H71" s="277" t="s">
        <v>195</v>
      </c>
      <c r="I71" s="262">
        <v>43599</v>
      </c>
      <c r="J71" s="277" t="s">
        <v>195</v>
      </c>
      <c r="K71" s="262">
        <v>43627</v>
      </c>
      <c r="L71" s="277" t="s">
        <v>195</v>
      </c>
      <c r="M71" s="262">
        <v>43655</v>
      </c>
      <c r="N71" s="277" t="s">
        <v>195</v>
      </c>
      <c r="O71" s="262">
        <v>43683</v>
      </c>
      <c r="P71" s="277" t="s">
        <v>195</v>
      </c>
      <c r="Q71" s="262">
        <v>43735</v>
      </c>
      <c r="R71" s="277" t="s">
        <v>195</v>
      </c>
      <c r="S71" s="262">
        <v>43739</v>
      </c>
      <c r="T71" s="277" t="s">
        <v>195</v>
      </c>
      <c r="U71" s="265">
        <v>43781</v>
      </c>
      <c r="V71" s="277" t="s">
        <v>195</v>
      </c>
      <c r="W71" s="262">
        <v>43809</v>
      </c>
      <c r="X71" s="277" t="s">
        <v>195</v>
      </c>
      <c r="Y71" s="262">
        <v>43473</v>
      </c>
      <c r="Z71" s="277" t="s">
        <v>195</v>
      </c>
      <c r="AA71" s="262">
        <v>43501</v>
      </c>
      <c r="AB71" s="277" t="s">
        <v>195</v>
      </c>
      <c r="AC71" s="262">
        <v>43543</v>
      </c>
    </row>
    <row r="72" spans="1:30" ht="9.9499999999999993" customHeight="1" x14ac:dyDescent="0.15">
      <c r="A72" s="238" t="s">
        <v>28</v>
      </c>
      <c r="B72" s="248"/>
      <c r="C72" s="247"/>
      <c r="D72" s="247"/>
      <c r="E72" s="261" t="s">
        <v>443</v>
      </c>
      <c r="F72" s="277" t="s">
        <v>195</v>
      </c>
      <c r="G72" s="276"/>
      <c r="H72" s="277" t="s">
        <v>195</v>
      </c>
      <c r="I72" s="276"/>
      <c r="J72" s="277" t="s">
        <v>195</v>
      </c>
      <c r="K72" s="276"/>
      <c r="L72" s="277" t="s">
        <v>195</v>
      </c>
      <c r="M72" s="276"/>
      <c r="N72" s="277" t="s">
        <v>195</v>
      </c>
      <c r="O72" s="276"/>
      <c r="P72" s="277" t="s">
        <v>195</v>
      </c>
      <c r="Q72" s="276"/>
      <c r="R72" s="277" t="s">
        <v>195</v>
      </c>
      <c r="S72" s="276"/>
      <c r="T72" s="277" t="s">
        <v>195</v>
      </c>
      <c r="U72" s="276"/>
      <c r="V72" s="277" t="s">
        <v>195</v>
      </c>
      <c r="W72" s="276"/>
      <c r="X72" s="277" t="s">
        <v>195</v>
      </c>
      <c r="Y72" s="276"/>
      <c r="Z72" s="277" t="s">
        <v>195</v>
      </c>
      <c r="AA72" s="276"/>
      <c r="AB72" s="277" t="s">
        <v>195</v>
      </c>
      <c r="AC72" s="276"/>
    </row>
    <row r="73" spans="1:30" ht="9.9499999999999993" customHeight="1" x14ac:dyDescent="0.15">
      <c r="A73" s="238" t="s">
        <v>28</v>
      </c>
      <c r="B73" s="248"/>
      <c r="C73" s="247"/>
      <c r="D73" s="244"/>
      <c r="E73" s="261" t="s">
        <v>6</v>
      </c>
      <c r="F73" s="277" t="s">
        <v>195</v>
      </c>
      <c r="G73" s="278"/>
      <c r="H73" s="277" t="s">
        <v>195</v>
      </c>
      <c r="I73" s="278"/>
      <c r="J73" s="277" t="s">
        <v>195</v>
      </c>
      <c r="K73" s="278"/>
      <c r="L73" s="277" t="s">
        <v>195</v>
      </c>
      <c r="M73" s="278"/>
      <c r="N73" s="277" t="s">
        <v>195</v>
      </c>
      <c r="O73" s="278"/>
      <c r="P73" s="277" t="s">
        <v>195</v>
      </c>
      <c r="Q73" s="278"/>
      <c r="R73" s="277" t="s">
        <v>195</v>
      </c>
      <c r="S73" s="278"/>
      <c r="T73" s="277" t="s">
        <v>195</v>
      </c>
      <c r="U73" s="278"/>
      <c r="V73" s="277" t="s">
        <v>195</v>
      </c>
      <c r="W73" s="278"/>
      <c r="X73" s="277" t="s">
        <v>195</v>
      </c>
      <c r="Y73" s="278"/>
      <c r="Z73" s="277" t="s">
        <v>195</v>
      </c>
      <c r="AA73" s="278"/>
      <c r="AB73" s="277" t="s">
        <v>195</v>
      </c>
      <c r="AC73" s="278"/>
    </row>
    <row r="74" spans="1:30" ht="9.9499999999999993" customHeight="1" x14ac:dyDescent="0.15">
      <c r="A74" s="238" t="s">
        <v>28</v>
      </c>
      <c r="B74" s="248"/>
      <c r="C74" s="247"/>
      <c r="D74" s="258" t="s">
        <v>463</v>
      </c>
      <c r="E74" s="261" t="s">
        <v>444</v>
      </c>
      <c r="F74" s="277" t="s">
        <v>195</v>
      </c>
      <c r="G74" s="262">
        <v>43566</v>
      </c>
      <c r="H74" s="277" t="s">
        <v>195</v>
      </c>
      <c r="I74" s="262">
        <v>43599</v>
      </c>
      <c r="J74" s="277" t="s">
        <v>195</v>
      </c>
      <c r="K74" s="262">
        <v>43633</v>
      </c>
      <c r="L74" s="277" t="s">
        <v>195</v>
      </c>
      <c r="M74" s="262">
        <v>43656</v>
      </c>
      <c r="N74" s="277" t="s">
        <v>195</v>
      </c>
      <c r="O74" s="262">
        <v>43684</v>
      </c>
      <c r="P74" s="277" t="s">
        <v>195</v>
      </c>
      <c r="Q74" s="262">
        <v>43734</v>
      </c>
      <c r="R74" s="277" t="s">
        <v>195</v>
      </c>
      <c r="S74" s="262">
        <v>43740</v>
      </c>
      <c r="T74" s="277" t="s">
        <v>195</v>
      </c>
      <c r="U74" s="265">
        <v>43781</v>
      </c>
      <c r="V74" s="277" t="s">
        <v>195</v>
      </c>
      <c r="W74" s="262">
        <v>43824</v>
      </c>
      <c r="X74" s="277" t="s">
        <v>195</v>
      </c>
      <c r="Y74" s="262">
        <v>43473</v>
      </c>
      <c r="Z74" s="277" t="s">
        <v>195</v>
      </c>
      <c r="AA74" s="262">
        <v>43501</v>
      </c>
      <c r="AB74" s="277" t="s">
        <v>195</v>
      </c>
      <c r="AC74" s="262">
        <v>43543</v>
      </c>
    </row>
    <row r="75" spans="1:30" ht="9.9499999999999993" customHeight="1" x14ac:dyDescent="0.15">
      <c r="A75" s="238" t="s">
        <v>28</v>
      </c>
      <c r="B75" s="248"/>
      <c r="C75" s="247"/>
      <c r="D75" s="247"/>
      <c r="E75" s="261" t="s">
        <v>443</v>
      </c>
      <c r="F75" s="277" t="s">
        <v>195</v>
      </c>
      <c r="G75" s="276"/>
      <c r="H75" s="277" t="s">
        <v>195</v>
      </c>
      <c r="I75" s="276"/>
      <c r="J75" s="277" t="s">
        <v>195</v>
      </c>
      <c r="K75" s="276"/>
      <c r="L75" s="277" t="s">
        <v>195</v>
      </c>
      <c r="M75" s="276"/>
      <c r="N75" s="277" t="s">
        <v>195</v>
      </c>
      <c r="O75" s="276"/>
      <c r="P75" s="277" t="s">
        <v>195</v>
      </c>
      <c r="Q75" s="276"/>
      <c r="R75" s="277" t="s">
        <v>195</v>
      </c>
      <c r="S75" s="276"/>
      <c r="T75" s="277" t="s">
        <v>195</v>
      </c>
      <c r="U75" s="276"/>
      <c r="V75" s="277" t="s">
        <v>195</v>
      </c>
      <c r="W75" s="276"/>
      <c r="X75" s="277" t="s">
        <v>195</v>
      </c>
      <c r="Y75" s="276"/>
      <c r="Z75" s="277" t="s">
        <v>195</v>
      </c>
      <c r="AA75" s="276"/>
      <c r="AB75" s="277" t="s">
        <v>195</v>
      </c>
      <c r="AC75" s="276"/>
    </row>
    <row r="76" spans="1:30" ht="9.9499999999999993" customHeight="1" x14ac:dyDescent="0.15">
      <c r="A76" s="238" t="s">
        <v>28</v>
      </c>
      <c r="B76" s="248"/>
      <c r="C76" s="244"/>
      <c r="D76" s="244"/>
      <c r="E76" s="261" t="s">
        <v>6</v>
      </c>
      <c r="F76" s="277" t="s">
        <v>195</v>
      </c>
      <c r="G76" s="278"/>
      <c r="H76" s="277" t="s">
        <v>195</v>
      </c>
      <c r="I76" s="278"/>
      <c r="J76" s="277" t="s">
        <v>195</v>
      </c>
      <c r="K76" s="278"/>
      <c r="L76" s="277" t="s">
        <v>195</v>
      </c>
      <c r="M76" s="278"/>
      <c r="N76" s="277" t="s">
        <v>195</v>
      </c>
      <c r="O76" s="278"/>
      <c r="P76" s="277" t="s">
        <v>195</v>
      </c>
      <c r="Q76" s="278"/>
      <c r="R76" s="277" t="s">
        <v>195</v>
      </c>
      <c r="S76" s="278"/>
      <c r="T76" s="277" t="s">
        <v>195</v>
      </c>
      <c r="U76" s="278"/>
      <c r="V76" s="277" t="s">
        <v>195</v>
      </c>
      <c r="W76" s="278"/>
      <c r="X76" s="277" t="s">
        <v>195</v>
      </c>
      <c r="Y76" s="278"/>
      <c r="Z76" s="277" t="s">
        <v>195</v>
      </c>
      <c r="AA76" s="278"/>
      <c r="AB76" s="277" t="s">
        <v>195</v>
      </c>
      <c r="AC76" s="278"/>
    </row>
    <row r="77" spans="1:30" ht="9.9499999999999993" customHeight="1" x14ac:dyDescent="0.15">
      <c r="A77" s="238" t="s">
        <v>28</v>
      </c>
      <c r="B77" s="248"/>
      <c r="C77" s="259" t="s">
        <v>62</v>
      </c>
      <c r="D77" s="242"/>
      <c r="E77" s="261" t="s">
        <v>444</v>
      </c>
      <c r="F77" s="279">
        <v>71</v>
      </c>
      <c r="G77" s="262">
        <v>43566</v>
      </c>
      <c r="H77" s="277">
        <v>73</v>
      </c>
      <c r="I77" s="262">
        <v>43599</v>
      </c>
      <c r="J77" s="277">
        <v>68</v>
      </c>
      <c r="K77" s="262">
        <v>43627</v>
      </c>
      <c r="L77" s="277">
        <v>91</v>
      </c>
      <c r="M77" s="262">
        <v>43655</v>
      </c>
      <c r="N77" s="277">
        <v>110</v>
      </c>
      <c r="O77" s="262">
        <v>43684</v>
      </c>
      <c r="P77" s="277">
        <v>67</v>
      </c>
      <c r="Q77" s="262">
        <v>43734</v>
      </c>
      <c r="R77" s="277">
        <v>85</v>
      </c>
      <c r="S77" s="262">
        <v>43740</v>
      </c>
      <c r="T77" s="277">
        <v>35</v>
      </c>
      <c r="U77" s="265">
        <v>43781</v>
      </c>
      <c r="V77" s="277">
        <v>29</v>
      </c>
      <c r="W77" s="262">
        <v>43824</v>
      </c>
      <c r="X77" s="277">
        <v>23</v>
      </c>
      <c r="Y77" s="262">
        <v>43473</v>
      </c>
      <c r="Z77" s="277">
        <v>11</v>
      </c>
      <c r="AA77" s="262">
        <v>43501</v>
      </c>
      <c r="AB77" s="277">
        <v>16</v>
      </c>
      <c r="AC77" s="262">
        <v>43543</v>
      </c>
    </row>
    <row r="78" spans="1:30" ht="9.9499999999999993" customHeight="1" x14ac:dyDescent="0.15">
      <c r="A78" s="238" t="s">
        <v>28</v>
      </c>
      <c r="B78" s="248"/>
      <c r="C78" s="248"/>
      <c r="D78" s="249"/>
      <c r="E78" s="261" t="s">
        <v>443</v>
      </c>
      <c r="F78" s="279">
        <v>130</v>
      </c>
      <c r="G78" s="276"/>
      <c r="H78" s="279">
        <v>140</v>
      </c>
      <c r="I78" s="276"/>
      <c r="J78" s="279">
        <v>140</v>
      </c>
      <c r="K78" s="276"/>
      <c r="L78" s="279">
        <v>190</v>
      </c>
      <c r="M78" s="276"/>
      <c r="N78" s="279">
        <v>250</v>
      </c>
      <c r="O78" s="276"/>
      <c r="P78" s="279">
        <v>150</v>
      </c>
      <c r="Q78" s="276"/>
      <c r="R78" s="279">
        <v>190</v>
      </c>
      <c r="S78" s="276"/>
      <c r="T78" s="279">
        <v>88</v>
      </c>
      <c r="U78" s="276"/>
      <c r="V78" s="277">
        <v>77</v>
      </c>
      <c r="W78" s="276"/>
      <c r="X78" s="279">
        <v>62</v>
      </c>
      <c r="Y78" s="276"/>
      <c r="Z78" s="279">
        <v>30</v>
      </c>
      <c r="AA78" s="276"/>
      <c r="AB78" s="279">
        <v>41</v>
      </c>
      <c r="AC78" s="276"/>
    </row>
    <row r="79" spans="1:30" ht="9.9499999999999993" customHeight="1" x14ac:dyDescent="0.15">
      <c r="A79" s="238" t="s">
        <v>28</v>
      </c>
      <c r="B79" s="248"/>
      <c r="C79" s="245"/>
      <c r="D79" s="246"/>
      <c r="E79" s="261" t="s">
        <v>6</v>
      </c>
      <c r="F79" s="279">
        <v>201</v>
      </c>
      <c r="G79" s="278"/>
      <c r="H79" s="279">
        <v>213</v>
      </c>
      <c r="I79" s="278"/>
      <c r="J79" s="279">
        <v>208</v>
      </c>
      <c r="K79" s="278"/>
      <c r="L79" s="279">
        <v>281</v>
      </c>
      <c r="M79" s="278"/>
      <c r="N79" s="279">
        <v>360</v>
      </c>
      <c r="O79" s="278"/>
      <c r="P79" s="279">
        <v>217</v>
      </c>
      <c r="Q79" s="278"/>
      <c r="R79" s="279">
        <v>275</v>
      </c>
      <c r="S79" s="278"/>
      <c r="T79" s="279">
        <v>123</v>
      </c>
      <c r="U79" s="278"/>
      <c r="V79" s="277" t="s">
        <v>508</v>
      </c>
      <c r="W79" s="278"/>
      <c r="X79" s="279">
        <v>85</v>
      </c>
      <c r="Y79" s="278"/>
      <c r="Z79" s="279">
        <v>41</v>
      </c>
      <c r="AA79" s="278"/>
      <c r="AB79" s="279">
        <v>57</v>
      </c>
      <c r="AC79" s="278"/>
    </row>
    <row r="80" spans="1:30" ht="9.9499999999999993" customHeight="1" x14ac:dyDescent="0.15">
      <c r="A80" s="238" t="s">
        <v>28</v>
      </c>
      <c r="B80" s="248"/>
      <c r="C80" s="259" t="s">
        <v>80</v>
      </c>
      <c r="D80" s="242"/>
      <c r="E80" s="261" t="s">
        <v>444</v>
      </c>
      <c r="F80" s="279">
        <v>250</v>
      </c>
      <c r="G80" s="262">
        <v>43566</v>
      </c>
      <c r="H80" s="277">
        <v>320</v>
      </c>
      <c r="I80" s="262">
        <v>43599</v>
      </c>
      <c r="J80" s="277">
        <v>350</v>
      </c>
      <c r="K80" s="262">
        <v>43627</v>
      </c>
      <c r="L80" s="277">
        <v>280</v>
      </c>
      <c r="M80" s="262">
        <v>43655</v>
      </c>
      <c r="N80" s="277">
        <v>230</v>
      </c>
      <c r="O80" s="262">
        <v>43684</v>
      </c>
      <c r="P80" s="277">
        <v>150</v>
      </c>
      <c r="Q80" s="262">
        <v>43734</v>
      </c>
      <c r="R80" s="277">
        <v>210</v>
      </c>
      <c r="S80" s="262">
        <v>43740</v>
      </c>
      <c r="T80" s="277">
        <v>120</v>
      </c>
      <c r="U80" s="265">
        <v>43781</v>
      </c>
      <c r="V80" s="277">
        <v>96</v>
      </c>
      <c r="W80" s="262">
        <v>43824</v>
      </c>
      <c r="X80" s="277">
        <v>74</v>
      </c>
      <c r="Y80" s="262">
        <v>43473</v>
      </c>
      <c r="Z80" s="277">
        <v>63</v>
      </c>
      <c r="AA80" s="262">
        <v>43501</v>
      </c>
      <c r="AB80" s="277">
        <v>80</v>
      </c>
      <c r="AC80" s="262">
        <v>43543</v>
      </c>
    </row>
    <row r="81" spans="1:29" ht="9.9499999999999993" customHeight="1" x14ac:dyDescent="0.15">
      <c r="A81" s="238" t="s">
        <v>28</v>
      </c>
      <c r="B81" s="248"/>
      <c r="C81" s="248"/>
      <c r="D81" s="249"/>
      <c r="E81" s="261" t="s">
        <v>443</v>
      </c>
      <c r="F81" s="279">
        <v>510</v>
      </c>
      <c r="G81" s="276"/>
      <c r="H81" s="279">
        <v>610</v>
      </c>
      <c r="I81" s="276"/>
      <c r="J81" s="279">
        <v>750</v>
      </c>
      <c r="K81" s="276"/>
      <c r="L81" s="279">
        <v>580</v>
      </c>
      <c r="M81" s="276"/>
      <c r="N81" s="279">
        <v>490</v>
      </c>
      <c r="O81" s="276"/>
      <c r="P81" s="279">
        <v>350</v>
      </c>
      <c r="Q81" s="276"/>
      <c r="R81" s="279">
        <v>460</v>
      </c>
      <c r="S81" s="276"/>
      <c r="T81" s="279">
        <v>260</v>
      </c>
      <c r="U81" s="276"/>
      <c r="V81" s="279">
        <v>230</v>
      </c>
      <c r="W81" s="276"/>
      <c r="X81" s="279">
        <v>190</v>
      </c>
      <c r="Y81" s="276"/>
      <c r="Z81" s="279">
        <v>140</v>
      </c>
      <c r="AA81" s="276"/>
      <c r="AB81" s="279">
        <v>210</v>
      </c>
      <c r="AC81" s="276"/>
    </row>
    <row r="82" spans="1:29" ht="9.9499999999999993" customHeight="1" x14ac:dyDescent="0.15">
      <c r="A82" s="238" t="s">
        <v>28</v>
      </c>
      <c r="B82" s="245"/>
      <c r="C82" s="245"/>
      <c r="D82" s="246"/>
      <c r="E82" s="261" t="s">
        <v>6</v>
      </c>
      <c r="F82" s="279">
        <v>760</v>
      </c>
      <c r="G82" s="278"/>
      <c r="H82" s="279">
        <v>930</v>
      </c>
      <c r="I82" s="278"/>
      <c r="J82" s="275">
        <v>1100</v>
      </c>
      <c r="K82" s="278"/>
      <c r="L82" s="279">
        <v>860</v>
      </c>
      <c r="M82" s="278"/>
      <c r="N82" s="279">
        <v>720</v>
      </c>
      <c r="O82" s="278"/>
      <c r="P82" s="279">
        <v>500</v>
      </c>
      <c r="Q82" s="278"/>
      <c r="R82" s="279">
        <v>670</v>
      </c>
      <c r="S82" s="278"/>
      <c r="T82" s="279">
        <v>380</v>
      </c>
      <c r="U82" s="278"/>
      <c r="V82" s="279">
        <v>326</v>
      </c>
      <c r="W82" s="278"/>
      <c r="X82" s="279">
        <v>264</v>
      </c>
      <c r="Y82" s="278"/>
      <c r="Z82" s="279">
        <v>203</v>
      </c>
      <c r="AA82" s="278"/>
      <c r="AB82" s="279">
        <v>290</v>
      </c>
      <c r="AC82" s="278"/>
    </row>
    <row r="83" spans="1:29" ht="9.9499999999999993" customHeight="1" x14ac:dyDescent="0.15">
      <c r="A83" s="238" t="s">
        <v>28</v>
      </c>
      <c r="B83" s="259" t="s">
        <v>269</v>
      </c>
      <c r="C83" s="258" t="s">
        <v>267</v>
      </c>
      <c r="D83" s="258" t="s">
        <v>462</v>
      </c>
      <c r="E83" s="261" t="s">
        <v>444</v>
      </c>
      <c r="F83" s="277" t="s">
        <v>195</v>
      </c>
      <c r="G83" s="262">
        <v>43573</v>
      </c>
      <c r="H83" s="277" t="s">
        <v>195</v>
      </c>
      <c r="I83" s="262">
        <v>43608</v>
      </c>
      <c r="J83" s="277" t="s">
        <v>195</v>
      </c>
      <c r="K83" s="262">
        <v>43629</v>
      </c>
      <c r="L83" s="277" t="s">
        <v>195</v>
      </c>
      <c r="M83" s="262">
        <v>43657</v>
      </c>
      <c r="N83" s="277" t="s">
        <v>195</v>
      </c>
      <c r="O83" s="262">
        <v>43686</v>
      </c>
      <c r="P83" s="277" t="s">
        <v>195</v>
      </c>
      <c r="Q83" s="262">
        <v>43718</v>
      </c>
      <c r="R83" s="277" t="s">
        <v>195</v>
      </c>
      <c r="S83" s="262">
        <v>43754</v>
      </c>
      <c r="T83" s="277" t="s">
        <v>195</v>
      </c>
      <c r="U83" s="265">
        <v>43791</v>
      </c>
      <c r="V83" s="277" t="s">
        <v>195</v>
      </c>
      <c r="W83" s="262">
        <v>43818</v>
      </c>
      <c r="X83" s="277" t="s">
        <v>195</v>
      </c>
      <c r="Y83" s="262">
        <v>43474</v>
      </c>
      <c r="Z83" s="277" t="s">
        <v>195</v>
      </c>
      <c r="AA83" s="262">
        <v>43510</v>
      </c>
      <c r="AB83" s="277" t="s">
        <v>195</v>
      </c>
      <c r="AC83" s="262">
        <v>43536</v>
      </c>
    </row>
    <row r="84" spans="1:29" ht="9.9499999999999993" customHeight="1" x14ac:dyDescent="0.15">
      <c r="A84" s="238" t="s">
        <v>28</v>
      </c>
      <c r="B84" s="248"/>
      <c r="C84" s="247"/>
      <c r="D84" s="247"/>
      <c r="E84" s="261" t="s">
        <v>443</v>
      </c>
      <c r="F84" s="277" t="s">
        <v>195</v>
      </c>
      <c r="G84" s="276"/>
      <c r="H84" s="277" t="s">
        <v>195</v>
      </c>
      <c r="I84" s="276"/>
      <c r="J84" s="277" t="s">
        <v>195</v>
      </c>
      <c r="K84" s="276"/>
      <c r="L84" s="277" t="s">
        <v>195</v>
      </c>
      <c r="M84" s="276"/>
      <c r="N84" s="277" t="s">
        <v>195</v>
      </c>
      <c r="O84" s="276"/>
      <c r="P84" s="277" t="s">
        <v>195</v>
      </c>
      <c r="Q84" s="276"/>
      <c r="R84" s="277" t="s">
        <v>195</v>
      </c>
      <c r="S84" s="276"/>
      <c r="T84" s="277" t="s">
        <v>195</v>
      </c>
      <c r="U84" s="276"/>
      <c r="V84" s="277" t="s">
        <v>195</v>
      </c>
      <c r="W84" s="276"/>
      <c r="X84" s="277" t="s">
        <v>195</v>
      </c>
      <c r="Y84" s="276"/>
      <c r="Z84" s="277" t="s">
        <v>195</v>
      </c>
      <c r="AA84" s="276"/>
      <c r="AB84" s="277" t="s">
        <v>195</v>
      </c>
      <c r="AC84" s="276"/>
    </row>
    <row r="85" spans="1:29" ht="9.9499999999999993" customHeight="1" x14ac:dyDescent="0.15">
      <c r="A85" s="238" t="s">
        <v>28</v>
      </c>
      <c r="B85" s="248"/>
      <c r="C85" s="247"/>
      <c r="D85" s="244"/>
      <c r="E85" s="261" t="s">
        <v>6</v>
      </c>
      <c r="F85" s="277" t="s">
        <v>195</v>
      </c>
      <c r="G85" s="278"/>
      <c r="H85" s="277" t="s">
        <v>195</v>
      </c>
      <c r="I85" s="278"/>
      <c r="J85" s="277" t="s">
        <v>195</v>
      </c>
      <c r="K85" s="278"/>
      <c r="L85" s="277" t="s">
        <v>195</v>
      </c>
      <c r="M85" s="278"/>
      <c r="N85" s="277" t="s">
        <v>195</v>
      </c>
      <c r="O85" s="278"/>
      <c r="P85" s="277" t="s">
        <v>195</v>
      </c>
      <c r="Q85" s="278"/>
      <c r="R85" s="277" t="s">
        <v>195</v>
      </c>
      <c r="S85" s="278"/>
      <c r="T85" s="277" t="s">
        <v>195</v>
      </c>
      <c r="U85" s="278"/>
      <c r="V85" s="277" t="s">
        <v>195</v>
      </c>
      <c r="W85" s="278"/>
      <c r="X85" s="277" t="s">
        <v>195</v>
      </c>
      <c r="Y85" s="278"/>
      <c r="Z85" s="277" t="s">
        <v>195</v>
      </c>
      <c r="AA85" s="278"/>
      <c r="AB85" s="277" t="s">
        <v>195</v>
      </c>
      <c r="AC85" s="278"/>
    </row>
    <row r="86" spans="1:29" ht="9.9499999999999993" customHeight="1" x14ac:dyDescent="0.15">
      <c r="A86" s="238" t="s">
        <v>28</v>
      </c>
      <c r="B86" s="248"/>
      <c r="C86" s="247"/>
      <c r="D86" s="258" t="s">
        <v>463</v>
      </c>
      <c r="E86" s="261" t="s">
        <v>444</v>
      </c>
      <c r="F86" s="277" t="s">
        <v>195</v>
      </c>
      <c r="G86" s="262">
        <v>43574</v>
      </c>
      <c r="H86" s="277" t="s">
        <v>195</v>
      </c>
      <c r="I86" s="262">
        <v>43609</v>
      </c>
      <c r="J86" s="277" t="s">
        <v>195</v>
      </c>
      <c r="K86" s="262">
        <v>43630</v>
      </c>
      <c r="L86" s="277" t="s">
        <v>195</v>
      </c>
      <c r="M86" s="262">
        <v>43664</v>
      </c>
      <c r="N86" s="277" t="s">
        <v>195</v>
      </c>
      <c r="O86" s="262">
        <v>43685</v>
      </c>
      <c r="P86" s="277" t="s">
        <v>195</v>
      </c>
      <c r="Q86" s="262">
        <v>43718</v>
      </c>
      <c r="R86" s="277" t="s">
        <v>195</v>
      </c>
      <c r="S86" s="262">
        <v>43767</v>
      </c>
      <c r="T86" s="277" t="s">
        <v>195</v>
      </c>
      <c r="U86" s="265">
        <v>43791</v>
      </c>
      <c r="V86" s="277" t="s">
        <v>195</v>
      </c>
      <c r="W86" s="262">
        <v>43818</v>
      </c>
      <c r="X86" s="277" t="s">
        <v>195</v>
      </c>
      <c r="Y86" s="262">
        <v>43474</v>
      </c>
      <c r="Z86" s="277" t="s">
        <v>195</v>
      </c>
      <c r="AA86" s="262">
        <v>43510</v>
      </c>
      <c r="AB86" s="277" t="s">
        <v>195</v>
      </c>
      <c r="AC86" s="262">
        <v>43536</v>
      </c>
    </row>
    <row r="87" spans="1:29" ht="9.9499999999999993" customHeight="1" x14ac:dyDescent="0.15">
      <c r="A87" s="238" t="s">
        <v>28</v>
      </c>
      <c r="B87" s="248"/>
      <c r="C87" s="247"/>
      <c r="D87" s="247"/>
      <c r="E87" s="261" t="s">
        <v>443</v>
      </c>
      <c r="F87" s="277" t="s">
        <v>195</v>
      </c>
      <c r="G87" s="276"/>
      <c r="H87" s="277" t="s">
        <v>195</v>
      </c>
      <c r="I87" s="276"/>
      <c r="J87" s="277" t="s">
        <v>195</v>
      </c>
      <c r="K87" s="276"/>
      <c r="L87" s="277" t="s">
        <v>195</v>
      </c>
      <c r="M87" s="276"/>
      <c r="N87" s="277" t="s">
        <v>195</v>
      </c>
      <c r="O87" s="276"/>
      <c r="P87" s="277" t="s">
        <v>195</v>
      </c>
      <c r="Q87" s="276"/>
      <c r="R87" s="277" t="s">
        <v>195</v>
      </c>
      <c r="S87" s="276"/>
      <c r="T87" s="277" t="s">
        <v>195</v>
      </c>
      <c r="U87" s="276"/>
      <c r="V87" s="277" t="s">
        <v>195</v>
      </c>
      <c r="W87" s="276"/>
      <c r="X87" s="277" t="s">
        <v>195</v>
      </c>
      <c r="Y87" s="276"/>
      <c r="Z87" s="277" t="s">
        <v>195</v>
      </c>
      <c r="AA87" s="276"/>
      <c r="AB87" s="277" t="s">
        <v>195</v>
      </c>
      <c r="AC87" s="276"/>
    </row>
    <row r="88" spans="1:29" ht="9.9499999999999993" customHeight="1" x14ac:dyDescent="0.15">
      <c r="A88" s="238" t="s">
        <v>28</v>
      </c>
      <c r="B88" s="248"/>
      <c r="C88" s="244"/>
      <c r="D88" s="244"/>
      <c r="E88" s="261" t="s">
        <v>6</v>
      </c>
      <c r="F88" s="277" t="s">
        <v>195</v>
      </c>
      <c r="G88" s="278"/>
      <c r="H88" s="277" t="s">
        <v>195</v>
      </c>
      <c r="I88" s="278"/>
      <c r="J88" s="277" t="s">
        <v>195</v>
      </c>
      <c r="K88" s="278"/>
      <c r="L88" s="277" t="s">
        <v>195</v>
      </c>
      <c r="M88" s="278"/>
      <c r="N88" s="277" t="s">
        <v>195</v>
      </c>
      <c r="O88" s="278"/>
      <c r="P88" s="277" t="s">
        <v>195</v>
      </c>
      <c r="Q88" s="278"/>
      <c r="R88" s="277" t="s">
        <v>195</v>
      </c>
      <c r="S88" s="278"/>
      <c r="T88" s="277" t="s">
        <v>195</v>
      </c>
      <c r="U88" s="278"/>
      <c r="V88" s="277" t="s">
        <v>195</v>
      </c>
      <c r="W88" s="278"/>
      <c r="X88" s="277" t="s">
        <v>195</v>
      </c>
      <c r="Y88" s="278"/>
      <c r="Z88" s="277" t="s">
        <v>195</v>
      </c>
      <c r="AA88" s="278"/>
      <c r="AB88" s="277" t="s">
        <v>195</v>
      </c>
      <c r="AC88" s="278"/>
    </row>
    <row r="89" spans="1:29" ht="9.9499999999999993" customHeight="1" x14ac:dyDescent="0.15">
      <c r="A89" s="238" t="s">
        <v>28</v>
      </c>
      <c r="B89" s="248"/>
      <c r="C89" s="259" t="s">
        <v>62</v>
      </c>
      <c r="D89" s="242"/>
      <c r="E89" s="261" t="s">
        <v>444</v>
      </c>
      <c r="F89" s="279">
        <v>140</v>
      </c>
      <c r="G89" s="262">
        <v>43574</v>
      </c>
      <c r="H89" s="277">
        <v>160</v>
      </c>
      <c r="I89" s="262">
        <v>43608</v>
      </c>
      <c r="J89" s="277">
        <v>120</v>
      </c>
      <c r="K89" s="262">
        <v>43630</v>
      </c>
      <c r="L89" s="277">
        <v>100</v>
      </c>
      <c r="M89" s="262">
        <v>43664</v>
      </c>
      <c r="N89" s="277">
        <v>130</v>
      </c>
      <c r="O89" s="262">
        <v>43685</v>
      </c>
      <c r="P89" s="277">
        <v>75</v>
      </c>
      <c r="Q89" s="262">
        <v>43718</v>
      </c>
      <c r="R89" s="277">
        <v>37</v>
      </c>
      <c r="S89" s="262">
        <v>43767</v>
      </c>
      <c r="T89" s="277">
        <v>190</v>
      </c>
      <c r="U89" s="265">
        <v>43791</v>
      </c>
      <c r="V89" s="277">
        <v>46</v>
      </c>
      <c r="W89" s="262">
        <v>43818</v>
      </c>
      <c r="X89" s="277">
        <v>19</v>
      </c>
      <c r="Y89" s="262">
        <v>43474</v>
      </c>
      <c r="Z89" s="277">
        <v>13</v>
      </c>
      <c r="AA89" s="262">
        <v>43510</v>
      </c>
      <c r="AB89" s="277">
        <v>18</v>
      </c>
      <c r="AC89" s="262">
        <v>43536</v>
      </c>
    </row>
    <row r="90" spans="1:29" ht="9.9499999999999993" customHeight="1" x14ac:dyDescent="0.15">
      <c r="A90" s="238" t="s">
        <v>28</v>
      </c>
      <c r="B90" s="248"/>
      <c r="C90" s="248"/>
      <c r="D90" s="249"/>
      <c r="E90" s="261" t="s">
        <v>443</v>
      </c>
      <c r="F90" s="279">
        <v>260</v>
      </c>
      <c r="G90" s="276"/>
      <c r="H90" s="279">
        <v>320</v>
      </c>
      <c r="I90" s="276"/>
      <c r="J90" s="279">
        <v>260</v>
      </c>
      <c r="K90" s="276"/>
      <c r="L90" s="279">
        <v>230</v>
      </c>
      <c r="M90" s="276"/>
      <c r="N90" s="279">
        <v>280</v>
      </c>
      <c r="O90" s="276"/>
      <c r="P90" s="279">
        <v>160</v>
      </c>
      <c r="Q90" s="276"/>
      <c r="R90" s="279">
        <v>89</v>
      </c>
      <c r="S90" s="276"/>
      <c r="T90" s="280" t="s">
        <v>445</v>
      </c>
      <c r="U90" s="276"/>
      <c r="V90" s="279">
        <v>120</v>
      </c>
      <c r="W90" s="276"/>
      <c r="X90" s="279">
        <v>54</v>
      </c>
      <c r="Y90" s="276"/>
      <c r="Z90" s="279">
        <v>36</v>
      </c>
      <c r="AA90" s="276"/>
      <c r="AB90" s="279">
        <v>40</v>
      </c>
      <c r="AC90" s="276"/>
    </row>
    <row r="91" spans="1:29" ht="9.9499999999999993" customHeight="1" x14ac:dyDescent="0.15">
      <c r="A91" s="238" t="s">
        <v>28</v>
      </c>
      <c r="B91" s="248"/>
      <c r="C91" s="245"/>
      <c r="D91" s="246"/>
      <c r="E91" s="261" t="s">
        <v>6</v>
      </c>
      <c r="F91" s="279">
        <v>400</v>
      </c>
      <c r="G91" s="278"/>
      <c r="H91" s="279">
        <v>480</v>
      </c>
      <c r="I91" s="278"/>
      <c r="J91" s="279">
        <v>380</v>
      </c>
      <c r="K91" s="278"/>
      <c r="L91" s="279">
        <v>330</v>
      </c>
      <c r="M91" s="278"/>
      <c r="N91" s="279">
        <v>410</v>
      </c>
      <c r="O91" s="278"/>
      <c r="P91" s="279">
        <v>235</v>
      </c>
      <c r="Q91" s="278"/>
      <c r="R91" s="279">
        <v>126</v>
      </c>
      <c r="S91" s="278"/>
      <c r="T91" s="279">
        <v>630</v>
      </c>
      <c r="U91" s="278"/>
      <c r="V91" s="279">
        <v>166</v>
      </c>
      <c r="W91" s="278"/>
      <c r="X91" s="279">
        <v>73</v>
      </c>
      <c r="Y91" s="278"/>
      <c r="Z91" s="279">
        <v>49</v>
      </c>
      <c r="AA91" s="278"/>
      <c r="AB91" s="279">
        <v>58</v>
      </c>
      <c r="AC91" s="278"/>
    </row>
    <row r="92" spans="1:29" ht="9.9499999999999993" customHeight="1" x14ac:dyDescent="0.15">
      <c r="A92" s="238" t="s">
        <v>28</v>
      </c>
      <c r="B92" s="248"/>
      <c r="C92" s="259" t="s">
        <v>80</v>
      </c>
      <c r="D92" s="242"/>
      <c r="E92" s="261" t="s">
        <v>444</v>
      </c>
      <c r="F92" s="279">
        <v>530</v>
      </c>
      <c r="G92" s="262">
        <v>43574</v>
      </c>
      <c r="H92" s="277">
        <v>560</v>
      </c>
      <c r="I92" s="262">
        <v>43608</v>
      </c>
      <c r="J92" s="277">
        <v>420</v>
      </c>
      <c r="K92" s="262">
        <v>43630</v>
      </c>
      <c r="L92" s="277">
        <v>340</v>
      </c>
      <c r="M92" s="262">
        <v>43664</v>
      </c>
      <c r="N92" s="277">
        <v>390</v>
      </c>
      <c r="O92" s="262">
        <v>43685</v>
      </c>
      <c r="P92" s="277">
        <v>240</v>
      </c>
      <c r="Q92" s="262">
        <v>43718</v>
      </c>
      <c r="R92" s="277">
        <v>170</v>
      </c>
      <c r="S92" s="262">
        <v>43767</v>
      </c>
      <c r="T92" s="277">
        <v>330</v>
      </c>
      <c r="U92" s="265">
        <v>43791</v>
      </c>
      <c r="V92" s="277">
        <v>190</v>
      </c>
      <c r="W92" s="262">
        <v>43818</v>
      </c>
      <c r="X92" s="277">
        <v>110</v>
      </c>
      <c r="Y92" s="262">
        <v>43474</v>
      </c>
      <c r="Z92" s="277">
        <v>82</v>
      </c>
      <c r="AA92" s="262">
        <v>43510</v>
      </c>
      <c r="AB92" s="277">
        <v>100</v>
      </c>
      <c r="AC92" s="262">
        <v>43536</v>
      </c>
    </row>
    <row r="93" spans="1:29" ht="9.9499999999999993" customHeight="1" x14ac:dyDescent="0.15">
      <c r="A93" s="238" t="s">
        <v>28</v>
      </c>
      <c r="B93" s="248"/>
      <c r="C93" s="248"/>
      <c r="D93" s="249"/>
      <c r="E93" s="261" t="s">
        <v>443</v>
      </c>
      <c r="F93" s="275">
        <v>1000</v>
      </c>
      <c r="G93" s="276"/>
      <c r="H93" s="277">
        <v>1200</v>
      </c>
      <c r="I93" s="276"/>
      <c r="J93" s="277">
        <v>850</v>
      </c>
      <c r="K93" s="276"/>
      <c r="L93" s="277">
        <v>750</v>
      </c>
      <c r="M93" s="276"/>
      <c r="N93" s="277">
        <v>830</v>
      </c>
      <c r="O93" s="276"/>
      <c r="P93" s="277">
        <v>520</v>
      </c>
      <c r="Q93" s="276"/>
      <c r="R93" s="277">
        <v>410</v>
      </c>
      <c r="S93" s="276"/>
      <c r="T93" s="277">
        <v>790</v>
      </c>
      <c r="U93" s="276"/>
      <c r="V93" s="277">
        <v>460</v>
      </c>
      <c r="W93" s="276"/>
      <c r="X93" s="277">
        <v>260</v>
      </c>
      <c r="Y93" s="276"/>
      <c r="Z93" s="277">
        <v>230</v>
      </c>
      <c r="AA93" s="276"/>
      <c r="AB93" s="277">
        <v>250</v>
      </c>
      <c r="AC93" s="276"/>
    </row>
    <row r="94" spans="1:29" ht="9.9499999999999993" customHeight="1" x14ac:dyDescent="0.15">
      <c r="A94" s="238" t="s">
        <v>28</v>
      </c>
      <c r="B94" s="245"/>
      <c r="C94" s="245"/>
      <c r="D94" s="246"/>
      <c r="E94" s="261" t="s">
        <v>6</v>
      </c>
      <c r="F94" s="275">
        <v>1530</v>
      </c>
      <c r="G94" s="278"/>
      <c r="H94" s="277">
        <v>1760</v>
      </c>
      <c r="I94" s="278"/>
      <c r="J94" s="277">
        <v>1270</v>
      </c>
      <c r="K94" s="278"/>
      <c r="L94" s="277">
        <v>1090</v>
      </c>
      <c r="M94" s="278"/>
      <c r="N94" s="277" t="s">
        <v>24</v>
      </c>
      <c r="O94" s="278"/>
      <c r="P94" s="277">
        <v>760</v>
      </c>
      <c r="Q94" s="278"/>
      <c r="R94" s="277">
        <v>580</v>
      </c>
      <c r="S94" s="278"/>
      <c r="T94" s="277" t="s">
        <v>25</v>
      </c>
      <c r="U94" s="278"/>
      <c r="V94" s="277">
        <v>650</v>
      </c>
      <c r="W94" s="278"/>
      <c r="X94" s="277">
        <v>370</v>
      </c>
      <c r="Y94" s="278"/>
      <c r="Z94" s="277">
        <v>312</v>
      </c>
      <c r="AA94" s="278"/>
      <c r="AB94" s="277">
        <v>350</v>
      </c>
      <c r="AC94" s="278"/>
    </row>
    <row r="95" spans="1:29" ht="9.9499999999999993" customHeight="1" x14ac:dyDescent="0.15">
      <c r="A95" s="238" t="s">
        <v>28</v>
      </c>
      <c r="B95" s="259" t="s">
        <v>56</v>
      </c>
      <c r="C95" s="259" t="s">
        <v>267</v>
      </c>
      <c r="D95" s="242"/>
      <c r="E95" s="261" t="s">
        <v>444</v>
      </c>
      <c r="F95" s="277" t="s">
        <v>195</v>
      </c>
      <c r="G95" s="262">
        <v>43581</v>
      </c>
      <c r="H95" s="277" t="s">
        <v>195</v>
      </c>
      <c r="I95" s="262">
        <v>43609</v>
      </c>
      <c r="J95" s="277" t="s">
        <v>195</v>
      </c>
      <c r="K95" s="262">
        <v>43637</v>
      </c>
      <c r="L95" s="277" t="s">
        <v>195</v>
      </c>
      <c r="M95" s="262">
        <v>43671</v>
      </c>
      <c r="N95" s="277" t="s">
        <v>195</v>
      </c>
      <c r="O95" s="262">
        <v>43702</v>
      </c>
      <c r="P95" s="277" t="s">
        <v>195</v>
      </c>
      <c r="Q95" s="262">
        <v>43728</v>
      </c>
      <c r="R95" s="277" t="s">
        <v>195</v>
      </c>
      <c r="S95" s="262">
        <v>43749</v>
      </c>
      <c r="T95" s="277" t="s">
        <v>195</v>
      </c>
      <c r="U95" s="265">
        <v>43783</v>
      </c>
      <c r="V95" s="277" t="s">
        <v>195</v>
      </c>
      <c r="W95" s="262">
        <v>43825</v>
      </c>
      <c r="X95" s="277" t="s">
        <v>195</v>
      </c>
      <c r="Y95" s="262">
        <v>43489</v>
      </c>
      <c r="Z95" s="277" t="s">
        <v>195</v>
      </c>
      <c r="AA95" s="262">
        <v>43510</v>
      </c>
      <c r="AB95" s="277" t="s">
        <v>195</v>
      </c>
      <c r="AC95" s="262">
        <v>43538</v>
      </c>
    </row>
    <row r="96" spans="1:29" ht="9.9499999999999993" customHeight="1" x14ac:dyDescent="0.15">
      <c r="A96" s="238" t="s">
        <v>28</v>
      </c>
      <c r="B96" s="248"/>
      <c r="C96" s="248"/>
      <c r="D96" s="249"/>
      <c r="E96" s="261" t="s">
        <v>443</v>
      </c>
      <c r="F96" s="277" t="s">
        <v>195</v>
      </c>
      <c r="G96" s="276"/>
      <c r="H96" s="277" t="s">
        <v>195</v>
      </c>
      <c r="I96" s="276"/>
      <c r="J96" s="277" t="s">
        <v>195</v>
      </c>
      <c r="K96" s="276"/>
      <c r="L96" s="277" t="s">
        <v>195</v>
      </c>
      <c r="M96" s="276"/>
      <c r="N96" s="277" t="s">
        <v>195</v>
      </c>
      <c r="O96" s="276"/>
      <c r="P96" s="277" t="s">
        <v>195</v>
      </c>
      <c r="Q96" s="276"/>
      <c r="R96" s="277" t="s">
        <v>195</v>
      </c>
      <c r="S96" s="276"/>
      <c r="T96" s="277" t="s">
        <v>195</v>
      </c>
      <c r="U96" s="276"/>
      <c r="V96" s="277" t="s">
        <v>195</v>
      </c>
      <c r="W96" s="276"/>
      <c r="X96" s="277" t="s">
        <v>195</v>
      </c>
      <c r="Y96" s="276"/>
      <c r="Z96" s="277" t="s">
        <v>195</v>
      </c>
      <c r="AA96" s="276"/>
      <c r="AB96" s="277" t="s">
        <v>195</v>
      </c>
      <c r="AC96" s="276"/>
    </row>
    <row r="97" spans="1:29" ht="9.9499999999999993" customHeight="1" x14ac:dyDescent="0.15">
      <c r="A97" s="238" t="s">
        <v>28</v>
      </c>
      <c r="B97" s="248"/>
      <c r="C97" s="245"/>
      <c r="D97" s="246"/>
      <c r="E97" s="261" t="s">
        <v>6</v>
      </c>
      <c r="F97" s="277" t="s">
        <v>195</v>
      </c>
      <c r="G97" s="278"/>
      <c r="H97" s="277" t="s">
        <v>195</v>
      </c>
      <c r="I97" s="278"/>
      <c r="J97" s="277" t="s">
        <v>195</v>
      </c>
      <c r="K97" s="278"/>
      <c r="L97" s="277" t="s">
        <v>195</v>
      </c>
      <c r="M97" s="278"/>
      <c r="N97" s="277" t="s">
        <v>195</v>
      </c>
      <c r="O97" s="278"/>
      <c r="P97" s="277" t="s">
        <v>195</v>
      </c>
      <c r="Q97" s="278"/>
      <c r="R97" s="277" t="s">
        <v>195</v>
      </c>
      <c r="S97" s="278"/>
      <c r="T97" s="277" t="s">
        <v>195</v>
      </c>
      <c r="U97" s="278"/>
      <c r="V97" s="277" t="s">
        <v>195</v>
      </c>
      <c r="W97" s="278"/>
      <c r="X97" s="277" t="s">
        <v>195</v>
      </c>
      <c r="Y97" s="278"/>
      <c r="Z97" s="277" t="s">
        <v>195</v>
      </c>
      <c r="AA97" s="278"/>
      <c r="AB97" s="277" t="s">
        <v>195</v>
      </c>
      <c r="AC97" s="278"/>
    </row>
    <row r="98" spans="1:29" ht="9.9499999999999993" customHeight="1" x14ac:dyDescent="0.15">
      <c r="A98" s="238" t="s">
        <v>28</v>
      </c>
      <c r="B98" s="248"/>
      <c r="C98" s="259" t="s">
        <v>81</v>
      </c>
      <c r="D98" s="242"/>
      <c r="E98" s="261" t="s">
        <v>444</v>
      </c>
      <c r="F98" s="279">
        <v>330</v>
      </c>
      <c r="G98" s="262">
        <v>43581</v>
      </c>
      <c r="H98" s="277">
        <v>320</v>
      </c>
      <c r="I98" s="262">
        <v>43609</v>
      </c>
      <c r="J98" s="277">
        <v>290</v>
      </c>
      <c r="K98" s="262">
        <v>43637</v>
      </c>
      <c r="L98" s="277">
        <v>250</v>
      </c>
      <c r="M98" s="262">
        <v>43671</v>
      </c>
      <c r="N98" s="277">
        <v>220</v>
      </c>
      <c r="O98" s="262">
        <v>43702</v>
      </c>
      <c r="P98" s="277">
        <v>160</v>
      </c>
      <c r="Q98" s="262">
        <v>43728</v>
      </c>
      <c r="R98" s="277">
        <v>190</v>
      </c>
      <c r="S98" s="262">
        <v>43749</v>
      </c>
      <c r="T98" s="277">
        <v>150</v>
      </c>
      <c r="U98" s="265">
        <v>43783</v>
      </c>
      <c r="V98" s="277">
        <v>270</v>
      </c>
      <c r="W98" s="262">
        <v>43825</v>
      </c>
      <c r="X98" s="277">
        <v>220</v>
      </c>
      <c r="Y98" s="262">
        <v>43489</v>
      </c>
      <c r="Z98" s="277">
        <v>200</v>
      </c>
      <c r="AA98" s="262">
        <v>43510</v>
      </c>
      <c r="AB98" s="277">
        <v>160</v>
      </c>
      <c r="AC98" s="262">
        <v>43538</v>
      </c>
    </row>
    <row r="99" spans="1:29" ht="9.9499999999999993" customHeight="1" x14ac:dyDescent="0.15">
      <c r="A99" s="238" t="s">
        <v>28</v>
      </c>
      <c r="B99" s="248"/>
      <c r="C99" s="248"/>
      <c r="D99" s="249"/>
      <c r="E99" s="261" t="s">
        <v>443</v>
      </c>
      <c r="F99" s="280" t="s">
        <v>446</v>
      </c>
      <c r="G99" s="276"/>
      <c r="H99" s="279">
        <v>670</v>
      </c>
      <c r="I99" s="276"/>
      <c r="J99" s="279">
        <v>590</v>
      </c>
      <c r="K99" s="276"/>
      <c r="L99" s="279">
        <v>530</v>
      </c>
      <c r="M99" s="276"/>
      <c r="N99" s="279">
        <v>450</v>
      </c>
      <c r="O99" s="276"/>
      <c r="P99" s="279">
        <v>370</v>
      </c>
      <c r="Q99" s="276"/>
      <c r="R99" s="279">
        <v>410</v>
      </c>
      <c r="S99" s="276"/>
      <c r="T99" s="279">
        <v>360</v>
      </c>
      <c r="U99" s="276"/>
      <c r="V99" s="277">
        <v>630</v>
      </c>
      <c r="W99" s="276"/>
      <c r="X99" s="281" t="s">
        <v>447</v>
      </c>
      <c r="Y99" s="276"/>
      <c r="Z99" s="279">
        <v>490</v>
      </c>
      <c r="AA99" s="276"/>
      <c r="AB99" s="279">
        <v>430</v>
      </c>
      <c r="AC99" s="276"/>
    </row>
    <row r="100" spans="1:29" ht="9.9499999999999993" customHeight="1" x14ac:dyDescent="0.15">
      <c r="A100" s="238" t="s">
        <v>28</v>
      </c>
      <c r="B100" s="248"/>
      <c r="C100" s="245"/>
      <c r="D100" s="246"/>
      <c r="E100" s="261" t="s">
        <v>6</v>
      </c>
      <c r="F100" s="279">
        <v>970</v>
      </c>
      <c r="G100" s="278"/>
      <c r="H100" s="279">
        <v>990</v>
      </c>
      <c r="I100" s="278"/>
      <c r="J100" s="279">
        <v>880</v>
      </c>
      <c r="K100" s="278"/>
      <c r="L100" s="279">
        <v>780</v>
      </c>
      <c r="M100" s="278"/>
      <c r="N100" s="279">
        <v>670</v>
      </c>
      <c r="O100" s="278"/>
      <c r="P100" s="279">
        <v>530</v>
      </c>
      <c r="Q100" s="278"/>
      <c r="R100" s="279">
        <v>600</v>
      </c>
      <c r="S100" s="278"/>
      <c r="T100" s="279">
        <v>510</v>
      </c>
      <c r="U100" s="278"/>
      <c r="V100" s="277">
        <v>900</v>
      </c>
      <c r="W100" s="278"/>
      <c r="X100" s="279">
        <v>760</v>
      </c>
      <c r="Y100" s="278"/>
      <c r="Z100" s="279">
        <v>690</v>
      </c>
      <c r="AA100" s="278"/>
      <c r="AB100" s="279">
        <v>590</v>
      </c>
      <c r="AC100" s="278"/>
    </row>
    <row r="101" spans="1:29" ht="9.9499999999999993" customHeight="1" x14ac:dyDescent="0.15">
      <c r="A101" s="238" t="s">
        <v>28</v>
      </c>
      <c r="B101" s="248"/>
      <c r="C101" s="259" t="s">
        <v>53</v>
      </c>
      <c r="D101" s="242"/>
      <c r="E101" s="261" t="s">
        <v>444</v>
      </c>
      <c r="F101" s="277" t="s">
        <v>195</v>
      </c>
      <c r="G101" s="262">
        <v>43581</v>
      </c>
      <c r="H101" s="277" t="s">
        <v>195</v>
      </c>
      <c r="I101" s="262">
        <v>43609</v>
      </c>
      <c r="J101" s="277" t="s">
        <v>195</v>
      </c>
      <c r="K101" s="262">
        <v>43637</v>
      </c>
      <c r="L101" s="277" t="s">
        <v>195</v>
      </c>
      <c r="M101" s="262">
        <v>43671</v>
      </c>
      <c r="N101" s="277" t="s">
        <v>195</v>
      </c>
      <c r="O101" s="262">
        <v>43702</v>
      </c>
      <c r="P101" s="277" t="s">
        <v>195</v>
      </c>
      <c r="Q101" s="262">
        <v>43728</v>
      </c>
      <c r="R101" s="277" t="s">
        <v>195</v>
      </c>
      <c r="S101" s="262">
        <v>43749</v>
      </c>
      <c r="T101" s="277" t="s">
        <v>195</v>
      </c>
      <c r="U101" s="265">
        <v>43783</v>
      </c>
      <c r="V101" s="277" t="s">
        <v>195</v>
      </c>
      <c r="W101" s="262">
        <v>43825</v>
      </c>
      <c r="X101" s="277" t="s">
        <v>195</v>
      </c>
      <c r="Y101" s="262">
        <v>43489</v>
      </c>
      <c r="Z101" s="277" t="s">
        <v>195</v>
      </c>
      <c r="AA101" s="262">
        <v>43510</v>
      </c>
      <c r="AB101" s="277" t="s">
        <v>195</v>
      </c>
      <c r="AC101" s="262">
        <v>43538</v>
      </c>
    </row>
    <row r="102" spans="1:29" ht="9.9499999999999993" customHeight="1" x14ac:dyDescent="0.15">
      <c r="A102" s="238" t="s">
        <v>28</v>
      </c>
      <c r="B102" s="248"/>
      <c r="C102" s="248"/>
      <c r="D102" s="249"/>
      <c r="E102" s="261" t="s">
        <v>443</v>
      </c>
      <c r="F102" s="277" t="s">
        <v>195</v>
      </c>
      <c r="G102" s="276"/>
      <c r="H102" s="279" t="s">
        <v>195</v>
      </c>
      <c r="I102" s="276"/>
      <c r="J102" s="279" t="s">
        <v>195</v>
      </c>
      <c r="K102" s="276"/>
      <c r="L102" s="279" t="s">
        <v>195</v>
      </c>
      <c r="M102" s="276"/>
      <c r="N102" s="279" t="s">
        <v>195</v>
      </c>
      <c r="O102" s="276"/>
      <c r="P102" s="279" t="s">
        <v>195</v>
      </c>
      <c r="Q102" s="276"/>
      <c r="R102" s="279" t="s">
        <v>195</v>
      </c>
      <c r="S102" s="276"/>
      <c r="T102" s="279" t="s">
        <v>195</v>
      </c>
      <c r="U102" s="276"/>
      <c r="V102" s="279" t="s">
        <v>195</v>
      </c>
      <c r="W102" s="276"/>
      <c r="X102" s="279" t="s">
        <v>195</v>
      </c>
      <c r="Y102" s="276"/>
      <c r="Z102" s="279" t="s">
        <v>195</v>
      </c>
      <c r="AA102" s="276"/>
      <c r="AB102" s="279" t="s">
        <v>195</v>
      </c>
      <c r="AC102" s="276"/>
    </row>
    <row r="103" spans="1:29" ht="9.9499999999999993" customHeight="1" x14ac:dyDescent="0.15">
      <c r="A103" s="238" t="s">
        <v>28</v>
      </c>
      <c r="B103" s="245"/>
      <c r="C103" s="245"/>
      <c r="D103" s="246"/>
      <c r="E103" s="261" t="s">
        <v>6</v>
      </c>
      <c r="F103" s="277" t="s">
        <v>195</v>
      </c>
      <c r="G103" s="278"/>
      <c r="H103" s="279" t="s">
        <v>195</v>
      </c>
      <c r="I103" s="278"/>
      <c r="J103" s="275" t="s">
        <v>195</v>
      </c>
      <c r="K103" s="278"/>
      <c r="L103" s="279" t="s">
        <v>195</v>
      </c>
      <c r="M103" s="278"/>
      <c r="N103" s="279" t="s">
        <v>195</v>
      </c>
      <c r="O103" s="278"/>
      <c r="P103" s="279" t="s">
        <v>195</v>
      </c>
      <c r="Q103" s="278"/>
      <c r="R103" s="279" t="s">
        <v>195</v>
      </c>
      <c r="S103" s="278"/>
      <c r="T103" s="279" t="s">
        <v>195</v>
      </c>
      <c r="U103" s="278"/>
      <c r="V103" s="279" t="s">
        <v>195</v>
      </c>
      <c r="W103" s="278"/>
      <c r="X103" s="279" t="s">
        <v>195</v>
      </c>
      <c r="Y103" s="278"/>
      <c r="Z103" s="279" t="s">
        <v>195</v>
      </c>
      <c r="AA103" s="278"/>
      <c r="AB103" s="279" t="s">
        <v>195</v>
      </c>
      <c r="AC103" s="278"/>
    </row>
    <row r="104" spans="1:29" ht="9.9499999999999993" customHeight="1" x14ac:dyDescent="0.15">
      <c r="A104" s="238" t="s">
        <v>28</v>
      </c>
      <c r="B104" s="259" t="s">
        <v>452</v>
      </c>
      <c r="C104" s="259" t="s">
        <v>268</v>
      </c>
      <c r="D104" s="242"/>
      <c r="E104" s="261" t="s">
        <v>444</v>
      </c>
      <c r="F104" s="277" t="s">
        <v>195</v>
      </c>
      <c r="G104" s="262">
        <v>43571</v>
      </c>
      <c r="H104" s="277" t="s">
        <v>195</v>
      </c>
      <c r="I104" s="262">
        <v>43606</v>
      </c>
      <c r="J104" s="277" t="s">
        <v>195</v>
      </c>
      <c r="K104" s="262">
        <v>43634</v>
      </c>
      <c r="L104" s="277" t="s">
        <v>195</v>
      </c>
      <c r="M104" s="262">
        <v>43664</v>
      </c>
      <c r="N104" s="277" t="s">
        <v>195</v>
      </c>
      <c r="O104" s="262">
        <v>43685</v>
      </c>
      <c r="P104" s="277" t="s">
        <v>195</v>
      </c>
      <c r="Q104" s="262">
        <v>43727</v>
      </c>
      <c r="R104" s="277" t="s">
        <v>195</v>
      </c>
      <c r="S104" s="262">
        <v>43762</v>
      </c>
      <c r="T104" s="277" t="s">
        <v>195</v>
      </c>
      <c r="U104" s="265">
        <v>43782</v>
      </c>
      <c r="V104" s="277" t="s">
        <v>195</v>
      </c>
      <c r="W104" s="262">
        <v>43818</v>
      </c>
      <c r="X104" s="277" t="s">
        <v>195</v>
      </c>
      <c r="Y104" s="262">
        <v>43488</v>
      </c>
      <c r="Z104" s="277" t="s">
        <v>195</v>
      </c>
      <c r="AA104" s="262">
        <v>43516</v>
      </c>
      <c r="AB104" s="277" t="s">
        <v>195</v>
      </c>
      <c r="AC104" s="262">
        <v>43537</v>
      </c>
    </row>
    <row r="105" spans="1:29" ht="9.9499999999999993" customHeight="1" x14ac:dyDescent="0.15">
      <c r="A105" s="238" t="s">
        <v>28</v>
      </c>
      <c r="B105" s="248"/>
      <c r="C105" s="248"/>
      <c r="D105" s="249"/>
      <c r="E105" s="261" t="s">
        <v>443</v>
      </c>
      <c r="F105" s="277" t="s">
        <v>195</v>
      </c>
      <c r="G105" s="276"/>
      <c r="H105" s="277" t="s">
        <v>195</v>
      </c>
      <c r="I105" s="276"/>
      <c r="J105" s="277" t="s">
        <v>195</v>
      </c>
      <c r="K105" s="276"/>
      <c r="L105" s="277" t="s">
        <v>195</v>
      </c>
      <c r="M105" s="276"/>
      <c r="N105" s="277" t="s">
        <v>195</v>
      </c>
      <c r="O105" s="276"/>
      <c r="P105" s="277" t="s">
        <v>195</v>
      </c>
      <c r="Q105" s="276"/>
      <c r="R105" s="277" t="s">
        <v>195</v>
      </c>
      <c r="S105" s="276"/>
      <c r="T105" s="277" t="s">
        <v>195</v>
      </c>
      <c r="U105" s="276"/>
      <c r="V105" s="277" t="s">
        <v>195</v>
      </c>
      <c r="W105" s="276"/>
      <c r="X105" s="277" t="s">
        <v>195</v>
      </c>
      <c r="Y105" s="276"/>
      <c r="Z105" s="277" t="s">
        <v>195</v>
      </c>
      <c r="AA105" s="276"/>
      <c r="AB105" s="277" t="s">
        <v>195</v>
      </c>
      <c r="AC105" s="276"/>
    </row>
    <row r="106" spans="1:29" ht="9.9499999999999993" customHeight="1" x14ac:dyDescent="0.15">
      <c r="A106" s="238" t="s">
        <v>28</v>
      </c>
      <c r="B106" s="248"/>
      <c r="C106" s="245"/>
      <c r="D106" s="246"/>
      <c r="E106" s="261" t="s">
        <v>6</v>
      </c>
      <c r="F106" s="277" t="s">
        <v>195</v>
      </c>
      <c r="G106" s="278"/>
      <c r="H106" s="277" t="s">
        <v>195</v>
      </c>
      <c r="I106" s="278"/>
      <c r="J106" s="277" t="s">
        <v>195</v>
      </c>
      <c r="K106" s="278"/>
      <c r="L106" s="277" t="s">
        <v>195</v>
      </c>
      <c r="M106" s="278"/>
      <c r="N106" s="277" t="s">
        <v>195</v>
      </c>
      <c r="O106" s="278"/>
      <c r="P106" s="277" t="s">
        <v>195</v>
      </c>
      <c r="Q106" s="278"/>
      <c r="R106" s="277" t="s">
        <v>195</v>
      </c>
      <c r="S106" s="278"/>
      <c r="T106" s="277" t="s">
        <v>195</v>
      </c>
      <c r="U106" s="278"/>
      <c r="V106" s="277" t="s">
        <v>195</v>
      </c>
      <c r="W106" s="278"/>
      <c r="X106" s="277" t="s">
        <v>195</v>
      </c>
      <c r="Y106" s="278"/>
      <c r="Z106" s="277" t="s">
        <v>195</v>
      </c>
      <c r="AA106" s="278"/>
      <c r="AB106" s="277" t="s">
        <v>195</v>
      </c>
      <c r="AC106" s="278"/>
    </row>
    <row r="107" spans="1:29" ht="9.9499999999999993" customHeight="1" x14ac:dyDescent="0.15">
      <c r="A107" s="238" t="s">
        <v>28</v>
      </c>
      <c r="B107" s="248"/>
      <c r="C107" s="259" t="s">
        <v>53</v>
      </c>
      <c r="D107" s="242"/>
      <c r="E107" s="261" t="s">
        <v>444</v>
      </c>
      <c r="F107" s="280" t="s">
        <v>26</v>
      </c>
      <c r="G107" s="262">
        <v>43571</v>
      </c>
      <c r="H107" s="277" t="s">
        <v>27</v>
      </c>
      <c r="I107" s="262">
        <v>43606</v>
      </c>
      <c r="J107" s="277">
        <v>1.3</v>
      </c>
      <c r="K107" s="262">
        <v>43634</v>
      </c>
      <c r="L107" s="277">
        <v>7.2</v>
      </c>
      <c r="M107" s="262">
        <v>43672</v>
      </c>
      <c r="N107" s="277">
        <v>6.1</v>
      </c>
      <c r="O107" s="262">
        <v>43685</v>
      </c>
      <c r="P107" s="277">
        <v>53</v>
      </c>
      <c r="Q107" s="262">
        <v>43727</v>
      </c>
      <c r="R107" s="277">
        <v>4</v>
      </c>
      <c r="S107" s="262">
        <v>43762</v>
      </c>
      <c r="T107" s="277">
        <v>2</v>
      </c>
      <c r="U107" s="265">
        <v>43782</v>
      </c>
      <c r="V107" s="277">
        <v>2.1</v>
      </c>
      <c r="W107" s="262">
        <v>43818</v>
      </c>
      <c r="X107" s="277">
        <v>2.6</v>
      </c>
      <c r="Y107" s="262">
        <v>43488</v>
      </c>
      <c r="Z107" s="277">
        <v>2.2999999999999998</v>
      </c>
      <c r="AA107" s="262">
        <v>43516</v>
      </c>
      <c r="AB107" s="277">
        <v>35</v>
      </c>
      <c r="AC107" s="262">
        <v>43537</v>
      </c>
    </row>
    <row r="108" spans="1:29" ht="9.9499999999999993" customHeight="1" x14ac:dyDescent="0.15">
      <c r="A108" s="238" t="s">
        <v>28</v>
      </c>
      <c r="B108" s="248"/>
      <c r="C108" s="248"/>
      <c r="D108" s="249"/>
      <c r="E108" s="261" t="s">
        <v>443</v>
      </c>
      <c r="F108" s="279">
        <v>33</v>
      </c>
      <c r="G108" s="276"/>
      <c r="H108" s="277">
        <v>3.2</v>
      </c>
      <c r="I108" s="276"/>
      <c r="J108" s="277">
        <v>3.3</v>
      </c>
      <c r="K108" s="276"/>
      <c r="L108" s="277">
        <v>16</v>
      </c>
      <c r="M108" s="276"/>
      <c r="N108" s="277">
        <v>15</v>
      </c>
      <c r="O108" s="276"/>
      <c r="P108" s="277">
        <v>14</v>
      </c>
      <c r="Q108" s="276"/>
      <c r="R108" s="277">
        <v>9.1999999999999993</v>
      </c>
      <c r="S108" s="276"/>
      <c r="T108" s="277">
        <v>67</v>
      </c>
      <c r="U108" s="276"/>
      <c r="V108" s="277">
        <v>4.9000000000000004</v>
      </c>
      <c r="W108" s="276"/>
      <c r="X108" s="277">
        <v>7.8</v>
      </c>
      <c r="Y108" s="276"/>
      <c r="Z108" s="277">
        <v>53</v>
      </c>
      <c r="AA108" s="276"/>
      <c r="AB108" s="277">
        <v>87</v>
      </c>
      <c r="AC108" s="276"/>
    </row>
    <row r="109" spans="1:29" ht="9.9499999999999993" customHeight="1" x14ac:dyDescent="0.15">
      <c r="A109" s="238" t="s">
        <v>28</v>
      </c>
      <c r="B109" s="245"/>
      <c r="C109" s="245"/>
      <c r="D109" s="246"/>
      <c r="E109" s="261" t="s">
        <v>6</v>
      </c>
      <c r="F109" s="271">
        <v>4.8</v>
      </c>
      <c r="G109" s="278"/>
      <c r="H109" s="277">
        <v>4.5999999999999996</v>
      </c>
      <c r="I109" s="278"/>
      <c r="J109" s="277">
        <v>4.5999999999999996</v>
      </c>
      <c r="K109" s="278"/>
      <c r="L109" s="277">
        <v>23.2</v>
      </c>
      <c r="M109" s="278"/>
      <c r="N109" s="277">
        <v>21.1</v>
      </c>
      <c r="O109" s="278"/>
      <c r="P109" s="277">
        <v>19.3</v>
      </c>
      <c r="Q109" s="278"/>
      <c r="R109" s="277">
        <v>13.2</v>
      </c>
      <c r="S109" s="278"/>
      <c r="T109" s="277">
        <v>8.6999999999999993</v>
      </c>
      <c r="U109" s="278"/>
      <c r="V109" s="277">
        <v>7</v>
      </c>
      <c r="W109" s="278"/>
      <c r="X109" s="277">
        <v>10.4</v>
      </c>
      <c r="Y109" s="278"/>
      <c r="Z109" s="277">
        <v>7.6</v>
      </c>
      <c r="AA109" s="278"/>
      <c r="AB109" s="277">
        <v>12.2</v>
      </c>
      <c r="AC109" s="278"/>
    </row>
    <row r="110" spans="1:29" ht="9.9499999999999993" customHeight="1" x14ac:dyDescent="0.15">
      <c r="A110" s="238" t="s">
        <v>28</v>
      </c>
      <c r="B110" s="259" t="s">
        <v>469</v>
      </c>
      <c r="C110" s="259" t="s">
        <v>268</v>
      </c>
      <c r="D110" s="242"/>
      <c r="E110" s="261" t="s">
        <v>444</v>
      </c>
      <c r="F110" s="277" t="s">
        <v>195</v>
      </c>
      <c r="G110" s="262">
        <v>43571</v>
      </c>
      <c r="H110" s="277" t="s">
        <v>195</v>
      </c>
      <c r="I110" s="262">
        <v>43606</v>
      </c>
      <c r="J110" s="277" t="s">
        <v>195</v>
      </c>
      <c r="K110" s="262">
        <v>43634</v>
      </c>
      <c r="L110" s="277" t="s">
        <v>195</v>
      </c>
      <c r="M110" s="262">
        <v>43664</v>
      </c>
      <c r="N110" s="277" t="s">
        <v>195</v>
      </c>
      <c r="O110" s="262">
        <v>43685</v>
      </c>
      <c r="P110" s="277" t="s">
        <v>195</v>
      </c>
      <c r="Q110" s="262">
        <v>43727</v>
      </c>
      <c r="R110" s="277" t="s">
        <v>195</v>
      </c>
      <c r="S110" s="262">
        <v>43762</v>
      </c>
      <c r="T110" s="277" t="s">
        <v>195</v>
      </c>
      <c r="U110" s="265">
        <v>43782</v>
      </c>
      <c r="V110" s="277" t="s">
        <v>195</v>
      </c>
      <c r="W110" s="262">
        <v>43818</v>
      </c>
      <c r="X110" s="277" t="s">
        <v>195</v>
      </c>
      <c r="Y110" s="262">
        <v>43488</v>
      </c>
      <c r="Z110" s="277" t="s">
        <v>195</v>
      </c>
      <c r="AA110" s="262">
        <v>43516</v>
      </c>
      <c r="AB110" s="277" t="s">
        <v>195</v>
      </c>
      <c r="AC110" s="262">
        <v>43537</v>
      </c>
    </row>
    <row r="111" spans="1:29" ht="9.9499999999999993" customHeight="1" x14ac:dyDescent="0.15">
      <c r="A111" s="238" t="s">
        <v>28</v>
      </c>
      <c r="B111" s="248"/>
      <c r="C111" s="248"/>
      <c r="D111" s="249"/>
      <c r="E111" s="261" t="s">
        <v>443</v>
      </c>
      <c r="F111" s="277" t="s">
        <v>195</v>
      </c>
      <c r="G111" s="276"/>
      <c r="H111" s="279" t="s">
        <v>195</v>
      </c>
      <c r="I111" s="276"/>
      <c r="J111" s="279" t="s">
        <v>195</v>
      </c>
      <c r="K111" s="276"/>
      <c r="L111" s="279" t="s">
        <v>195</v>
      </c>
      <c r="M111" s="276"/>
      <c r="N111" s="279" t="s">
        <v>195</v>
      </c>
      <c r="O111" s="276"/>
      <c r="P111" s="279" t="s">
        <v>195</v>
      </c>
      <c r="Q111" s="276"/>
      <c r="R111" s="279" t="s">
        <v>195</v>
      </c>
      <c r="S111" s="276"/>
      <c r="T111" s="277" t="s">
        <v>195</v>
      </c>
      <c r="U111" s="276"/>
      <c r="V111" s="279" t="s">
        <v>195</v>
      </c>
      <c r="W111" s="276"/>
      <c r="X111" s="279" t="s">
        <v>195</v>
      </c>
      <c r="Y111" s="276"/>
      <c r="Z111" s="279" t="s">
        <v>195</v>
      </c>
      <c r="AA111" s="276"/>
      <c r="AB111" s="279" t="s">
        <v>195</v>
      </c>
      <c r="AC111" s="276"/>
    </row>
    <row r="112" spans="1:29" ht="9.9499999999999993" customHeight="1" x14ac:dyDescent="0.15">
      <c r="A112" s="238" t="s">
        <v>28</v>
      </c>
      <c r="B112" s="248"/>
      <c r="C112" s="245"/>
      <c r="D112" s="246"/>
      <c r="E112" s="261" t="s">
        <v>6</v>
      </c>
      <c r="F112" s="277" t="s">
        <v>195</v>
      </c>
      <c r="G112" s="278"/>
      <c r="H112" s="279" t="s">
        <v>195</v>
      </c>
      <c r="I112" s="278"/>
      <c r="J112" s="279" t="s">
        <v>195</v>
      </c>
      <c r="K112" s="278"/>
      <c r="L112" s="279" t="s">
        <v>195</v>
      </c>
      <c r="M112" s="278"/>
      <c r="N112" s="279" t="s">
        <v>195</v>
      </c>
      <c r="O112" s="278"/>
      <c r="P112" s="279" t="s">
        <v>195</v>
      </c>
      <c r="Q112" s="278"/>
      <c r="R112" s="279" t="s">
        <v>195</v>
      </c>
      <c r="S112" s="278"/>
      <c r="T112" s="279" t="s">
        <v>195</v>
      </c>
      <c r="U112" s="278"/>
      <c r="V112" s="279" t="s">
        <v>195</v>
      </c>
      <c r="W112" s="278"/>
      <c r="X112" s="279" t="s">
        <v>195</v>
      </c>
      <c r="Y112" s="278"/>
      <c r="Z112" s="279" t="s">
        <v>195</v>
      </c>
      <c r="AA112" s="278"/>
      <c r="AB112" s="279" t="s">
        <v>195</v>
      </c>
      <c r="AC112" s="278"/>
    </row>
    <row r="113" spans="1:29" ht="9.9499999999999993" customHeight="1" x14ac:dyDescent="0.15">
      <c r="A113" s="238" t="s">
        <v>28</v>
      </c>
      <c r="B113" s="248"/>
      <c r="C113" s="259" t="s">
        <v>53</v>
      </c>
      <c r="D113" s="242"/>
      <c r="E113" s="261" t="s">
        <v>444</v>
      </c>
      <c r="F113" s="277" t="s">
        <v>195</v>
      </c>
      <c r="G113" s="262">
        <v>43571</v>
      </c>
      <c r="H113" s="277" t="s">
        <v>195</v>
      </c>
      <c r="I113" s="262">
        <v>43606</v>
      </c>
      <c r="J113" s="277" t="s">
        <v>195</v>
      </c>
      <c r="K113" s="262">
        <v>43634</v>
      </c>
      <c r="L113" s="277" t="s">
        <v>195</v>
      </c>
      <c r="M113" s="262">
        <v>43664</v>
      </c>
      <c r="N113" s="277" t="s">
        <v>195</v>
      </c>
      <c r="O113" s="262">
        <v>43685</v>
      </c>
      <c r="P113" s="277">
        <v>1</v>
      </c>
      <c r="Q113" s="262">
        <v>43727</v>
      </c>
      <c r="R113" s="277" t="s">
        <v>195</v>
      </c>
      <c r="S113" s="262">
        <v>43762</v>
      </c>
      <c r="T113" s="277" t="s">
        <v>195</v>
      </c>
      <c r="U113" s="265">
        <v>43782</v>
      </c>
      <c r="V113" s="277" t="s">
        <v>195</v>
      </c>
      <c r="W113" s="262">
        <v>43818</v>
      </c>
      <c r="X113" s="277" t="s">
        <v>195</v>
      </c>
      <c r="Y113" s="262">
        <v>43488</v>
      </c>
      <c r="Z113" s="277" t="s">
        <v>195</v>
      </c>
      <c r="AA113" s="262">
        <v>43516</v>
      </c>
      <c r="AB113" s="277" t="s">
        <v>195</v>
      </c>
      <c r="AC113" s="262">
        <v>43537</v>
      </c>
    </row>
    <row r="114" spans="1:29" ht="9.9499999999999993" customHeight="1" x14ac:dyDescent="0.15">
      <c r="A114" s="238" t="s">
        <v>28</v>
      </c>
      <c r="B114" s="248"/>
      <c r="C114" s="248"/>
      <c r="D114" s="249"/>
      <c r="E114" s="261" t="s">
        <v>443</v>
      </c>
      <c r="F114" s="277" t="s">
        <v>195</v>
      </c>
      <c r="G114" s="276"/>
      <c r="H114" s="279" t="s">
        <v>195</v>
      </c>
      <c r="I114" s="276"/>
      <c r="J114" s="279" t="s">
        <v>195</v>
      </c>
      <c r="K114" s="276"/>
      <c r="L114" s="279" t="s">
        <v>195</v>
      </c>
      <c r="M114" s="276"/>
      <c r="N114" s="279">
        <v>72</v>
      </c>
      <c r="O114" s="276"/>
      <c r="P114" s="279">
        <v>24</v>
      </c>
      <c r="Q114" s="276"/>
      <c r="R114" s="279" t="s">
        <v>195</v>
      </c>
      <c r="S114" s="276"/>
      <c r="T114" s="277" t="s">
        <v>195</v>
      </c>
      <c r="U114" s="276"/>
      <c r="V114" s="279" t="s">
        <v>195</v>
      </c>
      <c r="W114" s="276"/>
      <c r="X114" s="279" t="s">
        <v>195</v>
      </c>
      <c r="Y114" s="276"/>
      <c r="Z114" s="279" t="s">
        <v>195</v>
      </c>
      <c r="AA114" s="276"/>
      <c r="AB114" s="279" t="s">
        <v>195</v>
      </c>
      <c r="AC114" s="276"/>
    </row>
    <row r="115" spans="1:29" ht="9.9499999999999993" customHeight="1" x14ac:dyDescent="0.15">
      <c r="A115" s="238" t="s">
        <v>28</v>
      </c>
      <c r="B115" s="245"/>
      <c r="C115" s="245"/>
      <c r="D115" s="246"/>
      <c r="E115" s="261" t="s">
        <v>6</v>
      </c>
      <c r="F115" s="277" t="s">
        <v>195</v>
      </c>
      <c r="G115" s="278"/>
      <c r="H115" s="279" t="s">
        <v>195</v>
      </c>
      <c r="I115" s="278"/>
      <c r="J115" s="279" t="s">
        <v>195</v>
      </c>
      <c r="K115" s="278"/>
      <c r="L115" s="279" t="s">
        <v>195</v>
      </c>
      <c r="M115" s="278"/>
      <c r="N115" s="279">
        <v>0.72</v>
      </c>
      <c r="O115" s="278"/>
      <c r="P115" s="279">
        <v>3.4</v>
      </c>
      <c r="Q115" s="278"/>
      <c r="R115" s="279" t="s">
        <v>195</v>
      </c>
      <c r="S115" s="278"/>
      <c r="T115" s="279" t="s">
        <v>195</v>
      </c>
      <c r="U115" s="278"/>
      <c r="V115" s="279" t="s">
        <v>195</v>
      </c>
      <c r="W115" s="278"/>
      <c r="X115" s="279" t="s">
        <v>195</v>
      </c>
      <c r="Y115" s="278"/>
      <c r="Z115" s="279" t="s">
        <v>195</v>
      </c>
      <c r="AA115" s="278"/>
      <c r="AB115" s="279" t="s">
        <v>195</v>
      </c>
      <c r="AC115" s="278"/>
    </row>
    <row r="116" spans="1:29" ht="9.9499999999999993" customHeight="1" x14ac:dyDescent="0.15">
      <c r="A116" s="238" t="s">
        <v>31</v>
      </c>
      <c r="B116" s="239" t="s">
        <v>491</v>
      </c>
    </row>
    <row r="117" spans="1:29" ht="9.9499999999999993" customHeight="1" x14ac:dyDescent="0.15">
      <c r="A117" s="238" t="s">
        <v>31</v>
      </c>
      <c r="B117" s="258" t="s">
        <v>0</v>
      </c>
      <c r="C117" s="259" t="s">
        <v>450</v>
      </c>
      <c r="D117" s="241"/>
      <c r="E117" s="242"/>
      <c r="F117" s="260" t="s">
        <v>480</v>
      </c>
      <c r="G117" s="243"/>
      <c r="H117" s="260" t="s">
        <v>485</v>
      </c>
      <c r="I117" s="243"/>
      <c r="J117" s="260" t="s">
        <v>489</v>
      </c>
      <c r="K117" s="243"/>
      <c r="L117" s="260" t="s">
        <v>464</v>
      </c>
      <c r="M117" s="243"/>
      <c r="N117" s="260" t="s">
        <v>496</v>
      </c>
      <c r="O117" s="243"/>
      <c r="P117" s="260" t="s">
        <v>501</v>
      </c>
      <c r="Q117" s="243"/>
      <c r="R117" s="260" t="s">
        <v>10</v>
      </c>
      <c r="S117" s="243"/>
      <c r="T117" s="260" t="s">
        <v>11</v>
      </c>
      <c r="U117" s="243"/>
      <c r="V117" s="260" t="s">
        <v>12</v>
      </c>
      <c r="W117" s="243"/>
      <c r="X117" s="260" t="s">
        <v>13</v>
      </c>
      <c r="Y117" s="243"/>
      <c r="Z117" s="260" t="s">
        <v>14</v>
      </c>
      <c r="AA117" s="243"/>
      <c r="AB117" s="260" t="s">
        <v>15</v>
      </c>
      <c r="AC117" s="243"/>
    </row>
    <row r="118" spans="1:29" ht="9.9499999999999993" customHeight="1" x14ac:dyDescent="0.15">
      <c r="A118" s="238" t="s">
        <v>31</v>
      </c>
      <c r="B118" s="244"/>
      <c r="C118" s="245"/>
      <c r="D118" s="240"/>
      <c r="E118" s="246"/>
      <c r="F118" s="261" t="s">
        <v>3</v>
      </c>
      <c r="G118" s="261" t="s">
        <v>1</v>
      </c>
      <c r="H118" s="261" t="s">
        <v>29</v>
      </c>
      <c r="I118" s="261" t="s">
        <v>4</v>
      </c>
      <c r="J118" s="261" t="s">
        <v>3</v>
      </c>
      <c r="K118" s="261" t="s">
        <v>4</v>
      </c>
      <c r="L118" s="261" t="s">
        <v>29</v>
      </c>
      <c r="M118" s="261" t="s">
        <v>4</v>
      </c>
      <c r="N118" s="261" t="s">
        <v>3</v>
      </c>
      <c r="O118" s="261" t="s">
        <v>4</v>
      </c>
      <c r="P118" s="261" t="s">
        <v>3</v>
      </c>
      <c r="Q118" s="261" t="s">
        <v>4</v>
      </c>
      <c r="R118" s="261" t="s">
        <v>3</v>
      </c>
      <c r="S118" s="261" t="s">
        <v>4</v>
      </c>
      <c r="T118" s="261" t="s">
        <v>3</v>
      </c>
      <c r="U118" s="261" t="s">
        <v>4</v>
      </c>
      <c r="V118" s="261" t="s">
        <v>3</v>
      </c>
      <c r="W118" s="261" t="s">
        <v>4</v>
      </c>
      <c r="X118" s="261" t="s">
        <v>3</v>
      </c>
      <c r="Y118" s="261" t="s">
        <v>4</v>
      </c>
      <c r="Z118" s="261" t="s">
        <v>3</v>
      </c>
      <c r="AA118" s="261" t="s">
        <v>4</v>
      </c>
      <c r="AB118" s="261" t="s">
        <v>3</v>
      </c>
      <c r="AC118" s="261" t="s">
        <v>4</v>
      </c>
    </row>
    <row r="119" spans="1:29" ht="9.9499999999999993" customHeight="1" x14ac:dyDescent="0.15">
      <c r="A119" s="238" t="s">
        <v>31</v>
      </c>
      <c r="B119" s="258" t="s">
        <v>54</v>
      </c>
      <c r="C119" s="258" t="s">
        <v>267</v>
      </c>
      <c r="D119" s="258" t="s">
        <v>462</v>
      </c>
      <c r="E119" s="261" t="s">
        <v>444</v>
      </c>
      <c r="F119" s="261" t="s">
        <v>195</v>
      </c>
      <c r="G119" s="262">
        <v>43571</v>
      </c>
      <c r="H119" s="261" t="s">
        <v>195</v>
      </c>
      <c r="I119" s="262">
        <v>43600</v>
      </c>
      <c r="J119" s="261" t="s">
        <v>195</v>
      </c>
      <c r="K119" s="262">
        <v>43621</v>
      </c>
      <c r="L119" s="261" t="s">
        <v>195</v>
      </c>
      <c r="M119" s="262">
        <v>43671</v>
      </c>
      <c r="N119" s="261" t="s">
        <v>195</v>
      </c>
      <c r="O119" s="262">
        <v>43684</v>
      </c>
      <c r="P119" s="261" t="s">
        <v>195</v>
      </c>
      <c r="Q119" s="262">
        <v>43712</v>
      </c>
      <c r="R119" s="261" t="s">
        <v>195</v>
      </c>
      <c r="S119" s="262" t="s">
        <v>504</v>
      </c>
      <c r="T119" s="261" t="s">
        <v>195</v>
      </c>
      <c r="U119" s="265" t="s">
        <v>57</v>
      </c>
      <c r="V119" s="261" t="s">
        <v>195</v>
      </c>
      <c r="W119" s="262">
        <v>43803</v>
      </c>
      <c r="X119" s="261" t="s">
        <v>195</v>
      </c>
      <c r="Y119" s="262">
        <v>43487</v>
      </c>
      <c r="Z119" s="261" t="s">
        <v>195</v>
      </c>
      <c r="AA119" s="262">
        <v>43500</v>
      </c>
      <c r="AB119" s="261" t="s">
        <v>195</v>
      </c>
      <c r="AC119" s="262">
        <v>43529</v>
      </c>
    </row>
    <row r="120" spans="1:29" ht="9.9499999999999993" customHeight="1" x14ac:dyDescent="0.15">
      <c r="A120" s="238" t="s">
        <v>31</v>
      </c>
      <c r="B120" s="247"/>
      <c r="C120" s="247"/>
      <c r="D120" s="247"/>
      <c r="E120" s="261" t="s">
        <v>443</v>
      </c>
      <c r="F120" s="261" t="s">
        <v>195</v>
      </c>
      <c r="G120" s="247"/>
      <c r="H120" s="261" t="s">
        <v>195</v>
      </c>
      <c r="I120" s="247"/>
      <c r="J120" s="261" t="s">
        <v>195</v>
      </c>
      <c r="K120" s="247"/>
      <c r="L120" s="261" t="s">
        <v>195</v>
      </c>
      <c r="M120" s="247"/>
      <c r="N120" s="261" t="s">
        <v>195</v>
      </c>
      <c r="O120" s="247"/>
      <c r="P120" s="261" t="s">
        <v>195</v>
      </c>
      <c r="Q120" s="247"/>
      <c r="R120" s="261" t="s">
        <v>195</v>
      </c>
      <c r="S120" s="247"/>
      <c r="T120" s="261" t="s">
        <v>195</v>
      </c>
      <c r="U120" s="247"/>
      <c r="V120" s="261" t="s">
        <v>195</v>
      </c>
      <c r="W120" s="247"/>
      <c r="X120" s="261" t="s">
        <v>195</v>
      </c>
      <c r="Y120" s="247"/>
      <c r="Z120" s="261" t="s">
        <v>195</v>
      </c>
      <c r="AA120" s="247"/>
      <c r="AB120" s="261" t="s">
        <v>195</v>
      </c>
      <c r="AC120" s="247"/>
    </row>
    <row r="121" spans="1:29" ht="9.9499999999999993" customHeight="1" x14ac:dyDescent="0.15">
      <c r="A121" s="238" t="s">
        <v>31</v>
      </c>
      <c r="B121" s="247"/>
      <c r="C121" s="247"/>
      <c r="D121" s="244"/>
      <c r="E121" s="261" t="s">
        <v>6</v>
      </c>
      <c r="F121" s="261" t="s">
        <v>195</v>
      </c>
      <c r="G121" s="244"/>
      <c r="H121" s="261" t="s">
        <v>195</v>
      </c>
      <c r="I121" s="244"/>
      <c r="J121" s="261" t="s">
        <v>195</v>
      </c>
      <c r="K121" s="244"/>
      <c r="L121" s="261" t="s">
        <v>195</v>
      </c>
      <c r="M121" s="244"/>
      <c r="N121" s="261" t="s">
        <v>195</v>
      </c>
      <c r="O121" s="244"/>
      <c r="P121" s="261" t="s">
        <v>195</v>
      </c>
      <c r="Q121" s="244"/>
      <c r="R121" s="261" t="s">
        <v>195</v>
      </c>
      <c r="S121" s="244"/>
      <c r="T121" s="261" t="s">
        <v>195</v>
      </c>
      <c r="U121" s="244"/>
      <c r="V121" s="261" t="s">
        <v>195</v>
      </c>
      <c r="W121" s="244"/>
      <c r="X121" s="261" t="s">
        <v>195</v>
      </c>
      <c r="Y121" s="244"/>
      <c r="Z121" s="261" t="s">
        <v>195</v>
      </c>
      <c r="AA121" s="244"/>
      <c r="AB121" s="261" t="s">
        <v>195</v>
      </c>
      <c r="AC121" s="244"/>
    </row>
    <row r="122" spans="1:29" ht="9.9499999999999993" customHeight="1" x14ac:dyDescent="0.15">
      <c r="A122" s="238" t="s">
        <v>31</v>
      </c>
      <c r="B122" s="247"/>
      <c r="C122" s="247"/>
      <c r="D122" s="258" t="s">
        <v>463</v>
      </c>
      <c r="E122" s="261" t="s">
        <v>444</v>
      </c>
      <c r="F122" s="261" t="s">
        <v>195</v>
      </c>
      <c r="G122" s="262">
        <v>43571</v>
      </c>
      <c r="H122" s="261" t="s">
        <v>195</v>
      </c>
      <c r="I122" s="262">
        <v>43600</v>
      </c>
      <c r="J122" s="261" t="s">
        <v>195</v>
      </c>
      <c r="K122" s="262">
        <v>43621</v>
      </c>
      <c r="L122" s="261" t="s">
        <v>195</v>
      </c>
      <c r="M122" s="262">
        <v>43671</v>
      </c>
      <c r="N122" s="261" t="s">
        <v>195</v>
      </c>
      <c r="O122" s="262">
        <v>43684</v>
      </c>
      <c r="P122" s="261" t="s">
        <v>195</v>
      </c>
      <c r="Q122" s="262">
        <v>43712</v>
      </c>
      <c r="R122" s="261" t="s">
        <v>195</v>
      </c>
      <c r="S122" s="262" t="s">
        <v>504</v>
      </c>
      <c r="T122" s="261" t="s">
        <v>195</v>
      </c>
      <c r="U122" s="265" t="s">
        <v>57</v>
      </c>
      <c r="V122" s="261" t="s">
        <v>195</v>
      </c>
      <c r="W122" s="262">
        <v>43803</v>
      </c>
      <c r="X122" s="261" t="s">
        <v>195</v>
      </c>
      <c r="Y122" s="262">
        <v>43487</v>
      </c>
      <c r="Z122" s="261" t="s">
        <v>195</v>
      </c>
      <c r="AA122" s="262">
        <v>43500</v>
      </c>
      <c r="AB122" s="261" t="s">
        <v>195</v>
      </c>
      <c r="AC122" s="262">
        <v>43529</v>
      </c>
    </row>
    <row r="123" spans="1:29" ht="9.9499999999999993" customHeight="1" x14ac:dyDescent="0.15">
      <c r="A123" s="238" t="s">
        <v>31</v>
      </c>
      <c r="B123" s="247"/>
      <c r="C123" s="247"/>
      <c r="D123" s="247"/>
      <c r="E123" s="261" t="s">
        <v>443</v>
      </c>
      <c r="F123" s="261" t="s">
        <v>195</v>
      </c>
      <c r="G123" s="247"/>
      <c r="H123" s="261" t="s">
        <v>195</v>
      </c>
      <c r="I123" s="247"/>
      <c r="J123" s="261" t="s">
        <v>195</v>
      </c>
      <c r="K123" s="247"/>
      <c r="L123" s="261" t="s">
        <v>195</v>
      </c>
      <c r="M123" s="247"/>
      <c r="N123" s="261" t="s">
        <v>195</v>
      </c>
      <c r="O123" s="247"/>
      <c r="P123" s="261" t="s">
        <v>195</v>
      </c>
      <c r="Q123" s="247"/>
      <c r="R123" s="261" t="s">
        <v>195</v>
      </c>
      <c r="S123" s="247"/>
      <c r="T123" s="261" t="s">
        <v>195</v>
      </c>
      <c r="U123" s="247"/>
      <c r="V123" s="261" t="s">
        <v>195</v>
      </c>
      <c r="W123" s="247"/>
      <c r="X123" s="261" t="s">
        <v>195</v>
      </c>
      <c r="Y123" s="247"/>
      <c r="Z123" s="261" t="s">
        <v>195</v>
      </c>
      <c r="AA123" s="247"/>
      <c r="AB123" s="261" t="s">
        <v>195</v>
      </c>
      <c r="AC123" s="247"/>
    </row>
    <row r="124" spans="1:29" ht="9.9499999999999993" customHeight="1" x14ac:dyDescent="0.15">
      <c r="A124" s="238" t="s">
        <v>31</v>
      </c>
      <c r="B124" s="247"/>
      <c r="C124" s="244"/>
      <c r="D124" s="244"/>
      <c r="E124" s="261" t="s">
        <v>6</v>
      </c>
      <c r="F124" s="261" t="s">
        <v>195</v>
      </c>
      <c r="G124" s="244"/>
      <c r="H124" s="261" t="s">
        <v>195</v>
      </c>
      <c r="I124" s="244"/>
      <c r="J124" s="261" t="s">
        <v>195</v>
      </c>
      <c r="K124" s="244"/>
      <c r="L124" s="261" t="s">
        <v>195</v>
      </c>
      <c r="M124" s="244"/>
      <c r="N124" s="261" t="s">
        <v>195</v>
      </c>
      <c r="O124" s="244"/>
      <c r="P124" s="261" t="s">
        <v>195</v>
      </c>
      <c r="Q124" s="244"/>
      <c r="R124" s="261" t="s">
        <v>195</v>
      </c>
      <c r="S124" s="244"/>
      <c r="T124" s="261" t="s">
        <v>195</v>
      </c>
      <c r="U124" s="244"/>
      <c r="V124" s="261" t="s">
        <v>195</v>
      </c>
      <c r="W124" s="244"/>
      <c r="X124" s="261" t="s">
        <v>195</v>
      </c>
      <c r="Y124" s="244"/>
      <c r="Z124" s="261" t="s">
        <v>195</v>
      </c>
      <c r="AA124" s="244"/>
      <c r="AB124" s="261" t="s">
        <v>195</v>
      </c>
      <c r="AC124" s="244"/>
    </row>
    <row r="125" spans="1:29" ht="9.9499999999999993" customHeight="1" x14ac:dyDescent="0.15">
      <c r="A125" s="238" t="s">
        <v>31</v>
      </c>
      <c r="B125" s="247"/>
      <c r="C125" s="259" t="s">
        <v>62</v>
      </c>
      <c r="D125" s="242"/>
      <c r="E125" s="261" t="s">
        <v>444</v>
      </c>
      <c r="F125" s="263">
        <v>45</v>
      </c>
      <c r="G125" s="262">
        <v>43571</v>
      </c>
      <c r="H125" s="261">
        <v>45</v>
      </c>
      <c r="I125" s="262">
        <v>43600</v>
      </c>
      <c r="J125" s="261">
        <v>40</v>
      </c>
      <c r="K125" s="262">
        <v>43621</v>
      </c>
      <c r="L125" s="261">
        <v>50</v>
      </c>
      <c r="M125" s="262">
        <v>43670</v>
      </c>
      <c r="N125" s="261">
        <v>42</v>
      </c>
      <c r="O125" s="262">
        <v>43684</v>
      </c>
      <c r="P125" s="261">
        <v>30</v>
      </c>
      <c r="Q125" s="262">
        <v>43712</v>
      </c>
      <c r="R125" s="261">
        <v>32</v>
      </c>
      <c r="S125" s="262" t="s">
        <v>504</v>
      </c>
      <c r="T125" s="261">
        <v>23</v>
      </c>
      <c r="U125" s="265" t="s">
        <v>57</v>
      </c>
      <c r="V125" s="261">
        <v>14</v>
      </c>
      <c r="W125" s="262">
        <v>43803</v>
      </c>
      <c r="X125" s="261">
        <v>11</v>
      </c>
      <c r="Y125" s="262">
        <v>43487</v>
      </c>
      <c r="Z125" s="261">
        <v>15</v>
      </c>
      <c r="AA125" s="262">
        <v>43500</v>
      </c>
      <c r="AB125" s="261">
        <v>6.1</v>
      </c>
      <c r="AC125" s="262">
        <v>43529</v>
      </c>
    </row>
    <row r="126" spans="1:29" ht="9.9499999999999993" customHeight="1" x14ac:dyDescent="0.15">
      <c r="A126" s="238" t="s">
        <v>31</v>
      </c>
      <c r="B126" s="247"/>
      <c r="C126" s="248"/>
      <c r="D126" s="249"/>
      <c r="E126" s="261" t="s">
        <v>517</v>
      </c>
      <c r="F126" s="263" t="s">
        <v>17</v>
      </c>
      <c r="G126" s="247"/>
      <c r="H126" s="263">
        <v>130</v>
      </c>
      <c r="I126" s="247"/>
      <c r="J126" s="273" t="s">
        <v>17</v>
      </c>
      <c r="K126" s="247"/>
      <c r="L126" s="263">
        <v>140</v>
      </c>
      <c r="M126" s="247"/>
      <c r="N126" s="263">
        <v>140</v>
      </c>
      <c r="O126" s="247"/>
      <c r="P126" s="263">
        <v>96</v>
      </c>
      <c r="Q126" s="247"/>
      <c r="R126" s="263">
        <v>98</v>
      </c>
      <c r="S126" s="247"/>
      <c r="T126" s="263">
        <v>68</v>
      </c>
      <c r="U126" s="247"/>
      <c r="V126" s="261">
        <v>48</v>
      </c>
      <c r="W126" s="247"/>
      <c r="X126" s="263">
        <v>36</v>
      </c>
      <c r="Y126" s="247"/>
      <c r="Z126" s="263">
        <v>49</v>
      </c>
      <c r="AA126" s="247"/>
      <c r="AB126" s="263">
        <v>22</v>
      </c>
      <c r="AC126" s="247"/>
    </row>
    <row r="127" spans="1:29" ht="9.9499999999999993" customHeight="1" x14ac:dyDescent="0.15">
      <c r="A127" s="238" t="s">
        <v>31</v>
      </c>
      <c r="B127" s="247"/>
      <c r="C127" s="245"/>
      <c r="D127" s="246"/>
      <c r="E127" s="261" t="s">
        <v>6</v>
      </c>
      <c r="F127" s="263">
        <v>155</v>
      </c>
      <c r="G127" s="244"/>
      <c r="H127" s="263">
        <v>175</v>
      </c>
      <c r="I127" s="244"/>
      <c r="J127" s="263">
        <v>150</v>
      </c>
      <c r="K127" s="244"/>
      <c r="L127" s="263">
        <v>190</v>
      </c>
      <c r="M127" s="244"/>
      <c r="N127" s="263">
        <v>182</v>
      </c>
      <c r="O127" s="244"/>
      <c r="P127" s="263">
        <v>126</v>
      </c>
      <c r="Q127" s="244"/>
      <c r="R127" s="263">
        <v>130</v>
      </c>
      <c r="S127" s="244"/>
      <c r="T127" s="263">
        <v>91</v>
      </c>
      <c r="U127" s="244"/>
      <c r="V127" s="261">
        <v>62</v>
      </c>
      <c r="W127" s="244"/>
      <c r="X127" s="263">
        <v>47</v>
      </c>
      <c r="Y127" s="244"/>
      <c r="Z127" s="263">
        <v>64</v>
      </c>
      <c r="AA127" s="244"/>
      <c r="AB127" s="263">
        <v>28.1</v>
      </c>
      <c r="AC127" s="244"/>
    </row>
    <row r="128" spans="1:29" ht="9.9499999999999993" customHeight="1" x14ac:dyDescent="0.15">
      <c r="A128" s="238" t="s">
        <v>31</v>
      </c>
      <c r="B128" s="247"/>
      <c r="C128" s="259" t="s">
        <v>80</v>
      </c>
      <c r="D128" s="242"/>
      <c r="E128" s="261" t="s">
        <v>444</v>
      </c>
      <c r="F128" s="263">
        <v>120</v>
      </c>
      <c r="G128" s="262">
        <v>43571</v>
      </c>
      <c r="H128" s="261">
        <v>200</v>
      </c>
      <c r="I128" s="262">
        <v>43600</v>
      </c>
      <c r="J128" s="261">
        <v>140</v>
      </c>
      <c r="K128" s="262">
        <v>43621</v>
      </c>
      <c r="L128" s="261">
        <v>56</v>
      </c>
      <c r="M128" s="262">
        <v>43670</v>
      </c>
      <c r="N128" s="261" t="s">
        <v>18</v>
      </c>
      <c r="O128" s="262">
        <v>43684</v>
      </c>
      <c r="P128" s="272" t="s">
        <v>17</v>
      </c>
      <c r="Q128" s="262">
        <v>43712</v>
      </c>
      <c r="R128" s="261">
        <v>81</v>
      </c>
      <c r="S128" s="262" t="s">
        <v>504</v>
      </c>
      <c r="T128" s="261">
        <v>78</v>
      </c>
      <c r="U128" s="265" t="s">
        <v>57</v>
      </c>
      <c r="V128" s="261">
        <v>44</v>
      </c>
      <c r="W128" s="262">
        <v>43803</v>
      </c>
      <c r="X128" s="261">
        <v>43</v>
      </c>
      <c r="Y128" s="262">
        <v>43487</v>
      </c>
      <c r="Z128" s="261">
        <v>60</v>
      </c>
      <c r="AA128" s="262">
        <v>43500</v>
      </c>
      <c r="AB128" s="261">
        <v>31</v>
      </c>
      <c r="AC128" s="262">
        <v>43529</v>
      </c>
    </row>
    <row r="129" spans="1:29" ht="9.9499999999999993" customHeight="1" x14ac:dyDescent="0.15">
      <c r="A129" s="238" t="s">
        <v>31</v>
      </c>
      <c r="B129" s="247"/>
      <c r="C129" s="248"/>
      <c r="D129" s="249"/>
      <c r="E129" s="261" t="s">
        <v>517</v>
      </c>
      <c r="F129" s="263">
        <v>290</v>
      </c>
      <c r="G129" s="247"/>
      <c r="H129" s="263">
        <v>510</v>
      </c>
      <c r="I129" s="247"/>
      <c r="J129" s="263">
        <v>400</v>
      </c>
      <c r="K129" s="247"/>
      <c r="L129" s="263">
        <v>160</v>
      </c>
      <c r="M129" s="247"/>
      <c r="N129" s="263">
        <v>300</v>
      </c>
      <c r="O129" s="247"/>
      <c r="P129" s="263">
        <v>310</v>
      </c>
      <c r="Q129" s="247"/>
      <c r="R129" s="263">
        <v>240</v>
      </c>
      <c r="S129" s="247"/>
      <c r="T129" s="263">
        <v>270</v>
      </c>
      <c r="U129" s="247"/>
      <c r="V129" s="263">
        <v>140</v>
      </c>
      <c r="W129" s="247"/>
      <c r="X129" s="263">
        <v>140</v>
      </c>
      <c r="Y129" s="247"/>
      <c r="Z129" s="263">
        <v>190</v>
      </c>
      <c r="AA129" s="247"/>
      <c r="AB129" s="263">
        <v>120</v>
      </c>
      <c r="AC129" s="247"/>
    </row>
    <row r="130" spans="1:29" ht="9.9499999999999993" customHeight="1" x14ac:dyDescent="0.15">
      <c r="A130" s="238" t="s">
        <v>31</v>
      </c>
      <c r="B130" s="244"/>
      <c r="C130" s="245"/>
      <c r="D130" s="246"/>
      <c r="E130" s="261" t="s">
        <v>6</v>
      </c>
      <c r="F130" s="263">
        <v>410</v>
      </c>
      <c r="G130" s="244"/>
      <c r="H130" s="263">
        <v>710</v>
      </c>
      <c r="I130" s="244"/>
      <c r="J130" s="264">
        <v>540</v>
      </c>
      <c r="K130" s="244"/>
      <c r="L130" s="263">
        <v>216</v>
      </c>
      <c r="M130" s="244"/>
      <c r="N130" s="263">
        <v>400</v>
      </c>
      <c r="O130" s="244"/>
      <c r="P130" s="263">
        <v>420</v>
      </c>
      <c r="Q130" s="244"/>
      <c r="R130" s="263">
        <v>321</v>
      </c>
      <c r="S130" s="244"/>
      <c r="T130" s="263">
        <v>348</v>
      </c>
      <c r="U130" s="244"/>
      <c r="V130" s="263">
        <v>184</v>
      </c>
      <c r="W130" s="244"/>
      <c r="X130" s="263">
        <v>183</v>
      </c>
      <c r="Y130" s="244"/>
      <c r="Z130" s="263">
        <v>250</v>
      </c>
      <c r="AA130" s="244"/>
      <c r="AB130" s="263">
        <v>151</v>
      </c>
      <c r="AC130" s="244"/>
    </row>
    <row r="131" spans="1:29" ht="9.9499999999999993" customHeight="1" x14ac:dyDescent="0.15">
      <c r="A131" s="238" t="s">
        <v>31</v>
      </c>
      <c r="B131" s="258" t="s">
        <v>55</v>
      </c>
      <c r="C131" s="258" t="s">
        <v>267</v>
      </c>
      <c r="D131" s="258" t="s">
        <v>462</v>
      </c>
      <c r="E131" s="261" t="s">
        <v>444</v>
      </c>
      <c r="F131" s="261" t="s">
        <v>195</v>
      </c>
      <c r="G131" s="262">
        <v>43570</v>
      </c>
      <c r="H131" s="261" t="s">
        <v>195</v>
      </c>
      <c r="I131" s="262">
        <v>43599</v>
      </c>
      <c r="J131" s="261" t="s">
        <v>195</v>
      </c>
      <c r="K131" s="262">
        <v>43627</v>
      </c>
      <c r="L131" s="261" t="s">
        <v>195</v>
      </c>
      <c r="M131" s="262">
        <v>43648</v>
      </c>
      <c r="N131" s="261" t="s">
        <v>195</v>
      </c>
      <c r="O131" s="262">
        <v>43683</v>
      </c>
      <c r="P131" s="261" t="s">
        <v>195</v>
      </c>
      <c r="Q131" s="262">
        <v>43711</v>
      </c>
      <c r="R131" s="261" t="s">
        <v>195</v>
      </c>
      <c r="S131" s="262" t="s">
        <v>498</v>
      </c>
      <c r="T131" s="261" t="s">
        <v>195</v>
      </c>
      <c r="U131" s="265" t="s">
        <v>58</v>
      </c>
      <c r="V131" s="261" t="s">
        <v>195</v>
      </c>
      <c r="W131" s="262">
        <v>43802</v>
      </c>
      <c r="X131" s="261" t="s">
        <v>195</v>
      </c>
      <c r="Y131" s="262">
        <v>43488</v>
      </c>
      <c r="Z131" s="261" t="s">
        <v>195</v>
      </c>
      <c r="AA131" s="262">
        <v>43501</v>
      </c>
      <c r="AB131" s="261" t="s">
        <v>195</v>
      </c>
      <c r="AC131" s="262">
        <v>43528</v>
      </c>
    </row>
    <row r="132" spans="1:29" ht="9.9499999999999993" customHeight="1" x14ac:dyDescent="0.15">
      <c r="A132" s="238" t="s">
        <v>31</v>
      </c>
      <c r="B132" s="247"/>
      <c r="C132" s="247"/>
      <c r="D132" s="247"/>
      <c r="E132" s="261" t="s">
        <v>517</v>
      </c>
      <c r="F132" s="261" t="s">
        <v>195</v>
      </c>
      <c r="G132" s="247"/>
      <c r="H132" s="261" t="s">
        <v>195</v>
      </c>
      <c r="I132" s="247"/>
      <c r="J132" s="261" t="s">
        <v>195</v>
      </c>
      <c r="K132" s="247"/>
      <c r="L132" s="261" t="s">
        <v>195</v>
      </c>
      <c r="M132" s="247"/>
      <c r="N132" s="261" t="s">
        <v>195</v>
      </c>
      <c r="O132" s="247"/>
      <c r="P132" s="261" t="s">
        <v>195</v>
      </c>
      <c r="Q132" s="247"/>
      <c r="R132" s="261" t="s">
        <v>195</v>
      </c>
      <c r="S132" s="247"/>
      <c r="T132" s="261" t="s">
        <v>195</v>
      </c>
      <c r="U132" s="247"/>
      <c r="V132" s="261" t="s">
        <v>195</v>
      </c>
      <c r="W132" s="247"/>
      <c r="X132" s="261" t="s">
        <v>195</v>
      </c>
      <c r="Y132" s="247"/>
      <c r="Z132" s="261" t="s">
        <v>195</v>
      </c>
      <c r="AA132" s="247"/>
      <c r="AB132" s="261" t="s">
        <v>195</v>
      </c>
      <c r="AC132" s="247"/>
    </row>
    <row r="133" spans="1:29" ht="9.9499999999999993" customHeight="1" x14ac:dyDescent="0.15">
      <c r="A133" s="238" t="s">
        <v>31</v>
      </c>
      <c r="B133" s="247"/>
      <c r="C133" s="247"/>
      <c r="D133" s="244"/>
      <c r="E133" s="261" t="s">
        <v>6</v>
      </c>
      <c r="F133" s="261" t="s">
        <v>195</v>
      </c>
      <c r="G133" s="244"/>
      <c r="H133" s="261" t="s">
        <v>195</v>
      </c>
      <c r="I133" s="244"/>
      <c r="J133" s="261" t="s">
        <v>195</v>
      </c>
      <c r="K133" s="244"/>
      <c r="L133" s="261" t="s">
        <v>195</v>
      </c>
      <c r="M133" s="244"/>
      <c r="N133" s="261" t="s">
        <v>195</v>
      </c>
      <c r="O133" s="244"/>
      <c r="P133" s="261" t="s">
        <v>195</v>
      </c>
      <c r="Q133" s="244"/>
      <c r="R133" s="261" t="s">
        <v>195</v>
      </c>
      <c r="S133" s="244"/>
      <c r="T133" s="261" t="s">
        <v>195</v>
      </c>
      <c r="U133" s="244"/>
      <c r="V133" s="261" t="s">
        <v>195</v>
      </c>
      <c r="W133" s="244"/>
      <c r="X133" s="261" t="s">
        <v>195</v>
      </c>
      <c r="Y133" s="244"/>
      <c r="Z133" s="261" t="s">
        <v>195</v>
      </c>
      <c r="AA133" s="244"/>
      <c r="AB133" s="261" t="s">
        <v>195</v>
      </c>
      <c r="AC133" s="244"/>
    </row>
    <row r="134" spans="1:29" ht="9.9499999999999993" customHeight="1" x14ac:dyDescent="0.15">
      <c r="A134" s="238" t="s">
        <v>31</v>
      </c>
      <c r="B134" s="247"/>
      <c r="C134" s="247"/>
      <c r="D134" s="258" t="s">
        <v>463</v>
      </c>
      <c r="E134" s="261" t="s">
        <v>444</v>
      </c>
      <c r="F134" s="261" t="s">
        <v>195</v>
      </c>
      <c r="G134" s="262">
        <v>43570</v>
      </c>
      <c r="H134" s="261" t="s">
        <v>195</v>
      </c>
      <c r="I134" s="262">
        <v>43599</v>
      </c>
      <c r="J134" s="261" t="s">
        <v>195</v>
      </c>
      <c r="K134" s="262">
        <v>43627</v>
      </c>
      <c r="L134" s="261" t="s">
        <v>195</v>
      </c>
      <c r="M134" s="262">
        <v>43648</v>
      </c>
      <c r="N134" s="261" t="s">
        <v>195</v>
      </c>
      <c r="O134" s="262">
        <v>43683</v>
      </c>
      <c r="P134" s="261" t="s">
        <v>195</v>
      </c>
      <c r="Q134" s="262">
        <v>43711</v>
      </c>
      <c r="R134" s="261" t="s">
        <v>195</v>
      </c>
      <c r="S134" s="262" t="s">
        <v>498</v>
      </c>
      <c r="T134" s="261" t="s">
        <v>195</v>
      </c>
      <c r="U134" s="265" t="s">
        <v>58</v>
      </c>
      <c r="V134" s="261" t="s">
        <v>195</v>
      </c>
      <c r="W134" s="262">
        <v>43802</v>
      </c>
      <c r="X134" s="261" t="s">
        <v>195</v>
      </c>
      <c r="Y134" s="262">
        <v>43488</v>
      </c>
      <c r="Z134" s="261" t="s">
        <v>195</v>
      </c>
      <c r="AA134" s="262">
        <v>43501</v>
      </c>
      <c r="AB134" s="261" t="s">
        <v>195</v>
      </c>
      <c r="AC134" s="262">
        <v>43528</v>
      </c>
    </row>
    <row r="135" spans="1:29" ht="9.9499999999999993" customHeight="1" x14ac:dyDescent="0.15">
      <c r="A135" s="238" t="s">
        <v>31</v>
      </c>
      <c r="B135" s="247"/>
      <c r="C135" s="247"/>
      <c r="D135" s="247"/>
      <c r="E135" s="261" t="s">
        <v>517</v>
      </c>
      <c r="F135" s="261" t="s">
        <v>195</v>
      </c>
      <c r="G135" s="247"/>
      <c r="H135" s="261" t="s">
        <v>195</v>
      </c>
      <c r="I135" s="247"/>
      <c r="J135" s="261" t="s">
        <v>195</v>
      </c>
      <c r="K135" s="247"/>
      <c r="L135" s="261" t="s">
        <v>195</v>
      </c>
      <c r="M135" s="247"/>
      <c r="N135" s="261" t="s">
        <v>195</v>
      </c>
      <c r="O135" s="247"/>
      <c r="P135" s="261" t="s">
        <v>195</v>
      </c>
      <c r="Q135" s="247"/>
      <c r="R135" s="261" t="s">
        <v>195</v>
      </c>
      <c r="S135" s="247"/>
      <c r="T135" s="261" t="s">
        <v>195</v>
      </c>
      <c r="U135" s="247"/>
      <c r="V135" s="261" t="s">
        <v>195</v>
      </c>
      <c r="W135" s="247"/>
      <c r="X135" s="261" t="s">
        <v>195</v>
      </c>
      <c r="Y135" s="247"/>
      <c r="Z135" s="261" t="s">
        <v>195</v>
      </c>
      <c r="AA135" s="247"/>
      <c r="AB135" s="261" t="s">
        <v>195</v>
      </c>
      <c r="AC135" s="247"/>
    </row>
    <row r="136" spans="1:29" ht="9.9499999999999993" customHeight="1" x14ac:dyDescent="0.15">
      <c r="A136" s="238" t="s">
        <v>31</v>
      </c>
      <c r="B136" s="247"/>
      <c r="C136" s="244"/>
      <c r="D136" s="244"/>
      <c r="E136" s="261" t="s">
        <v>6</v>
      </c>
      <c r="F136" s="261" t="s">
        <v>195</v>
      </c>
      <c r="G136" s="244"/>
      <c r="H136" s="261" t="s">
        <v>195</v>
      </c>
      <c r="I136" s="244"/>
      <c r="J136" s="261" t="s">
        <v>195</v>
      </c>
      <c r="K136" s="244"/>
      <c r="L136" s="261" t="s">
        <v>195</v>
      </c>
      <c r="M136" s="244"/>
      <c r="N136" s="261" t="s">
        <v>195</v>
      </c>
      <c r="O136" s="244"/>
      <c r="P136" s="261" t="s">
        <v>195</v>
      </c>
      <c r="Q136" s="244"/>
      <c r="R136" s="261" t="s">
        <v>195</v>
      </c>
      <c r="S136" s="244"/>
      <c r="T136" s="261" t="s">
        <v>195</v>
      </c>
      <c r="U136" s="244"/>
      <c r="V136" s="261" t="s">
        <v>195</v>
      </c>
      <c r="W136" s="244"/>
      <c r="X136" s="261" t="s">
        <v>195</v>
      </c>
      <c r="Y136" s="244"/>
      <c r="Z136" s="261" t="s">
        <v>195</v>
      </c>
      <c r="AA136" s="244"/>
      <c r="AB136" s="261" t="s">
        <v>195</v>
      </c>
      <c r="AC136" s="244"/>
    </row>
    <row r="137" spans="1:29" ht="9.9499999999999993" customHeight="1" x14ac:dyDescent="0.15">
      <c r="A137" s="238" t="s">
        <v>31</v>
      </c>
      <c r="B137" s="247"/>
      <c r="C137" s="259" t="s">
        <v>62</v>
      </c>
      <c r="D137" s="242"/>
      <c r="E137" s="261" t="s">
        <v>444</v>
      </c>
      <c r="F137" s="263">
        <v>54</v>
      </c>
      <c r="G137" s="262">
        <v>43570</v>
      </c>
      <c r="H137" s="261">
        <v>64</v>
      </c>
      <c r="I137" s="262">
        <v>43599</v>
      </c>
      <c r="J137" s="261">
        <v>56</v>
      </c>
      <c r="K137" s="262">
        <v>43627</v>
      </c>
      <c r="L137" s="261">
        <v>60</v>
      </c>
      <c r="M137" s="262">
        <v>43648</v>
      </c>
      <c r="N137" s="261">
        <v>52</v>
      </c>
      <c r="O137" s="262">
        <v>43683</v>
      </c>
      <c r="P137" s="261">
        <v>38</v>
      </c>
      <c r="Q137" s="262">
        <v>43711</v>
      </c>
      <c r="R137" s="261">
        <v>38</v>
      </c>
      <c r="S137" s="262" t="s">
        <v>498</v>
      </c>
      <c r="T137" s="261">
        <v>38</v>
      </c>
      <c r="U137" s="265" t="s">
        <v>58</v>
      </c>
      <c r="V137" s="261">
        <v>16</v>
      </c>
      <c r="W137" s="262">
        <v>43802</v>
      </c>
      <c r="X137" s="261">
        <v>32</v>
      </c>
      <c r="Y137" s="262">
        <v>43488</v>
      </c>
      <c r="Z137" s="261">
        <v>4.9000000000000004</v>
      </c>
      <c r="AA137" s="262">
        <v>43501</v>
      </c>
      <c r="AB137" s="261">
        <v>9.8000000000000007</v>
      </c>
      <c r="AC137" s="262">
        <v>43528</v>
      </c>
    </row>
    <row r="138" spans="1:29" ht="9.9499999999999993" customHeight="1" x14ac:dyDescent="0.15">
      <c r="A138" s="238" t="s">
        <v>31</v>
      </c>
      <c r="B138" s="247"/>
      <c r="C138" s="248"/>
      <c r="D138" s="249"/>
      <c r="E138" s="261" t="s">
        <v>517</v>
      </c>
      <c r="F138" s="263">
        <v>130</v>
      </c>
      <c r="G138" s="247"/>
      <c r="H138" s="263">
        <v>180</v>
      </c>
      <c r="I138" s="247"/>
      <c r="J138" s="263">
        <v>180</v>
      </c>
      <c r="K138" s="247"/>
      <c r="L138" s="263">
        <v>180</v>
      </c>
      <c r="M138" s="247"/>
      <c r="N138" s="263">
        <v>160</v>
      </c>
      <c r="O138" s="247"/>
      <c r="P138" s="263">
        <v>120</v>
      </c>
      <c r="Q138" s="247"/>
      <c r="R138" s="263">
        <v>140</v>
      </c>
      <c r="S138" s="247"/>
      <c r="T138" s="261">
        <v>140</v>
      </c>
      <c r="U138" s="247"/>
      <c r="V138" s="263">
        <v>59</v>
      </c>
      <c r="W138" s="247"/>
      <c r="X138" s="263">
        <v>120</v>
      </c>
      <c r="Y138" s="247"/>
      <c r="Z138" s="263">
        <v>23</v>
      </c>
      <c r="AA138" s="247"/>
      <c r="AB138" s="263">
        <v>47</v>
      </c>
      <c r="AC138" s="247"/>
    </row>
    <row r="139" spans="1:29" ht="9.9499999999999993" customHeight="1" x14ac:dyDescent="0.15">
      <c r="A139" s="238" t="s">
        <v>31</v>
      </c>
      <c r="B139" s="247"/>
      <c r="C139" s="245"/>
      <c r="D139" s="246"/>
      <c r="E139" s="261" t="s">
        <v>6</v>
      </c>
      <c r="F139" s="263">
        <v>184</v>
      </c>
      <c r="G139" s="244"/>
      <c r="H139" s="263">
        <v>244</v>
      </c>
      <c r="I139" s="244"/>
      <c r="J139" s="263">
        <v>236</v>
      </c>
      <c r="K139" s="244"/>
      <c r="L139" s="263">
        <v>240</v>
      </c>
      <c r="M139" s="244"/>
      <c r="N139" s="263">
        <v>212</v>
      </c>
      <c r="O139" s="244"/>
      <c r="P139" s="263">
        <v>158</v>
      </c>
      <c r="Q139" s="244"/>
      <c r="R139" s="263">
        <v>178</v>
      </c>
      <c r="S139" s="244"/>
      <c r="T139" s="263">
        <v>178</v>
      </c>
      <c r="U139" s="244"/>
      <c r="V139" s="263">
        <v>75</v>
      </c>
      <c r="W139" s="244"/>
      <c r="X139" s="263">
        <v>152</v>
      </c>
      <c r="Y139" s="244"/>
      <c r="Z139" s="263">
        <v>27.9</v>
      </c>
      <c r="AA139" s="244"/>
      <c r="AB139" s="263">
        <v>56.8</v>
      </c>
      <c r="AC139" s="244"/>
    </row>
    <row r="140" spans="1:29" ht="9.9499999999999993" customHeight="1" x14ac:dyDescent="0.15">
      <c r="A140" s="238" t="s">
        <v>31</v>
      </c>
      <c r="B140" s="247"/>
      <c r="C140" s="259" t="s">
        <v>80</v>
      </c>
      <c r="D140" s="242"/>
      <c r="E140" s="261" t="s">
        <v>444</v>
      </c>
      <c r="F140" s="263">
        <v>190</v>
      </c>
      <c r="G140" s="262">
        <v>43570</v>
      </c>
      <c r="H140" s="261">
        <v>260</v>
      </c>
      <c r="I140" s="262">
        <v>43599</v>
      </c>
      <c r="J140" s="261">
        <v>220</v>
      </c>
      <c r="K140" s="262">
        <v>43627</v>
      </c>
      <c r="L140" s="261">
        <v>150</v>
      </c>
      <c r="M140" s="262">
        <v>43648</v>
      </c>
      <c r="N140" s="261">
        <v>150</v>
      </c>
      <c r="O140" s="262">
        <v>43683</v>
      </c>
      <c r="P140" s="261">
        <v>130</v>
      </c>
      <c r="Q140" s="262">
        <v>43711</v>
      </c>
      <c r="R140" s="261">
        <v>150</v>
      </c>
      <c r="S140" s="262" t="s">
        <v>498</v>
      </c>
      <c r="T140" s="261">
        <v>150</v>
      </c>
      <c r="U140" s="265" t="s">
        <v>58</v>
      </c>
      <c r="V140" s="261">
        <v>75</v>
      </c>
      <c r="W140" s="262">
        <v>43802</v>
      </c>
      <c r="X140" s="261">
        <v>110</v>
      </c>
      <c r="Y140" s="262">
        <v>43488</v>
      </c>
      <c r="Z140" s="261">
        <v>45</v>
      </c>
      <c r="AA140" s="262">
        <v>43501</v>
      </c>
      <c r="AB140" s="261">
        <v>63</v>
      </c>
      <c r="AC140" s="262">
        <v>43528</v>
      </c>
    </row>
    <row r="141" spans="1:29" ht="9.9499999999999993" customHeight="1" x14ac:dyDescent="0.15">
      <c r="A141" s="238" t="s">
        <v>31</v>
      </c>
      <c r="B141" s="247"/>
      <c r="C141" s="248"/>
      <c r="D141" s="249"/>
      <c r="E141" s="261" t="s">
        <v>517</v>
      </c>
      <c r="F141" s="264">
        <v>510</v>
      </c>
      <c r="G141" s="247"/>
      <c r="H141" s="261">
        <v>710</v>
      </c>
      <c r="I141" s="247"/>
      <c r="J141" s="261">
        <v>580</v>
      </c>
      <c r="K141" s="247"/>
      <c r="L141" s="261">
        <v>430</v>
      </c>
      <c r="M141" s="247"/>
      <c r="N141" s="261">
        <v>430</v>
      </c>
      <c r="O141" s="247"/>
      <c r="P141" s="261">
        <v>370</v>
      </c>
      <c r="Q141" s="247"/>
      <c r="R141" s="261">
        <v>440</v>
      </c>
      <c r="S141" s="247"/>
      <c r="T141" s="261">
        <v>440</v>
      </c>
      <c r="U141" s="247"/>
      <c r="V141" s="261">
        <v>230</v>
      </c>
      <c r="W141" s="247"/>
      <c r="X141" s="261">
        <v>400</v>
      </c>
      <c r="Y141" s="247"/>
      <c r="Z141" s="261">
        <v>150</v>
      </c>
      <c r="AA141" s="247"/>
      <c r="AB141" s="261">
        <v>230</v>
      </c>
      <c r="AC141" s="247"/>
    </row>
    <row r="142" spans="1:29" ht="9.9499999999999993" customHeight="1" x14ac:dyDescent="0.15">
      <c r="A142" s="238" t="s">
        <v>31</v>
      </c>
      <c r="B142" s="244"/>
      <c r="C142" s="245"/>
      <c r="D142" s="246"/>
      <c r="E142" s="261" t="s">
        <v>6</v>
      </c>
      <c r="F142" s="264" t="s">
        <v>518</v>
      </c>
      <c r="G142" s="244"/>
      <c r="H142" s="261">
        <v>970</v>
      </c>
      <c r="I142" s="244"/>
      <c r="J142" s="261">
        <v>800</v>
      </c>
      <c r="K142" s="244"/>
      <c r="L142" s="261">
        <v>580</v>
      </c>
      <c r="M142" s="244"/>
      <c r="N142" s="261">
        <v>580</v>
      </c>
      <c r="O142" s="244"/>
      <c r="P142" s="261">
        <v>500</v>
      </c>
      <c r="Q142" s="244"/>
      <c r="R142" s="261">
        <v>590</v>
      </c>
      <c r="S142" s="244"/>
      <c r="T142" s="261">
        <v>590</v>
      </c>
      <c r="U142" s="244"/>
      <c r="V142" s="261">
        <v>305</v>
      </c>
      <c r="W142" s="244"/>
      <c r="X142" s="261">
        <v>510</v>
      </c>
      <c r="Y142" s="244"/>
      <c r="Z142" s="261">
        <v>195</v>
      </c>
      <c r="AA142" s="244"/>
      <c r="AB142" s="261">
        <v>293</v>
      </c>
      <c r="AC142" s="244"/>
    </row>
    <row r="143" spans="1:29" ht="9.9499999999999993" customHeight="1" x14ac:dyDescent="0.15">
      <c r="A143" s="238" t="s">
        <v>31</v>
      </c>
      <c r="B143" s="258" t="s">
        <v>56</v>
      </c>
      <c r="C143" s="259" t="s">
        <v>267</v>
      </c>
      <c r="D143" s="242"/>
      <c r="E143" s="261" t="s">
        <v>444</v>
      </c>
      <c r="F143" s="261" t="s">
        <v>195</v>
      </c>
      <c r="G143" s="262">
        <v>43572</v>
      </c>
      <c r="H143" s="261" t="s">
        <v>195</v>
      </c>
      <c r="I143" s="262">
        <v>43598</v>
      </c>
      <c r="J143" s="261" t="s">
        <v>195</v>
      </c>
      <c r="K143" s="262" t="s">
        <v>492</v>
      </c>
      <c r="L143" s="261" t="s">
        <v>195</v>
      </c>
      <c r="M143" s="262">
        <v>43647</v>
      </c>
      <c r="N143" s="261" t="s">
        <v>195</v>
      </c>
      <c r="O143" s="262">
        <v>43682</v>
      </c>
      <c r="P143" s="261" t="s">
        <v>195</v>
      </c>
      <c r="Q143" s="262">
        <v>43710</v>
      </c>
      <c r="R143" s="261" t="s">
        <v>195</v>
      </c>
      <c r="S143" s="262" t="s">
        <v>513</v>
      </c>
      <c r="T143" s="261" t="s">
        <v>195</v>
      </c>
      <c r="U143" s="265" t="s">
        <v>59</v>
      </c>
      <c r="V143" s="261" t="s">
        <v>195</v>
      </c>
      <c r="W143" s="262">
        <v>43801</v>
      </c>
      <c r="X143" s="261" t="s">
        <v>195</v>
      </c>
      <c r="Y143" s="262">
        <v>43487</v>
      </c>
      <c r="Z143" s="261" t="s">
        <v>195</v>
      </c>
      <c r="AA143" s="262">
        <v>43522</v>
      </c>
      <c r="AB143" s="261" t="s">
        <v>195</v>
      </c>
      <c r="AC143" s="262">
        <v>43543</v>
      </c>
    </row>
    <row r="144" spans="1:29" ht="9.9499999999999993" customHeight="1" x14ac:dyDescent="0.15">
      <c r="A144" s="238" t="s">
        <v>31</v>
      </c>
      <c r="B144" s="247"/>
      <c r="C144" s="248"/>
      <c r="D144" s="249"/>
      <c r="E144" s="261" t="s">
        <v>517</v>
      </c>
      <c r="F144" s="261" t="s">
        <v>195</v>
      </c>
      <c r="G144" s="247"/>
      <c r="H144" s="261" t="s">
        <v>195</v>
      </c>
      <c r="I144" s="247"/>
      <c r="J144" s="261" t="s">
        <v>195</v>
      </c>
      <c r="K144" s="247"/>
      <c r="L144" s="261" t="s">
        <v>195</v>
      </c>
      <c r="M144" s="247"/>
      <c r="N144" s="261" t="s">
        <v>195</v>
      </c>
      <c r="O144" s="247"/>
      <c r="P144" s="261" t="s">
        <v>195</v>
      </c>
      <c r="Q144" s="247"/>
      <c r="R144" s="261" t="s">
        <v>195</v>
      </c>
      <c r="S144" s="247"/>
      <c r="T144" s="261" t="s">
        <v>195</v>
      </c>
      <c r="U144" s="247"/>
      <c r="V144" s="261" t="s">
        <v>195</v>
      </c>
      <c r="W144" s="247"/>
      <c r="X144" s="261" t="s">
        <v>195</v>
      </c>
      <c r="Y144" s="247"/>
      <c r="Z144" s="261" t="s">
        <v>195</v>
      </c>
      <c r="AA144" s="247"/>
      <c r="AB144" s="261" t="s">
        <v>195</v>
      </c>
      <c r="AC144" s="247"/>
    </row>
    <row r="145" spans="1:29" ht="9.9499999999999993" customHeight="1" x14ac:dyDescent="0.15">
      <c r="A145" s="238" t="s">
        <v>31</v>
      </c>
      <c r="B145" s="247"/>
      <c r="C145" s="245"/>
      <c r="D145" s="246"/>
      <c r="E145" s="261" t="s">
        <v>6</v>
      </c>
      <c r="F145" s="261" t="s">
        <v>195</v>
      </c>
      <c r="G145" s="244"/>
      <c r="H145" s="261" t="s">
        <v>195</v>
      </c>
      <c r="I145" s="244"/>
      <c r="J145" s="261" t="s">
        <v>195</v>
      </c>
      <c r="K145" s="244"/>
      <c r="L145" s="261" t="s">
        <v>195</v>
      </c>
      <c r="M145" s="244"/>
      <c r="N145" s="261" t="s">
        <v>195</v>
      </c>
      <c r="O145" s="244"/>
      <c r="P145" s="261" t="s">
        <v>195</v>
      </c>
      <c r="Q145" s="244"/>
      <c r="R145" s="261" t="s">
        <v>195</v>
      </c>
      <c r="S145" s="244"/>
      <c r="T145" s="261" t="s">
        <v>195</v>
      </c>
      <c r="U145" s="244"/>
      <c r="V145" s="261" t="s">
        <v>195</v>
      </c>
      <c r="W145" s="244"/>
      <c r="X145" s="261" t="s">
        <v>195</v>
      </c>
      <c r="Y145" s="244"/>
      <c r="Z145" s="261" t="s">
        <v>195</v>
      </c>
      <c r="AA145" s="244"/>
      <c r="AB145" s="261" t="s">
        <v>195</v>
      </c>
      <c r="AC145" s="244"/>
    </row>
    <row r="146" spans="1:29" ht="9.9499999999999993" customHeight="1" x14ac:dyDescent="0.15">
      <c r="A146" s="238" t="s">
        <v>31</v>
      </c>
      <c r="B146" s="247"/>
      <c r="C146" s="259" t="s">
        <v>81</v>
      </c>
      <c r="D146" s="242"/>
      <c r="E146" s="261" t="s">
        <v>444</v>
      </c>
      <c r="F146" s="263">
        <v>150</v>
      </c>
      <c r="G146" s="262">
        <v>43572</v>
      </c>
      <c r="H146" s="261">
        <v>140</v>
      </c>
      <c r="I146" s="262">
        <v>43598</v>
      </c>
      <c r="J146" s="272" t="s">
        <v>17</v>
      </c>
      <c r="K146" s="262" t="s">
        <v>492</v>
      </c>
      <c r="L146" s="261">
        <v>91</v>
      </c>
      <c r="M146" s="262">
        <v>43647</v>
      </c>
      <c r="N146" s="261" t="s">
        <v>17</v>
      </c>
      <c r="O146" s="262">
        <v>43682</v>
      </c>
      <c r="P146" s="261">
        <v>120</v>
      </c>
      <c r="Q146" s="262">
        <v>43710</v>
      </c>
      <c r="R146" s="261">
        <v>130</v>
      </c>
      <c r="S146" s="262" t="s">
        <v>513</v>
      </c>
      <c r="T146" s="261">
        <v>130</v>
      </c>
      <c r="U146" s="265" t="s">
        <v>59</v>
      </c>
      <c r="V146" s="261">
        <v>98</v>
      </c>
      <c r="W146" s="262">
        <v>43801</v>
      </c>
      <c r="X146" s="261">
        <v>87</v>
      </c>
      <c r="Y146" s="262">
        <v>43487</v>
      </c>
      <c r="Z146" s="261">
        <v>61</v>
      </c>
      <c r="AA146" s="262">
        <v>43522</v>
      </c>
      <c r="AB146" s="261">
        <v>67</v>
      </c>
      <c r="AC146" s="262">
        <v>43543</v>
      </c>
    </row>
    <row r="147" spans="1:29" ht="9.9499999999999993" customHeight="1" x14ac:dyDescent="0.15">
      <c r="A147" s="238" t="s">
        <v>31</v>
      </c>
      <c r="B147" s="247"/>
      <c r="C147" s="248"/>
      <c r="D147" s="249"/>
      <c r="E147" s="261" t="s">
        <v>517</v>
      </c>
      <c r="F147" s="261">
        <v>410</v>
      </c>
      <c r="G147" s="247"/>
      <c r="H147" s="263">
        <v>390</v>
      </c>
      <c r="I147" s="247"/>
      <c r="J147" s="263">
        <v>310</v>
      </c>
      <c r="K147" s="247"/>
      <c r="L147" s="263">
        <v>270</v>
      </c>
      <c r="M147" s="247"/>
      <c r="N147" s="263">
        <v>320</v>
      </c>
      <c r="O147" s="247"/>
      <c r="P147" s="263">
        <v>390</v>
      </c>
      <c r="Q147" s="247"/>
      <c r="R147" s="263">
        <v>430</v>
      </c>
      <c r="S147" s="247"/>
      <c r="T147" s="263">
        <v>420</v>
      </c>
      <c r="U147" s="247"/>
      <c r="V147" s="261">
        <v>330</v>
      </c>
      <c r="W147" s="247"/>
      <c r="X147" s="263">
        <v>280</v>
      </c>
      <c r="Y147" s="247"/>
      <c r="Z147" s="263">
        <v>230</v>
      </c>
      <c r="AA147" s="247"/>
      <c r="AB147" s="263">
        <v>240</v>
      </c>
      <c r="AC147" s="247"/>
    </row>
    <row r="148" spans="1:29" ht="9.9499999999999993" customHeight="1" x14ac:dyDescent="0.15">
      <c r="A148" s="238" t="s">
        <v>31</v>
      </c>
      <c r="B148" s="247"/>
      <c r="C148" s="245"/>
      <c r="D148" s="246"/>
      <c r="E148" s="261" t="s">
        <v>6</v>
      </c>
      <c r="F148" s="263">
        <v>560</v>
      </c>
      <c r="G148" s="244"/>
      <c r="H148" s="263">
        <v>530</v>
      </c>
      <c r="I148" s="244"/>
      <c r="J148" s="263">
        <v>420</v>
      </c>
      <c r="K148" s="244"/>
      <c r="L148" s="263">
        <v>361</v>
      </c>
      <c r="M148" s="244"/>
      <c r="N148" s="263">
        <v>430</v>
      </c>
      <c r="O148" s="244"/>
      <c r="P148" s="263">
        <v>510</v>
      </c>
      <c r="Q148" s="244"/>
      <c r="R148" s="263">
        <v>560</v>
      </c>
      <c r="S148" s="244"/>
      <c r="T148" s="263">
        <v>550</v>
      </c>
      <c r="U148" s="244"/>
      <c r="V148" s="261">
        <v>428</v>
      </c>
      <c r="W148" s="244"/>
      <c r="X148" s="263">
        <v>367</v>
      </c>
      <c r="Y148" s="244"/>
      <c r="Z148" s="263">
        <v>291</v>
      </c>
      <c r="AA148" s="244"/>
      <c r="AB148" s="263">
        <v>307</v>
      </c>
      <c r="AC148" s="244"/>
    </row>
    <row r="149" spans="1:29" ht="9.9499999999999993" customHeight="1" x14ac:dyDescent="0.15">
      <c r="A149" s="238" t="s">
        <v>31</v>
      </c>
      <c r="B149" s="247"/>
      <c r="C149" s="259" t="s">
        <v>53</v>
      </c>
      <c r="D149" s="242"/>
      <c r="E149" s="261" t="s">
        <v>444</v>
      </c>
      <c r="F149" s="261" t="s">
        <v>195</v>
      </c>
      <c r="G149" s="262">
        <v>43572</v>
      </c>
      <c r="H149" s="261" t="s">
        <v>195</v>
      </c>
      <c r="I149" s="262">
        <v>43598</v>
      </c>
      <c r="J149" s="261" t="s">
        <v>195</v>
      </c>
      <c r="K149" s="262" t="s">
        <v>492</v>
      </c>
      <c r="L149" s="261" t="s">
        <v>195</v>
      </c>
      <c r="M149" s="262">
        <v>43647</v>
      </c>
      <c r="N149" s="261" t="s">
        <v>195</v>
      </c>
      <c r="O149" s="262">
        <v>43682</v>
      </c>
      <c r="P149" s="261" t="s">
        <v>195</v>
      </c>
      <c r="Q149" s="262">
        <v>43710</v>
      </c>
      <c r="R149" s="261" t="s">
        <v>195</v>
      </c>
      <c r="S149" s="262" t="s">
        <v>513</v>
      </c>
      <c r="T149" s="261" t="s">
        <v>195</v>
      </c>
      <c r="U149" s="265" t="s">
        <v>59</v>
      </c>
      <c r="V149" s="261" t="s">
        <v>195</v>
      </c>
      <c r="W149" s="262">
        <v>43801</v>
      </c>
      <c r="X149" s="261" t="s">
        <v>195</v>
      </c>
      <c r="Y149" s="262">
        <v>43487</v>
      </c>
      <c r="Z149" s="261" t="s">
        <v>195</v>
      </c>
      <c r="AA149" s="262">
        <v>43522</v>
      </c>
      <c r="AB149" s="261" t="s">
        <v>195</v>
      </c>
      <c r="AC149" s="262">
        <v>43543</v>
      </c>
    </row>
    <row r="150" spans="1:29" ht="9.9499999999999993" customHeight="1" x14ac:dyDescent="0.15">
      <c r="A150" s="238" t="s">
        <v>31</v>
      </c>
      <c r="B150" s="247"/>
      <c r="C150" s="248"/>
      <c r="D150" s="249"/>
      <c r="E150" s="261" t="s">
        <v>517</v>
      </c>
      <c r="F150" s="261" t="s">
        <v>195</v>
      </c>
      <c r="G150" s="247"/>
      <c r="H150" s="263" t="s">
        <v>195</v>
      </c>
      <c r="I150" s="247"/>
      <c r="J150" s="263" t="s">
        <v>195</v>
      </c>
      <c r="K150" s="247"/>
      <c r="L150" s="263" t="s">
        <v>195</v>
      </c>
      <c r="M150" s="247"/>
      <c r="N150" s="263" t="s">
        <v>195</v>
      </c>
      <c r="O150" s="247"/>
      <c r="P150" s="263" t="s">
        <v>195</v>
      </c>
      <c r="Q150" s="247"/>
      <c r="R150" s="263" t="s">
        <v>195</v>
      </c>
      <c r="S150" s="247"/>
      <c r="T150" s="263" t="s">
        <v>195</v>
      </c>
      <c r="U150" s="247"/>
      <c r="V150" s="263" t="s">
        <v>195</v>
      </c>
      <c r="W150" s="247"/>
      <c r="X150" s="263" t="s">
        <v>195</v>
      </c>
      <c r="Y150" s="247"/>
      <c r="Z150" s="263" t="s">
        <v>195</v>
      </c>
      <c r="AA150" s="247"/>
      <c r="AB150" s="263" t="s">
        <v>195</v>
      </c>
      <c r="AC150" s="247"/>
    </row>
    <row r="151" spans="1:29" ht="9.9499999999999993" customHeight="1" x14ac:dyDescent="0.15">
      <c r="A151" s="238" t="s">
        <v>31</v>
      </c>
      <c r="B151" s="244"/>
      <c r="C151" s="245"/>
      <c r="D151" s="246"/>
      <c r="E151" s="261" t="s">
        <v>6</v>
      </c>
      <c r="F151" s="261" t="s">
        <v>195</v>
      </c>
      <c r="G151" s="244"/>
      <c r="H151" s="263" t="s">
        <v>195</v>
      </c>
      <c r="I151" s="244"/>
      <c r="J151" s="264" t="s">
        <v>195</v>
      </c>
      <c r="K151" s="244"/>
      <c r="L151" s="263" t="s">
        <v>195</v>
      </c>
      <c r="M151" s="244"/>
      <c r="N151" s="263" t="s">
        <v>195</v>
      </c>
      <c r="O151" s="244"/>
      <c r="P151" s="263" t="s">
        <v>195</v>
      </c>
      <c r="Q151" s="244"/>
      <c r="R151" s="263" t="s">
        <v>195</v>
      </c>
      <c r="S151" s="244"/>
      <c r="T151" s="263" t="s">
        <v>195</v>
      </c>
      <c r="U151" s="244"/>
      <c r="V151" s="263" t="s">
        <v>195</v>
      </c>
      <c r="W151" s="244"/>
      <c r="X151" s="263" t="s">
        <v>195</v>
      </c>
      <c r="Y151" s="244"/>
      <c r="Z151" s="263" t="s">
        <v>195</v>
      </c>
      <c r="AA151" s="244"/>
      <c r="AB151" s="263" t="s">
        <v>195</v>
      </c>
      <c r="AC151" s="244"/>
    </row>
    <row r="152" spans="1:29" ht="9.9499999999999993" customHeight="1" x14ac:dyDescent="0.15">
      <c r="A152" s="238" t="s">
        <v>31</v>
      </c>
      <c r="B152" s="258" t="s">
        <v>453</v>
      </c>
      <c r="C152" s="259" t="s">
        <v>268</v>
      </c>
      <c r="D152" s="242"/>
      <c r="E152" s="261" t="s">
        <v>444</v>
      </c>
      <c r="F152" s="261" t="s">
        <v>195</v>
      </c>
      <c r="G152" s="262">
        <v>43579</v>
      </c>
      <c r="H152" s="261" t="s">
        <v>195</v>
      </c>
      <c r="I152" s="262">
        <v>43598</v>
      </c>
      <c r="J152" s="261" t="s">
        <v>195</v>
      </c>
      <c r="K152" s="262" t="s">
        <v>492</v>
      </c>
      <c r="L152" s="261" t="s">
        <v>195</v>
      </c>
      <c r="M152" s="262">
        <v>43647</v>
      </c>
      <c r="N152" s="261" t="s">
        <v>195</v>
      </c>
      <c r="O152" s="262">
        <v>43682</v>
      </c>
      <c r="P152" s="261" t="s">
        <v>195</v>
      </c>
      <c r="Q152" s="262">
        <v>43710</v>
      </c>
      <c r="R152" s="261" t="s">
        <v>195</v>
      </c>
      <c r="S152" s="262" t="s">
        <v>513</v>
      </c>
      <c r="T152" s="261" t="s">
        <v>195</v>
      </c>
      <c r="U152" s="262">
        <v>43776</v>
      </c>
      <c r="V152" s="261" t="s">
        <v>195</v>
      </c>
      <c r="W152" s="262">
        <v>43801</v>
      </c>
      <c r="X152" s="261" t="s">
        <v>195</v>
      </c>
      <c r="Y152" s="262">
        <v>43487</v>
      </c>
      <c r="Z152" s="261" t="s">
        <v>195</v>
      </c>
      <c r="AA152" s="262">
        <v>43522</v>
      </c>
      <c r="AB152" s="261" t="s">
        <v>195</v>
      </c>
      <c r="AC152" s="262">
        <v>43543</v>
      </c>
    </row>
    <row r="153" spans="1:29" ht="9.9499999999999993" customHeight="1" x14ac:dyDescent="0.15">
      <c r="A153" s="238" t="s">
        <v>31</v>
      </c>
      <c r="B153" s="247"/>
      <c r="C153" s="248"/>
      <c r="D153" s="249"/>
      <c r="E153" s="261" t="s">
        <v>517</v>
      </c>
      <c r="F153" s="261" t="s">
        <v>195</v>
      </c>
      <c r="G153" s="247"/>
      <c r="H153" s="261" t="s">
        <v>195</v>
      </c>
      <c r="I153" s="247"/>
      <c r="J153" s="261" t="s">
        <v>195</v>
      </c>
      <c r="K153" s="247"/>
      <c r="L153" s="261" t="s">
        <v>195</v>
      </c>
      <c r="M153" s="247"/>
      <c r="N153" s="261" t="s">
        <v>195</v>
      </c>
      <c r="O153" s="247"/>
      <c r="P153" s="261" t="s">
        <v>195</v>
      </c>
      <c r="Q153" s="247"/>
      <c r="R153" s="261" t="s">
        <v>195</v>
      </c>
      <c r="S153" s="247"/>
      <c r="T153" s="261" t="s">
        <v>195</v>
      </c>
      <c r="U153" s="247"/>
      <c r="V153" s="261" t="s">
        <v>195</v>
      </c>
      <c r="W153" s="247"/>
      <c r="X153" s="261" t="s">
        <v>195</v>
      </c>
      <c r="Y153" s="247"/>
      <c r="Z153" s="261" t="s">
        <v>195</v>
      </c>
      <c r="AA153" s="247"/>
      <c r="AB153" s="261" t="s">
        <v>195</v>
      </c>
      <c r="AC153" s="247"/>
    </row>
    <row r="154" spans="1:29" ht="9.9499999999999993" customHeight="1" x14ac:dyDescent="0.15">
      <c r="A154" s="238" t="s">
        <v>31</v>
      </c>
      <c r="B154" s="247"/>
      <c r="C154" s="245"/>
      <c r="D154" s="246"/>
      <c r="E154" s="261" t="s">
        <v>6</v>
      </c>
      <c r="F154" s="261" t="s">
        <v>195</v>
      </c>
      <c r="G154" s="244"/>
      <c r="H154" s="261" t="s">
        <v>195</v>
      </c>
      <c r="I154" s="244"/>
      <c r="J154" s="261" t="s">
        <v>195</v>
      </c>
      <c r="K154" s="244"/>
      <c r="L154" s="261" t="s">
        <v>195</v>
      </c>
      <c r="M154" s="244"/>
      <c r="N154" s="261" t="s">
        <v>195</v>
      </c>
      <c r="O154" s="244"/>
      <c r="P154" s="261" t="s">
        <v>195</v>
      </c>
      <c r="Q154" s="244"/>
      <c r="R154" s="261" t="s">
        <v>195</v>
      </c>
      <c r="S154" s="244"/>
      <c r="T154" s="261" t="s">
        <v>195</v>
      </c>
      <c r="U154" s="244"/>
      <c r="V154" s="261" t="s">
        <v>195</v>
      </c>
      <c r="W154" s="244"/>
      <c r="X154" s="261" t="s">
        <v>195</v>
      </c>
      <c r="Y154" s="244"/>
      <c r="Z154" s="261" t="s">
        <v>195</v>
      </c>
      <c r="AA154" s="244"/>
      <c r="AB154" s="261" t="s">
        <v>195</v>
      </c>
      <c r="AC154" s="244"/>
    </row>
    <row r="155" spans="1:29" ht="9.9499999999999993" customHeight="1" x14ac:dyDescent="0.15">
      <c r="A155" s="238" t="s">
        <v>31</v>
      </c>
      <c r="B155" s="247"/>
      <c r="C155" s="259" t="s">
        <v>53</v>
      </c>
      <c r="D155" s="242"/>
      <c r="E155" s="261" t="s">
        <v>444</v>
      </c>
      <c r="F155" s="261">
        <v>1.9</v>
      </c>
      <c r="G155" s="262">
        <v>43579</v>
      </c>
      <c r="H155" s="261">
        <v>1.6</v>
      </c>
      <c r="I155" s="262">
        <v>43598</v>
      </c>
      <c r="J155" s="261">
        <v>3.7</v>
      </c>
      <c r="K155" s="262" t="s">
        <v>492</v>
      </c>
      <c r="L155" s="261">
        <v>2.9</v>
      </c>
      <c r="M155" s="262">
        <v>43647</v>
      </c>
      <c r="N155" s="261">
        <v>1.4</v>
      </c>
      <c r="O155" s="262">
        <v>43682</v>
      </c>
      <c r="P155" s="261">
        <v>3.8</v>
      </c>
      <c r="Q155" s="262">
        <v>43710</v>
      </c>
      <c r="R155" s="261">
        <v>3.8</v>
      </c>
      <c r="S155" s="262" t="s">
        <v>513</v>
      </c>
      <c r="T155" s="261">
        <v>1.6</v>
      </c>
      <c r="U155" s="262">
        <v>43776</v>
      </c>
      <c r="V155" s="261">
        <v>2.9</v>
      </c>
      <c r="W155" s="262">
        <v>43801</v>
      </c>
      <c r="X155" s="261">
        <v>1.1000000000000001</v>
      </c>
      <c r="Y155" s="262">
        <v>43487</v>
      </c>
      <c r="Z155" s="261">
        <v>1.6</v>
      </c>
      <c r="AA155" s="262">
        <v>43522</v>
      </c>
      <c r="AB155" s="261">
        <v>2.4</v>
      </c>
      <c r="AC155" s="262">
        <v>43543</v>
      </c>
    </row>
    <row r="156" spans="1:29" ht="9.9499999999999993" customHeight="1" x14ac:dyDescent="0.15">
      <c r="A156" s="238" t="s">
        <v>31</v>
      </c>
      <c r="B156" s="247"/>
      <c r="C156" s="248"/>
      <c r="D156" s="249"/>
      <c r="E156" s="261" t="s">
        <v>517</v>
      </c>
      <c r="F156" s="263">
        <v>4.4000000000000004</v>
      </c>
      <c r="G156" s="247"/>
      <c r="H156" s="261">
        <v>4.5999999999999996</v>
      </c>
      <c r="I156" s="247"/>
      <c r="J156" s="272" t="s">
        <v>30</v>
      </c>
      <c r="K156" s="247"/>
      <c r="L156" s="261">
        <v>8.4</v>
      </c>
      <c r="M156" s="247"/>
      <c r="N156" s="261">
        <v>5.0999999999999996</v>
      </c>
      <c r="O156" s="247"/>
      <c r="P156" s="261">
        <v>13</v>
      </c>
      <c r="Q156" s="247"/>
      <c r="R156" s="261">
        <v>12</v>
      </c>
      <c r="S156" s="247"/>
      <c r="T156" s="261">
        <v>4.4000000000000004</v>
      </c>
      <c r="U156" s="247"/>
      <c r="V156" s="261">
        <v>9.3000000000000007</v>
      </c>
      <c r="W156" s="247"/>
      <c r="X156" s="261">
        <v>7.4</v>
      </c>
      <c r="Y156" s="247"/>
      <c r="Z156" s="261">
        <v>5.9</v>
      </c>
      <c r="AA156" s="247"/>
      <c r="AB156" s="261">
        <v>8.1</v>
      </c>
      <c r="AC156" s="247"/>
    </row>
    <row r="157" spans="1:29" ht="9.9499999999999993" customHeight="1" x14ac:dyDescent="0.15">
      <c r="A157" s="238" t="s">
        <v>31</v>
      </c>
      <c r="B157" s="244"/>
      <c r="C157" s="245"/>
      <c r="D157" s="246"/>
      <c r="E157" s="261" t="s">
        <v>6</v>
      </c>
      <c r="F157" s="266">
        <v>6.3</v>
      </c>
      <c r="G157" s="244"/>
      <c r="H157" s="261">
        <v>6.2</v>
      </c>
      <c r="I157" s="244"/>
      <c r="J157" s="261">
        <v>13.7</v>
      </c>
      <c r="K157" s="244"/>
      <c r="L157" s="261">
        <v>11.3</v>
      </c>
      <c r="M157" s="244"/>
      <c r="N157" s="261">
        <v>6.5</v>
      </c>
      <c r="O157" s="244"/>
      <c r="P157" s="261">
        <v>16.8</v>
      </c>
      <c r="Q157" s="244"/>
      <c r="R157" s="261">
        <v>15.8</v>
      </c>
      <c r="S157" s="244"/>
      <c r="T157" s="261">
        <v>6</v>
      </c>
      <c r="U157" s="244"/>
      <c r="V157" s="261">
        <v>12.2</v>
      </c>
      <c r="W157" s="244"/>
      <c r="X157" s="261">
        <v>8.5</v>
      </c>
      <c r="Y157" s="244"/>
      <c r="Z157" s="261">
        <v>7.5</v>
      </c>
      <c r="AA157" s="244"/>
      <c r="AB157" s="261">
        <v>10.5</v>
      </c>
      <c r="AC157" s="244"/>
    </row>
    <row r="158" spans="1:29" ht="9.9499999999999993" customHeight="1" x14ac:dyDescent="0.15">
      <c r="A158" s="238" t="s">
        <v>31</v>
      </c>
      <c r="B158" s="258" t="s">
        <v>454</v>
      </c>
      <c r="C158" s="259" t="s">
        <v>268</v>
      </c>
      <c r="D158" s="242"/>
      <c r="E158" s="261" t="s">
        <v>444</v>
      </c>
      <c r="F158" s="261" t="s">
        <v>195</v>
      </c>
      <c r="G158" s="262">
        <v>43579</v>
      </c>
      <c r="H158" s="261" t="s">
        <v>195</v>
      </c>
      <c r="I158" s="262">
        <v>43598</v>
      </c>
      <c r="J158" s="261" t="s">
        <v>195</v>
      </c>
      <c r="K158" s="262" t="s">
        <v>492</v>
      </c>
      <c r="L158" s="261" t="s">
        <v>195</v>
      </c>
      <c r="M158" s="262">
        <v>43647</v>
      </c>
      <c r="N158" s="261" t="s">
        <v>195</v>
      </c>
      <c r="O158" s="262">
        <v>43682</v>
      </c>
      <c r="P158" s="261" t="s">
        <v>195</v>
      </c>
      <c r="Q158" s="262">
        <v>43710</v>
      </c>
      <c r="R158" s="261" t="s">
        <v>195</v>
      </c>
      <c r="S158" s="262" t="s">
        <v>513</v>
      </c>
      <c r="T158" s="261" t="s">
        <v>195</v>
      </c>
      <c r="U158" s="262">
        <v>43776</v>
      </c>
      <c r="V158" s="261" t="s">
        <v>195</v>
      </c>
      <c r="W158" s="262">
        <v>43801</v>
      </c>
      <c r="X158" s="261" t="s">
        <v>195</v>
      </c>
      <c r="Y158" s="262">
        <v>43487</v>
      </c>
      <c r="Z158" s="261" t="s">
        <v>195</v>
      </c>
      <c r="AA158" s="262">
        <v>43522</v>
      </c>
      <c r="AB158" s="261" t="s">
        <v>195</v>
      </c>
      <c r="AC158" s="262">
        <v>43543</v>
      </c>
    </row>
    <row r="159" spans="1:29" ht="9.9499999999999993" customHeight="1" x14ac:dyDescent="0.15">
      <c r="A159" s="238" t="s">
        <v>31</v>
      </c>
      <c r="B159" s="247"/>
      <c r="C159" s="248"/>
      <c r="D159" s="249"/>
      <c r="E159" s="261" t="s">
        <v>517</v>
      </c>
      <c r="F159" s="261" t="s">
        <v>195</v>
      </c>
      <c r="G159" s="247"/>
      <c r="H159" s="263" t="s">
        <v>195</v>
      </c>
      <c r="I159" s="247"/>
      <c r="J159" s="263" t="s">
        <v>195</v>
      </c>
      <c r="K159" s="247"/>
      <c r="L159" s="263" t="s">
        <v>195</v>
      </c>
      <c r="M159" s="247"/>
      <c r="N159" s="263" t="s">
        <v>195</v>
      </c>
      <c r="O159" s="247"/>
      <c r="P159" s="263" t="s">
        <v>195</v>
      </c>
      <c r="Q159" s="247"/>
      <c r="R159" s="263" t="s">
        <v>195</v>
      </c>
      <c r="S159" s="247"/>
      <c r="T159" s="261" t="s">
        <v>195</v>
      </c>
      <c r="U159" s="247"/>
      <c r="V159" s="263" t="s">
        <v>195</v>
      </c>
      <c r="W159" s="247"/>
      <c r="X159" s="263" t="s">
        <v>195</v>
      </c>
      <c r="Y159" s="247"/>
      <c r="Z159" s="263" t="s">
        <v>195</v>
      </c>
      <c r="AA159" s="247"/>
      <c r="AB159" s="263" t="s">
        <v>195</v>
      </c>
      <c r="AC159" s="247"/>
    </row>
    <row r="160" spans="1:29" ht="9.9499999999999993" customHeight="1" x14ac:dyDescent="0.15">
      <c r="A160" s="238" t="s">
        <v>31</v>
      </c>
      <c r="B160" s="247"/>
      <c r="C160" s="245"/>
      <c r="D160" s="246"/>
      <c r="E160" s="261" t="s">
        <v>6</v>
      </c>
      <c r="F160" s="261" t="s">
        <v>195</v>
      </c>
      <c r="G160" s="244"/>
      <c r="H160" s="263" t="s">
        <v>195</v>
      </c>
      <c r="I160" s="244"/>
      <c r="J160" s="263" t="s">
        <v>195</v>
      </c>
      <c r="K160" s="244"/>
      <c r="L160" s="263" t="s">
        <v>195</v>
      </c>
      <c r="M160" s="244"/>
      <c r="N160" s="263" t="s">
        <v>195</v>
      </c>
      <c r="O160" s="244"/>
      <c r="P160" s="263" t="s">
        <v>195</v>
      </c>
      <c r="Q160" s="244"/>
      <c r="R160" s="263" t="s">
        <v>195</v>
      </c>
      <c r="S160" s="244"/>
      <c r="T160" s="263" t="s">
        <v>195</v>
      </c>
      <c r="U160" s="244"/>
      <c r="V160" s="263" t="s">
        <v>195</v>
      </c>
      <c r="W160" s="244"/>
      <c r="X160" s="263" t="s">
        <v>195</v>
      </c>
      <c r="Y160" s="244"/>
      <c r="Z160" s="263" t="s">
        <v>195</v>
      </c>
      <c r="AA160" s="244"/>
      <c r="AB160" s="263" t="s">
        <v>195</v>
      </c>
      <c r="AC160" s="244"/>
    </row>
    <row r="161" spans="1:29" ht="9.9499999999999993" customHeight="1" x14ac:dyDescent="0.15">
      <c r="A161" s="238" t="s">
        <v>31</v>
      </c>
      <c r="B161" s="247"/>
      <c r="C161" s="259" t="s">
        <v>53</v>
      </c>
      <c r="D161" s="242"/>
      <c r="E161" s="261" t="s">
        <v>444</v>
      </c>
      <c r="F161" s="261" t="s">
        <v>195</v>
      </c>
      <c r="G161" s="262">
        <v>43579</v>
      </c>
      <c r="H161" s="261" t="s">
        <v>195</v>
      </c>
      <c r="I161" s="262">
        <v>43598</v>
      </c>
      <c r="J161" s="261" t="s">
        <v>195</v>
      </c>
      <c r="K161" s="262" t="s">
        <v>492</v>
      </c>
      <c r="L161" s="261" t="s">
        <v>195</v>
      </c>
      <c r="M161" s="262">
        <v>43647</v>
      </c>
      <c r="N161" s="261" t="s">
        <v>195</v>
      </c>
      <c r="O161" s="262">
        <v>43682</v>
      </c>
      <c r="P161" s="261" t="s">
        <v>195</v>
      </c>
      <c r="Q161" s="262">
        <v>43710</v>
      </c>
      <c r="R161" s="261" t="s">
        <v>195</v>
      </c>
      <c r="S161" s="262" t="s">
        <v>513</v>
      </c>
      <c r="T161" s="261" t="s">
        <v>195</v>
      </c>
      <c r="U161" s="265" t="s">
        <v>512</v>
      </c>
      <c r="V161" s="261" t="s">
        <v>195</v>
      </c>
      <c r="W161" s="262">
        <v>43801</v>
      </c>
      <c r="X161" s="261" t="s">
        <v>195</v>
      </c>
      <c r="Y161" s="262">
        <v>43487</v>
      </c>
      <c r="Z161" s="261" t="s">
        <v>195</v>
      </c>
      <c r="AA161" s="262">
        <v>43522</v>
      </c>
      <c r="AB161" s="261" t="s">
        <v>195</v>
      </c>
      <c r="AC161" s="262">
        <v>43543</v>
      </c>
    </row>
    <row r="162" spans="1:29" ht="9.9499999999999993" customHeight="1" x14ac:dyDescent="0.15">
      <c r="A162" s="238" t="s">
        <v>31</v>
      </c>
      <c r="B162" s="247"/>
      <c r="C162" s="248"/>
      <c r="D162" s="249"/>
      <c r="E162" s="261" t="s">
        <v>517</v>
      </c>
      <c r="F162" s="261" t="s">
        <v>195</v>
      </c>
      <c r="G162" s="247"/>
      <c r="H162" s="263" t="s">
        <v>195</v>
      </c>
      <c r="I162" s="247"/>
      <c r="J162" s="263" t="s">
        <v>195</v>
      </c>
      <c r="K162" s="247"/>
      <c r="L162" s="263" t="s">
        <v>195</v>
      </c>
      <c r="M162" s="247"/>
      <c r="N162" s="263" t="s">
        <v>195</v>
      </c>
      <c r="O162" s="247"/>
      <c r="P162" s="263" t="s">
        <v>195</v>
      </c>
      <c r="Q162" s="247"/>
      <c r="R162" s="263" t="s">
        <v>195</v>
      </c>
      <c r="S162" s="247"/>
      <c r="T162" s="261" t="s">
        <v>195</v>
      </c>
      <c r="U162" s="247"/>
      <c r="V162" s="263" t="s">
        <v>195</v>
      </c>
      <c r="W162" s="247"/>
      <c r="X162" s="263" t="s">
        <v>195</v>
      </c>
      <c r="Y162" s="247"/>
      <c r="Z162" s="263" t="s">
        <v>195</v>
      </c>
      <c r="AA162" s="247"/>
      <c r="AB162" s="263" t="s">
        <v>195</v>
      </c>
      <c r="AC162" s="247"/>
    </row>
    <row r="163" spans="1:29" ht="9.9499999999999993" customHeight="1" x14ac:dyDescent="0.15">
      <c r="A163" s="238" t="s">
        <v>31</v>
      </c>
      <c r="B163" s="244"/>
      <c r="C163" s="245"/>
      <c r="D163" s="246"/>
      <c r="E163" s="261" t="s">
        <v>6</v>
      </c>
      <c r="F163" s="261" t="s">
        <v>195</v>
      </c>
      <c r="G163" s="244"/>
      <c r="H163" s="263" t="s">
        <v>195</v>
      </c>
      <c r="I163" s="244"/>
      <c r="J163" s="263" t="s">
        <v>195</v>
      </c>
      <c r="K163" s="244"/>
      <c r="L163" s="263" t="s">
        <v>195</v>
      </c>
      <c r="M163" s="244"/>
      <c r="N163" s="263" t="s">
        <v>195</v>
      </c>
      <c r="O163" s="244"/>
      <c r="P163" s="263" t="s">
        <v>195</v>
      </c>
      <c r="Q163" s="244"/>
      <c r="R163" s="263" t="s">
        <v>195</v>
      </c>
      <c r="S163" s="244"/>
      <c r="T163" s="263" t="s">
        <v>195</v>
      </c>
      <c r="U163" s="244"/>
      <c r="V163" s="263" t="s">
        <v>195</v>
      </c>
      <c r="W163" s="244"/>
      <c r="X163" s="263" t="s">
        <v>195</v>
      </c>
      <c r="Y163" s="244"/>
      <c r="Z163" s="263" t="s">
        <v>195</v>
      </c>
      <c r="AA163" s="244"/>
      <c r="AB163" s="263" t="s">
        <v>195</v>
      </c>
      <c r="AC163" s="244"/>
    </row>
    <row r="164" spans="1:29" ht="9.9499999999999993" customHeight="1" x14ac:dyDescent="0.15">
      <c r="A164" s="238" t="s">
        <v>39</v>
      </c>
      <c r="B164" s="258" t="s">
        <v>0</v>
      </c>
      <c r="C164" s="259" t="s">
        <v>450</v>
      </c>
      <c r="D164" s="241"/>
      <c r="E164" s="242"/>
      <c r="F164" s="260" t="s">
        <v>480</v>
      </c>
      <c r="G164" s="243"/>
      <c r="H164" s="260" t="s">
        <v>485</v>
      </c>
      <c r="I164" s="243"/>
      <c r="J164" s="260" t="s">
        <v>489</v>
      </c>
      <c r="K164" s="243"/>
      <c r="L164" s="260" t="s">
        <v>464</v>
      </c>
      <c r="M164" s="243"/>
      <c r="N164" s="260" t="s">
        <v>496</v>
      </c>
      <c r="O164" s="243"/>
      <c r="P164" s="260" t="s">
        <v>501</v>
      </c>
      <c r="Q164" s="243"/>
      <c r="R164" s="260" t="s">
        <v>22</v>
      </c>
      <c r="S164" s="243"/>
      <c r="T164" s="260" t="s">
        <v>23</v>
      </c>
      <c r="U164" s="243"/>
      <c r="V164" s="260" t="s">
        <v>12</v>
      </c>
      <c r="W164" s="243"/>
      <c r="X164" s="260" t="s">
        <v>13</v>
      </c>
      <c r="Y164" s="243"/>
      <c r="Z164" s="260" t="s">
        <v>14</v>
      </c>
      <c r="AA164" s="243"/>
      <c r="AB164" s="260" t="s">
        <v>15</v>
      </c>
      <c r="AC164" s="243"/>
    </row>
    <row r="165" spans="1:29" ht="9.9499999999999993" customHeight="1" x14ac:dyDescent="0.15">
      <c r="A165" s="238" t="s">
        <v>39</v>
      </c>
      <c r="B165" s="244"/>
      <c r="C165" s="245"/>
      <c r="D165" s="240"/>
      <c r="E165" s="246"/>
      <c r="F165" s="261" t="s">
        <v>3</v>
      </c>
      <c r="G165" s="261" t="s">
        <v>1</v>
      </c>
      <c r="H165" s="261" t="s">
        <v>3</v>
      </c>
      <c r="I165" s="261" t="s">
        <v>4</v>
      </c>
      <c r="J165" s="261" t="s">
        <v>3</v>
      </c>
      <c r="K165" s="261" t="s">
        <v>4</v>
      </c>
      <c r="L165" s="261" t="s">
        <v>3</v>
      </c>
      <c r="M165" s="261" t="s">
        <v>4</v>
      </c>
      <c r="N165" s="261" t="s">
        <v>3</v>
      </c>
      <c r="O165" s="261" t="s">
        <v>4</v>
      </c>
      <c r="P165" s="261" t="s">
        <v>3</v>
      </c>
      <c r="Q165" s="261" t="s">
        <v>4</v>
      </c>
      <c r="R165" s="261" t="s">
        <v>3</v>
      </c>
      <c r="S165" s="261" t="s">
        <v>4</v>
      </c>
      <c r="T165" s="261" t="s">
        <v>3</v>
      </c>
      <c r="U165" s="261" t="s">
        <v>4</v>
      </c>
      <c r="V165" s="261" t="s">
        <v>3</v>
      </c>
      <c r="W165" s="261" t="s">
        <v>4</v>
      </c>
      <c r="X165" s="261" t="s">
        <v>3</v>
      </c>
      <c r="Y165" s="261" t="s">
        <v>4</v>
      </c>
      <c r="Z165" s="261" t="s">
        <v>3</v>
      </c>
      <c r="AA165" s="261" t="s">
        <v>4</v>
      </c>
      <c r="AB165" s="261" t="s">
        <v>32</v>
      </c>
      <c r="AC165" s="261" t="s">
        <v>4</v>
      </c>
    </row>
    <row r="166" spans="1:29" ht="9.9499999999999993" customHeight="1" x14ac:dyDescent="0.15">
      <c r="A166" s="238" t="s">
        <v>39</v>
      </c>
      <c r="B166" s="258" t="s">
        <v>54</v>
      </c>
      <c r="C166" s="258" t="s">
        <v>267</v>
      </c>
      <c r="D166" s="258" t="s">
        <v>462</v>
      </c>
      <c r="E166" s="261" t="s">
        <v>444</v>
      </c>
      <c r="F166" s="261" t="s">
        <v>195</v>
      </c>
      <c r="G166" s="262">
        <v>43571</v>
      </c>
      <c r="H166" s="261" t="s">
        <v>195</v>
      </c>
      <c r="I166" s="262">
        <v>43598</v>
      </c>
      <c r="J166" s="261" t="s">
        <v>195</v>
      </c>
      <c r="K166" s="262" t="s">
        <v>493</v>
      </c>
      <c r="L166" s="261" t="s">
        <v>195</v>
      </c>
      <c r="M166" s="265">
        <v>43656</v>
      </c>
      <c r="N166" s="261" t="s">
        <v>195</v>
      </c>
      <c r="O166" s="262">
        <v>43698</v>
      </c>
      <c r="P166" s="261" t="s">
        <v>195</v>
      </c>
      <c r="Q166" s="262">
        <v>43717</v>
      </c>
      <c r="R166" s="261" t="s">
        <v>195</v>
      </c>
      <c r="S166" s="262">
        <v>43754</v>
      </c>
      <c r="T166" s="261" t="s">
        <v>195</v>
      </c>
      <c r="U166" s="274" t="s">
        <v>481</v>
      </c>
      <c r="V166" s="261" t="s">
        <v>195</v>
      </c>
      <c r="W166" s="262">
        <v>43803</v>
      </c>
      <c r="X166" s="261" t="s">
        <v>195</v>
      </c>
      <c r="Y166" s="262">
        <v>43471</v>
      </c>
      <c r="Z166" s="261"/>
      <c r="AA166" s="262"/>
      <c r="AB166" s="261"/>
      <c r="AC166" s="262"/>
    </row>
    <row r="167" spans="1:29" ht="9.9499999999999993" customHeight="1" x14ac:dyDescent="0.15">
      <c r="A167" s="238" t="s">
        <v>39</v>
      </c>
      <c r="B167" s="247"/>
      <c r="C167" s="247"/>
      <c r="D167" s="247"/>
      <c r="E167" s="261" t="s">
        <v>443</v>
      </c>
      <c r="F167" s="261" t="s">
        <v>195</v>
      </c>
      <c r="G167" s="247"/>
      <c r="H167" s="261" t="s">
        <v>195</v>
      </c>
      <c r="I167" s="247"/>
      <c r="J167" s="261" t="s">
        <v>195</v>
      </c>
      <c r="K167" s="247"/>
      <c r="L167" s="261" t="s">
        <v>195</v>
      </c>
      <c r="M167" s="247"/>
      <c r="N167" s="261" t="s">
        <v>195</v>
      </c>
      <c r="O167" s="247"/>
      <c r="P167" s="261" t="s">
        <v>195</v>
      </c>
      <c r="Q167" s="247"/>
      <c r="R167" s="261" t="s">
        <v>195</v>
      </c>
      <c r="S167" s="247"/>
      <c r="T167" s="261" t="s">
        <v>195</v>
      </c>
      <c r="U167" s="247"/>
      <c r="V167" s="261" t="s">
        <v>195</v>
      </c>
      <c r="W167" s="247"/>
      <c r="X167" s="261" t="s">
        <v>195</v>
      </c>
      <c r="Y167" s="247"/>
      <c r="Z167" s="261"/>
      <c r="AA167" s="247"/>
      <c r="AB167" s="261"/>
      <c r="AC167" s="247"/>
    </row>
    <row r="168" spans="1:29" ht="9.9499999999999993" customHeight="1" x14ac:dyDescent="0.15">
      <c r="A168" s="238" t="s">
        <v>39</v>
      </c>
      <c r="B168" s="247"/>
      <c r="C168" s="247"/>
      <c r="D168" s="244"/>
      <c r="E168" s="261" t="s">
        <v>6</v>
      </c>
      <c r="F168" s="261" t="s">
        <v>195</v>
      </c>
      <c r="G168" s="244"/>
      <c r="H168" s="261" t="s">
        <v>195</v>
      </c>
      <c r="I168" s="244"/>
      <c r="J168" s="261" t="s">
        <v>195</v>
      </c>
      <c r="K168" s="244"/>
      <c r="L168" s="261" t="s">
        <v>195</v>
      </c>
      <c r="M168" s="244"/>
      <c r="N168" s="261" t="s">
        <v>195</v>
      </c>
      <c r="O168" s="244"/>
      <c r="P168" s="261" t="s">
        <v>195</v>
      </c>
      <c r="Q168" s="244"/>
      <c r="R168" s="261" t="s">
        <v>195</v>
      </c>
      <c r="S168" s="244"/>
      <c r="T168" s="261" t="s">
        <v>195</v>
      </c>
      <c r="U168" s="244"/>
      <c r="V168" s="261" t="s">
        <v>195</v>
      </c>
      <c r="W168" s="244"/>
      <c r="X168" s="261" t="s">
        <v>195</v>
      </c>
      <c r="Y168" s="244"/>
      <c r="Z168" s="261"/>
      <c r="AA168" s="244"/>
      <c r="AB168" s="261"/>
      <c r="AC168" s="244"/>
    </row>
    <row r="169" spans="1:29" ht="9.9499999999999993" customHeight="1" x14ac:dyDescent="0.15">
      <c r="A169" s="238" t="s">
        <v>39</v>
      </c>
      <c r="B169" s="247"/>
      <c r="C169" s="247"/>
      <c r="D169" s="258" t="s">
        <v>463</v>
      </c>
      <c r="E169" s="261" t="s">
        <v>444</v>
      </c>
      <c r="F169" s="261" t="s">
        <v>195</v>
      </c>
      <c r="G169" s="262">
        <v>43571</v>
      </c>
      <c r="H169" s="261" t="s">
        <v>195</v>
      </c>
      <c r="I169" s="262">
        <v>43614</v>
      </c>
      <c r="J169" s="261" t="s">
        <v>195</v>
      </c>
      <c r="K169" s="262" t="s">
        <v>493</v>
      </c>
      <c r="L169" s="261" t="s">
        <v>195</v>
      </c>
      <c r="M169" s="265">
        <v>43656</v>
      </c>
      <c r="N169" s="261" t="s">
        <v>195</v>
      </c>
      <c r="O169" s="262">
        <v>43698</v>
      </c>
      <c r="P169" s="261" t="s">
        <v>195</v>
      </c>
      <c r="Q169" s="262">
        <v>43717</v>
      </c>
      <c r="R169" s="261" t="s">
        <v>195</v>
      </c>
      <c r="S169" s="262">
        <v>43754</v>
      </c>
      <c r="T169" s="261" t="s">
        <v>195</v>
      </c>
      <c r="U169" s="274" t="s">
        <v>481</v>
      </c>
      <c r="V169" s="261" t="s">
        <v>195</v>
      </c>
      <c r="W169" s="262">
        <v>43803</v>
      </c>
      <c r="X169" s="261" t="s">
        <v>195</v>
      </c>
      <c r="Y169" s="262">
        <v>43471</v>
      </c>
      <c r="Z169" s="261"/>
      <c r="AA169" s="262"/>
      <c r="AB169" s="261"/>
      <c r="AC169" s="262"/>
    </row>
    <row r="170" spans="1:29" ht="9.9499999999999993" customHeight="1" x14ac:dyDescent="0.15">
      <c r="A170" s="238" t="s">
        <v>39</v>
      </c>
      <c r="B170" s="247"/>
      <c r="C170" s="247"/>
      <c r="D170" s="247"/>
      <c r="E170" s="261" t="s">
        <v>443</v>
      </c>
      <c r="F170" s="261" t="s">
        <v>195</v>
      </c>
      <c r="G170" s="247"/>
      <c r="H170" s="261" t="s">
        <v>195</v>
      </c>
      <c r="I170" s="247"/>
      <c r="J170" s="261" t="s">
        <v>195</v>
      </c>
      <c r="K170" s="247"/>
      <c r="L170" s="261" t="s">
        <v>195</v>
      </c>
      <c r="M170" s="247"/>
      <c r="N170" s="261" t="s">
        <v>195</v>
      </c>
      <c r="O170" s="247"/>
      <c r="P170" s="261" t="s">
        <v>195</v>
      </c>
      <c r="Q170" s="247"/>
      <c r="R170" s="261" t="s">
        <v>195</v>
      </c>
      <c r="S170" s="247"/>
      <c r="T170" s="261" t="s">
        <v>195</v>
      </c>
      <c r="U170" s="247"/>
      <c r="V170" s="261" t="s">
        <v>195</v>
      </c>
      <c r="W170" s="247"/>
      <c r="X170" s="261" t="s">
        <v>195</v>
      </c>
      <c r="Y170" s="247"/>
      <c r="Z170" s="261"/>
      <c r="AA170" s="247"/>
      <c r="AB170" s="261"/>
      <c r="AC170" s="247"/>
    </row>
    <row r="171" spans="1:29" ht="9.9499999999999993" customHeight="1" x14ac:dyDescent="0.15">
      <c r="A171" s="238" t="s">
        <v>39</v>
      </c>
      <c r="B171" s="247"/>
      <c r="C171" s="244"/>
      <c r="D171" s="244"/>
      <c r="E171" s="261" t="s">
        <v>6</v>
      </c>
      <c r="F171" s="261" t="s">
        <v>195</v>
      </c>
      <c r="G171" s="244"/>
      <c r="H171" s="261" t="s">
        <v>195</v>
      </c>
      <c r="I171" s="244"/>
      <c r="J171" s="261" t="s">
        <v>195</v>
      </c>
      <c r="K171" s="244"/>
      <c r="L171" s="261" t="s">
        <v>195</v>
      </c>
      <c r="M171" s="244"/>
      <c r="N171" s="261" t="s">
        <v>195</v>
      </c>
      <c r="O171" s="244"/>
      <c r="P171" s="261" t="s">
        <v>195</v>
      </c>
      <c r="Q171" s="244"/>
      <c r="R171" s="261" t="s">
        <v>195</v>
      </c>
      <c r="S171" s="244"/>
      <c r="T171" s="261" t="s">
        <v>195</v>
      </c>
      <c r="U171" s="244"/>
      <c r="V171" s="261" t="s">
        <v>195</v>
      </c>
      <c r="W171" s="244"/>
      <c r="X171" s="261" t="s">
        <v>195</v>
      </c>
      <c r="Y171" s="244"/>
      <c r="Z171" s="261"/>
      <c r="AA171" s="244"/>
      <c r="AB171" s="261"/>
      <c r="AC171" s="244"/>
    </row>
    <row r="172" spans="1:29" ht="9.9499999999999993" customHeight="1" x14ac:dyDescent="0.15">
      <c r="A172" s="238" t="s">
        <v>39</v>
      </c>
      <c r="B172" s="247"/>
      <c r="C172" s="259" t="s">
        <v>62</v>
      </c>
      <c r="D172" s="242"/>
      <c r="E172" s="261" t="s">
        <v>444</v>
      </c>
      <c r="F172" s="263">
        <v>22</v>
      </c>
      <c r="G172" s="262">
        <v>43571</v>
      </c>
      <c r="H172" s="261">
        <v>31</v>
      </c>
      <c r="I172" s="262">
        <v>43598</v>
      </c>
      <c r="J172" s="261">
        <v>30</v>
      </c>
      <c r="K172" s="262" t="s">
        <v>493</v>
      </c>
      <c r="L172" s="261">
        <v>21</v>
      </c>
      <c r="M172" s="265">
        <v>43656</v>
      </c>
      <c r="N172" s="261">
        <v>16</v>
      </c>
      <c r="O172" s="262">
        <v>43698</v>
      </c>
      <c r="P172" s="261">
        <v>15</v>
      </c>
      <c r="Q172" s="262">
        <v>43717</v>
      </c>
      <c r="R172" s="261">
        <v>13</v>
      </c>
      <c r="S172" s="262">
        <v>43754</v>
      </c>
      <c r="T172" s="261">
        <v>11</v>
      </c>
      <c r="U172" s="274" t="s">
        <v>482</v>
      </c>
      <c r="V172" s="261">
        <v>13</v>
      </c>
      <c r="W172" s="262">
        <v>43803</v>
      </c>
      <c r="X172" s="261">
        <v>5.2</v>
      </c>
      <c r="Y172" s="262">
        <v>43471</v>
      </c>
      <c r="Z172" s="261"/>
      <c r="AA172" s="262"/>
      <c r="AB172" s="261"/>
      <c r="AC172" s="262"/>
    </row>
    <row r="173" spans="1:29" ht="9.9499999999999993" customHeight="1" x14ac:dyDescent="0.15">
      <c r="A173" s="238" t="s">
        <v>39</v>
      </c>
      <c r="B173" s="247"/>
      <c r="C173" s="248"/>
      <c r="D173" s="249"/>
      <c r="E173" s="261" t="s">
        <v>443</v>
      </c>
      <c r="F173" s="263">
        <v>82</v>
      </c>
      <c r="G173" s="247"/>
      <c r="H173" s="263">
        <v>120</v>
      </c>
      <c r="I173" s="247"/>
      <c r="J173" s="263">
        <v>130</v>
      </c>
      <c r="K173" s="247"/>
      <c r="L173" s="263">
        <v>74</v>
      </c>
      <c r="M173" s="247"/>
      <c r="N173" s="263">
        <v>68</v>
      </c>
      <c r="O173" s="247"/>
      <c r="P173" s="263">
        <v>67</v>
      </c>
      <c r="Q173" s="247"/>
      <c r="R173" s="263">
        <v>65</v>
      </c>
      <c r="S173" s="247"/>
      <c r="T173" s="263">
        <v>51</v>
      </c>
      <c r="U173" s="247"/>
      <c r="V173" s="261">
        <v>57</v>
      </c>
      <c r="W173" s="247"/>
      <c r="X173" s="263">
        <v>27</v>
      </c>
      <c r="Y173" s="247"/>
      <c r="Z173" s="263"/>
      <c r="AA173" s="247"/>
      <c r="AB173" s="263"/>
      <c r="AC173" s="247"/>
    </row>
    <row r="174" spans="1:29" ht="9.9499999999999993" customHeight="1" x14ac:dyDescent="0.15">
      <c r="A174" s="238" t="s">
        <v>39</v>
      </c>
      <c r="B174" s="247"/>
      <c r="C174" s="245"/>
      <c r="D174" s="246"/>
      <c r="E174" s="261" t="s">
        <v>6</v>
      </c>
      <c r="F174" s="263">
        <v>104</v>
      </c>
      <c r="G174" s="244"/>
      <c r="H174" s="263">
        <v>151</v>
      </c>
      <c r="I174" s="244"/>
      <c r="J174" s="263">
        <v>160</v>
      </c>
      <c r="K174" s="244"/>
      <c r="L174" s="263">
        <v>95</v>
      </c>
      <c r="M174" s="244"/>
      <c r="N174" s="263">
        <v>84</v>
      </c>
      <c r="O174" s="244"/>
      <c r="P174" s="263">
        <v>82</v>
      </c>
      <c r="Q174" s="244"/>
      <c r="R174" s="263">
        <v>78</v>
      </c>
      <c r="S174" s="244"/>
      <c r="T174" s="263">
        <v>62</v>
      </c>
      <c r="U174" s="244"/>
      <c r="V174" s="261">
        <v>70</v>
      </c>
      <c r="W174" s="244"/>
      <c r="X174" s="263">
        <v>32.200000000000003</v>
      </c>
      <c r="Y174" s="244"/>
      <c r="Z174" s="263"/>
      <c r="AA174" s="244"/>
      <c r="AB174" s="263"/>
      <c r="AC174" s="244"/>
    </row>
    <row r="175" spans="1:29" ht="9.9499999999999993" customHeight="1" x14ac:dyDescent="0.15">
      <c r="A175" s="238" t="s">
        <v>39</v>
      </c>
      <c r="B175" s="247"/>
      <c r="C175" s="259" t="s">
        <v>80</v>
      </c>
      <c r="D175" s="242"/>
      <c r="E175" s="261" t="s">
        <v>444</v>
      </c>
      <c r="F175" s="263">
        <v>56</v>
      </c>
      <c r="G175" s="262">
        <v>43571</v>
      </c>
      <c r="H175" s="261">
        <v>120</v>
      </c>
      <c r="I175" s="262">
        <v>43598</v>
      </c>
      <c r="J175" s="261">
        <v>64</v>
      </c>
      <c r="K175" s="262" t="s">
        <v>493</v>
      </c>
      <c r="L175" s="261">
        <v>44</v>
      </c>
      <c r="M175" s="265">
        <v>43656</v>
      </c>
      <c r="N175" s="261">
        <v>35</v>
      </c>
      <c r="O175" s="262">
        <v>43698</v>
      </c>
      <c r="P175" s="261">
        <v>29</v>
      </c>
      <c r="Q175" s="262">
        <v>43717</v>
      </c>
      <c r="R175" s="261">
        <v>40</v>
      </c>
      <c r="S175" s="262">
        <v>43754</v>
      </c>
      <c r="T175" s="261">
        <v>25</v>
      </c>
      <c r="U175" s="274" t="s">
        <v>483</v>
      </c>
      <c r="V175" s="261">
        <v>32</v>
      </c>
      <c r="W175" s="262">
        <v>43803</v>
      </c>
      <c r="X175" s="261">
        <v>18</v>
      </c>
      <c r="Y175" s="262">
        <v>43471</v>
      </c>
      <c r="Z175" s="261"/>
      <c r="AA175" s="262"/>
      <c r="AB175" s="261"/>
      <c r="AC175" s="262"/>
    </row>
    <row r="176" spans="1:29" ht="9.9499999999999993" customHeight="1" x14ac:dyDescent="0.15">
      <c r="A176" s="238" t="s">
        <v>39</v>
      </c>
      <c r="B176" s="247"/>
      <c r="C176" s="248"/>
      <c r="D176" s="249"/>
      <c r="E176" s="261" t="s">
        <v>443</v>
      </c>
      <c r="F176" s="263">
        <v>220</v>
      </c>
      <c r="G176" s="247"/>
      <c r="H176" s="263">
        <v>450</v>
      </c>
      <c r="I176" s="247"/>
      <c r="J176" s="263">
        <v>240</v>
      </c>
      <c r="K176" s="247"/>
      <c r="L176" s="263">
        <v>180</v>
      </c>
      <c r="M176" s="247"/>
      <c r="N176" s="263">
        <v>140</v>
      </c>
      <c r="O176" s="247"/>
      <c r="P176" s="263">
        <v>120</v>
      </c>
      <c r="Q176" s="247"/>
      <c r="R176" s="263">
        <v>180</v>
      </c>
      <c r="S176" s="247"/>
      <c r="T176" s="273" t="s">
        <v>33</v>
      </c>
      <c r="U176" s="247"/>
      <c r="V176" s="263">
        <v>130</v>
      </c>
      <c r="W176" s="247"/>
      <c r="X176" s="263">
        <v>79</v>
      </c>
      <c r="Y176" s="247"/>
      <c r="Z176" s="263"/>
      <c r="AA176" s="247"/>
      <c r="AB176" s="263"/>
      <c r="AC176" s="247"/>
    </row>
    <row r="177" spans="1:29" ht="9.9499999999999993" customHeight="1" x14ac:dyDescent="0.15">
      <c r="A177" s="238" t="s">
        <v>39</v>
      </c>
      <c r="B177" s="244"/>
      <c r="C177" s="245"/>
      <c r="D177" s="246"/>
      <c r="E177" s="261" t="s">
        <v>6</v>
      </c>
      <c r="F177" s="263">
        <v>276</v>
      </c>
      <c r="G177" s="244"/>
      <c r="H177" s="263">
        <v>570</v>
      </c>
      <c r="I177" s="244"/>
      <c r="J177" s="264">
        <v>304</v>
      </c>
      <c r="K177" s="244"/>
      <c r="L177" s="263">
        <v>224</v>
      </c>
      <c r="M177" s="244"/>
      <c r="N177" s="263">
        <v>175</v>
      </c>
      <c r="O177" s="244"/>
      <c r="P177" s="263">
        <v>149</v>
      </c>
      <c r="Q177" s="244"/>
      <c r="R177" s="263">
        <v>220</v>
      </c>
      <c r="S177" s="244"/>
      <c r="T177" s="263">
        <v>135</v>
      </c>
      <c r="U177" s="244"/>
      <c r="V177" s="263">
        <v>162</v>
      </c>
      <c r="W177" s="244"/>
      <c r="X177" s="263">
        <v>97</v>
      </c>
      <c r="Y177" s="244"/>
      <c r="Z177" s="263"/>
      <c r="AA177" s="244"/>
      <c r="AB177" s="263"/>
      <c r="AC177" s="244"/>
    </row>
    <row r="178" spans="1:29" ht="9.9499999999999993" customHeight="1" x14ac:dyDescent="0.15">
      <c r="A178" s="238" t="s">
        <v>39</v>
      </c>
      <c r="B178" s="258" t="s">
        <v>60</v>
      </c>
      <c r="C178" s="258" t="s">
        <v>267</v>
      </c>
      <c r="D178" s="258" t="s">
        <v>462</v>
      </c>
      <c r="E178" s="261" t="s">
        <v>444</v>
      </c>
      <c r="F178" s="261" t="s">
        <v>195</v>
      </c>
      <c r="G178" s="262">
        <v>43570</v>
      </c>
      <c r="H178" s="261" t="s">
        <v>195</v>
      </c>
      <c r="I178" s="262">
        <v>43600</v>
      </c>
      <c r="J178" s="261" t="s">
        <v>195</v>
      </c>
      <c r="K178" s="262">
        <v>43621</v>
      </c>
      <c r="L178" s="261" t="s">
        <v>195</v>
      </c>
      <c r="M178" s="265">
        <v>43655</v>
      </c>
      <c r="N178" s="261" t="s">
        <v>195</v>
      </c>
      <c r="O178" s="262">
        <v>43684</v>
      </c>
      <c r="P178" s="261" t="s">
        <v>195</v>
      </c>
      <c r="Q178" s="262">
        <v>43718</v>
      </c>
      <c r="R178" s="261" t="s">
        <v>195</v>
      </c>
      <c r="S178" s="262">
        <v>43753</v>
      </c>
      <c r="T178" s="261" t="s">
        <v>195</v>
      </c>
      <c r="U178" s="274" t="s">
        <v>487</v>
      </c>
      <c r="V178" s="261" t="s">
        <v>195</v>
      </c>
      <c r="W178" s="262">
        <v>43809</v>
      </c>
      <c r="X178" s="261" t="s">
        <v>195</v>
      </c>
      <c r="Y178" s="262">
        <v>43472</v>
      </c>
      <c r="Z178" s="261" t="s">
        <v>195</v>
      </c>
      <c r="AA178" s="262">
        <v>43514</v>
      </c>
      <c r="AB178" s="261" t="s">
        <v>195</v>
      </c>
      <c r="AC178" s="262">
        <v>43541</v>
      </c>
    </row>
    <row r="179" spans="1:29" ht="9.9499999999999993" customHeight="1" x14ac:dyDescent="0.15">
      <c r="A179" s="238" t="s">
        <v>39</v>
      </c>
      <c r="B179" s="247"/>
      <c r="C179" s="247"/>
      <c r="D179" s="247"/>
      <c r="E179" s="261" t="s">
        <v>443</v>
      </c>
      <c r="F179" s="261" t="s">
        <v>195</v>
      </c>
      <c r="G179" s="247"/>
      <c r="H179" s="261" t="s">
        <v>195</v>
      </c>
      <c r="I179" s="247"/>
      <c r="J179" s="261" t="s">
        <v>195</v>
      </c>
      <c r="K179" s="247"/>
      <c r="L179" s="261" t="s">
        <v>195</v>
      </c>
      <c r="M179" s="247"/>
      <c r="N179" s="261" t="s">
        <v>195</v>
      </c>
      <c r="O179" s="247"/>
      <c r="P179" s="261" t="s">
        <v>195</v>
      </c>
      <c r="Q179" s="247"/>
      <c r="R179" s="261" t="s">
        <v>195</v>
      </c>
      <c r="S179" s="247"/>
      <c r="T179" s="261" t="s">
        <v>195</v>
      </c>
      <c r="U179" s="247"/>
      <c r="V179" s="261" t="s">
        <v>195</v>
      </c>
      <c r="W179" s="247"/>
      <c r="X179" s="261" t="s">
        <v>195</v>
      </c>
      <c r="Y179" s="247"/>
      <c r="Z179" s="261" t="s">
        <v>195</v>
      </c>
      <c r="AA179" s="247"/>
      <c r="AB179" s="261" t="s">
        <v>195</v>
      </c>
      <c r="AC179" s="247"/>
    </row>
    <row r="180" spans="1:29" ht="9.9499999999999993" customHeight="1" x14ac:dyDescent="0.15">
      <c r="A180" s="238" t="s">
        <v>39</v>
      </c>
      <c r="B180" s="247"/>
      <c r="C180" s="247"/>
      <c r="D180" s="244"/>
      <c r="E180" s="261" t="s">
        <v>6</v>
      </c>
      <c r="F180" s="261" t="s">
        <v>195</v>
      </c>
      <c r="G180" s="244"/>
      <c r="H180" s="261" t="s">
        <v>195</v>
      </c>
      <c r="I180" s="244"/>
      <c r="J180" s="261" t="s">
        <v>195</v>
      </c>
      <c r="K180" s="244"/>
      <c r="L180" s="261" t="s">
        <v>195</v>
      </c>
      <c r="M180" s="244"/>
      <c r="N180" s="261" t="s">
        <v>195</v>
      </c>
      <c r="O180" s="244"/>
      <c r="P180" s="261" t="s">
        <v>195</v>
      </c>
      <c r="Q180" s="244"/>
      <c r="R180" s="261" t="s">
        <v>195</v>
      </c>
      <c r="S180" s="244"/>
      <c r="T180" s="261" t="s">
        <v>195</v>
      </c>
      <c r="U180" s="244"/>
      <c r="V180" s="261" t="s">
        <v>195</v>
      </c>
      <c r="W180" s="244"/>
      <c r="X180" s="261" t="s">
        <v>195</v>
      </c>
      <c r="Y180" s="244"/>
      <c r="Z180" s="261" t="s">
        <v>195</v>
      </c>
      <c r="AA180" s="244"/>
      <c r="AB180" s="261" t="s">
        <v>195</v>
      </c>
      <c r="AC180" s="244"/>
    </row>
    <row r="181" spans="1:29" ht="9.9499999999999993" customHeight="1" x14ac:dyDescent="0.15">
      <c r="A181" s="238" t="s">
        <v>39</v>
      </c>
      <c r="B181" s="247"/>
      <c r="C181" s="247"/>
      <c r="D181" s="258" t="s">
        <v>463</v>
      </c>
      <c r="E181" s="261" t="s">
        <v>444</v>
      </c>
      <c r="F181" s="261" t="s">
        <v>195</v>
      </c>
      <c r="G181" s="262">
        <v>43570</v>
      </c>
      <c r="H181" s="261" t="s">
        <v>195</v>
      </c>
      <c r="I181" s="262">
        <v>43600</v>
      </c>
      <c r="J181" s="261" t="s">
        <v>195</v>
      </c>
      <c r="K181" s="262">
        <v>43621</v>
      </c>
      <c r="L181" s="261" t="s">
        <v>195</v>
      </c>
      <c r="M181" s="265">
        <v>43655</v>
      </c>
      <c r="N181" s="261" t="s">
        <v>195</v>
      </c>
      <c r="O181" s="262">
        <v>43684</v>
      </c>
      <c r="P181" s="261" t="s">
        <v>195</v>
      </c>
      <c r="Q181" s="262">
        <v>43718</v>
      </c>
      <c r="R181" s="261" t="s">
        <v>195</v>
      </c>
      <c r="S181" s="262">
        <v>43753</v>
      </c>
      <c r="T181" s="261" t="s">
        <v>195</v>
      </c>
      <c r="U181" s="274" t="s">
        <v>487</v>
      </c>
      <c r="V181" s="261" t="s">
        <v>195</v>
      </c>
      <c r="W181" s="262">
        <v>43809</v>
      </c>
      <c r="X181" s="261" t="s">
        <v>195</v>
      </c>
      <c r="Y181" s="262">
        <v>43472</v>
      </c>
      <c r="Z181" s="261" t="s">
        <v>195</v>
      </c>
      <c r="AA181" s="262">
        <v>43514</v>
      </c>
      <c r="AB181" s="261" t="s">
        <v>195</v>
      </c>
      <c r="AC181" s="262">
        <v>43541</v>
      </c>
    </row>
    <row r="182" spans="1:29" ht="9.9499999999999993" customHeight="1" x14ac:dyDescent="0.15">
      <c r="A182" s="238" t="s">
        <v>39</v>
      </c>
      <c r="B182" s="247"/>
      <c r="C182" s="247"/>
      <c r="D182" s="247"/>
      <c r="E182" s="261" t="s">
        <v>443</v>
      </c>
      <c r="F182" s="261" t="s">
        <v>195</v>
      </c>
      <c r="G182" s="247"/>
      <c r="H182" s="261" t="s">
        <v>195</v>
      </c>
      <c r="I182" s="247"/>
      <c r="J182" s="261" t="s">
        <v>195</v>
      </c>
      <c r="K182" s="247"/>
      <c r="L182" s="261" t="s">
        <v>195</v>
      </c>
      <c r="M182" s="247"/>
      <c r="N182" s="261" t="s">
        <v>195</v>
      </c>
      <c r="O182" s="247"/>
      <c r="P182" s="261" t="s">
        <v>195</v>
      </c>
      <c r="Q182" s="247"/>
      <c r="R182" s="261" t="s">
        <v>195</v>
      </c>
      <c r="S182" s="247"/>
      <c r="T182" s="261" t="s">
        <v>195</v>
      </c>
      <c r="U182" s="247"/>
      <c r="V182" s="261" t="s">
        <v>195</v>
      </c>
      <c r="W182" s="247"/>
      <c r="X182" s="261" t="s">
        <v>195</v>
      </c>
      <c r="Y182" s="247"/>
      <c r="Z182" s="261" t="s">
        <v>195</v>
      </c>
      <c r="AA182" s="247"/>
      <c r="AB182" s="261" t="s">
        <v>195</v>
      </c>
      <c r="AC182" s="247"/>
    </row>
    <row r="183" spans="1:29" ht="9.9499999999999993" customHeight="1" x14ac:dyDescent="0.15">
      <c r="A183" s="238" t="s">
        <v>39</v>
      </c>
      <c r="B183" s="247"/>
      <c r="C183" s="244"/>
      <c r="D183" s="244"/>
      <c r="E183" s="261" t="s">
        <v>6</v>
      </c>
      <c r="F183" s="261" t="s">
        <v>195</v>
      </c>
      <c r="G183" s="244"/>
      <c r="H183" s="261" t="s">
        <v>195</v>
      </c>
      <c r="I183" s="244"/>
      <c r="J183" s="261" t="s">
        <v>195</v>
      </c>
      <c r="K183" s="244"/>
      <c r="L183" s="261" t="s">
        <v>195</v>
      </c>
      <c r="M183" s="244"/>
      <c r="N183" s="261" t="s">
        <v>195</v>
      </c>
      <c r="O183" s="244"/>
      <c r="P183" s="261" t="s">
        <v>195</v>
      </c>
      <c r="Q183" s="244"/>
      <c r="R183" s="261" t="s">
        <v>195</v>
      </c>
      <c r="S183" s="244"/>
      <c r="T183" s="261" t="s">
        <v>195</v>
      </c>
      <c r="U183" s="244"/>
      <c r="V183" s="261" t="s">
        <v>195</v>
      </c>
      <c r="W183" s="244"/>
      <c r="X183" s="261" t="s">
        <v>195</v>
      </c>
      <c r="Y183" s="244"/>
      <c r="Z183" s="261" t="s">
        <v>195</v>
      </c>
      <c r="AA183" s="244"/>
      <c r="AB183" s="261" t="s">
        <v>195</v>
      </c>
      <c r="AC183" s="244"/>
    </row>
    <row r="184" spans="1:29" ht="9.9499999999999993" customHeight="1" x14ac:dyDescent="0.15">
      <c r="A184" s="238" t="s">
        <v>39</v>
      </c>
      <c r="B184" s="247"/>
      <c r="C184" s="259" t="s">
        <v>62</v>
      </c>
      <c r="D184" s="242"/>
      <c r="E184" s="261" t="s">
        <v>444</v>
      </c>
      <c r="F184" s="263">
        <v>38</v>
      </c>
      <c r="G184" s="262">
        <v>43570</v>
      </c>
      <c r="H184" s="261">
        <v>36</v>
      </c>
      <c r="I184" s="262">
        <v>43600</v>
      </c>
      <c r="J184" s="261">
        <v>33</v>
      </c>
      <c r="K184" s="262">
        <v>43621</v>
      </c>
      <c r="L184" s="261">
        <v>44</v>
      </c>
      <c r="M184" s="265">
        <v>43655</v>
      </c>
      <c r="N184" s="261">
        <v>18</v>
      </c>
      <c r="O184" s="262">
        <v>43684</v>
      </c>
      <c r="P184" s="261">
        <v>30</v>
      </c>
      <c r="Q184" s="262">
        <v>43718</v>
      </c>
      <c r="R184" s="261">
        <v>16</v>
      </c>
      <c r="S184" s="262">
        <v>43753</v>
      </c>
      <c r="T184" s="272" t="s">
        <v>34</v>
      </c>
      <c r="U184" s="274" t="s">
        <v>488</v>
      </c>
      <c r="V184" s="261">
        <v>12</v>
      </c>
      <c r="W184" s="262">
        <v>43809</v>
      </c>
      <c r="X184" s="261">
        <v>6.7</v>
      </c>
      <c r="Y184" s="262">
        <v>43472</v>
      </c>
      <c r="Z184" s="261">
        <v>15</v>
      </c>
      <c r="AA184" s="262">
        <v>43514</v>
      </c>
      <c r="AB184" s="272" t="s">
        <v>34</v>
      </c>
      <c r="AC184" s="262">
        <v>43541</v>
      </c>
    </row>
    <row r="185" spans="1:29" ht="9.9499999999999993" customHeight="1" x14ac:dyDescent="0.15">
      <c r="A185" s="238" t="s">
        <v>39</v>
      </c>
      <c r="B185" s="247"/>
      <c r="C185" s="248"/>
      <c r="D185" s="249"/>
      <c r="E185" s="261" t="s">
        <v>443</v>
      </c>
      <c r="F185" s="263">
        <v>140</v>
      </c>
      <c r="G185" s="247"/>
      <c r="H185" s="263">
        <v>130</v>
      </c>
      <c r="I185" s="247"/>
      <c r="J185" s="263">
        <v>120</v>
      </c>
      <c r="K185" s="247"/>
      <c r="L185" s="263">
        <v>150</v>
      </c>
      <c r="M185" s="247"/>
      <c r="N185" s="263">
        <v>84</v>
      </c>
      <c r="O185" s="247"/>
      <c r="P185" s="263">
        <v>120</v>
      </c>
      <c r="Q185" s="247"/>
      <c r="R185" s="263">
        <v>67</v>
      </c>
      <c r="S185" s="247"/>
      <c r="T185" s="261">
        <v>55</v>
      </c>
      <c r="U185" s="247"/>
      <c r="V185" s="263">
        <v>61</v>
      </c>
      <c r="W185" s="247"/>
      <c r="X185" s="263">
        <v>35</v>
      </c>
      <c r="Y185" s="247"/>
      <c r="Z185" s="263">
        <v>76</v>
      </c>
      <c r="AA185" s="247"/>
      <c r="AB185" s="263">
        <v>57</v>
      </c>
      <c r="AC185" s="247"/>
    </row>
    <row r="186" spans="1:29" ht="9.9499999999999993" customHeight="1" x14ac:dyDescent="0.15">
      <c r="A186" s="238" t="s">
        <v>39</v>
      </c>
      <c r="B186" s="247"/>
      <c r="C186" s="245"/>
      <c r="D186" s="246"/>
      <c r="E186" s="261" t="s">
        <v>6</v>
      </c>
      <c r="F186" s="263">
        <v>178</v>
      </c>
      <c r="G186" s="244"/>
      <c r="H186" s="263">
        <v>166</v>
      </c>
      <c r="I186" s="244"/>
      <c r="J186" s="263">
        <v>153</v>
      </c>
      <c r="K186" s="244"/>
      <c r="L186" s="263">
        <v>194</v>
      </c>
      <c r="M186" s="244"/>
      <c r="N186" s="263">
        <v>102</v>
      </c>
      <c r="O186" s="244"/>
      <c r="P186" s="263">
        <v>150</v>
      </c>
      <c r="Q186" s="244"/>
      <c r="R186" s="263">
        <v>83</v>
      </c>
      <c r="S186" s="244"/>
      <c r="T186" s="263">
        <v>66</v>
      </c>
      <c r="U186" s="244"/>
      <c r="V186" s="263">
        <v>73</v>
      </c>
      <c r="W186" s="244"/>
      <c r="X186" s="263">
        <v>41.7</v>
      </c>
      <c r="Y186" s="244"/>
      <c r="Z186" s="263">
        <v>91</v>
      </c>
      <c r="AA186" s="244"/>
      <c r="AB186" s="263">
        <v>68</v>
      </c>
      <c r="AC186" s="244"/>
    </row>
    <row r="187" spans="1:29" ht="9.9499999999999993" customHeight="1" x14ac:dyDescent="0.15">
      <c r="A187" s="238" t="s">
        <v>39</v>
      </c>
      <c r="B187" s="247"/>
      <c r="C187" s="259" t="s">
        <v>80</v>
      </c>
      <c r="D187" s="242"/>
      <c r="E187" s="261" t="s">
        <v>444</v>
      </c>
      <c r="F187" s="273" t="s">
        <v>35</v>
      </c>
      <c r="G187" s="262">
        <v>43570</v>
      </c>
      <c r="H187" s="261">
        <v>120</v>
      </c>
      <c r="I187" s="262">
        <v>43600</v>
      </c>
      <c r="J187" s="272" t="s">
        <v>36</v>
      </c>
      <c r="K187" s="262">
        <v>43621</v>
      </c>
      <c r="L187" s="261">
        <v>97</v>
      </c>
      <c r="M187" s="265">
        <v>43655</v>
      </c>
      <c r="N187" s="261">
        <v>62</v>
      </c>
      <c r="O187" s="262">
        <v>43684</v>
      </c>
      <c r="P187" s="261">
        <v>76</v>
      </c>
      <c r="Q187" s="262">
        <v>43718</v>
      </c>
      <c r="R187" s="261">
        <v>64</v>
      </c>
      <c r="S187" s="262">
        <v>43753</v>
      </c>
      <c r="T187" s="261">
        <v>61</v>
      </c>
      <c r="U187" s="274" t="s">
        <v>488</v>
      </c>
      <c r="V187" s="261">
        <v>53</v>
      </c>
      <c r="W187" s="262">
        <v>43809</v>
      </c>
      <c r="X187" s="261">
        <v>34</v>
      </c>
      <c r="Y187" s="262">
        <v>43472</v>
      </c>
      <c r="Z187" s="261">
        <v>54</v>
      </c>
      <c r="AA187" s="262">
        <v>43514</v>
      </c>
      <c r="AB187" s="261">
        <v>56</v>
      </c>
      <c r="AC187" s="262">
        <v>43541</v>
      </c>
    </row>
    <row r="188" spans="1:29" ht="9.9499999999999993" customHeight="1" x14ac:dyDescent="0.15">
      <c r="A188" s="238" t="s">
        <v>39</v>
      </c>
      <c r="B188" s="247"/>
      <c r="C188" s="248"/>
      <c r="D188" s="249"/>
      <c r="E188" s="261" t="s">
        <v>443</v>
      </c>
      <c r="F188" s="292" t="s">
        <v>37</v>
      </c>
      <c r="G188" s="247"/>
      <c r="H188" s="261">
        <v>430</v>
      </c>
      <c r="I188" s="247"/>
      <c r="J188" s="261">
        <v>430</v>
      </c>
      <c r="K188" s="247"/>
      <c r="L188" s="272" t="s">
        <v>38</v>
      </c>
      <c r="M188" s="247"/>
      <c r="N188" s="261">
        <v>250</v>
      </c>
      <c r="O188" s="247"/>
      <c r="P188" s="261">
        <v>330</v>
      </c>
      <c r="Q188" s="247"/>
      <c r="R188" s="261">
        <v>280</v>
      </c>
      <c r="S188" s="247"/>
      <c r="T188" s="261">
        <v>250</v>
      </c>
      <c r="U188" s="247"/>
      <c r="V188" s="261">
        <v>240</v>
      </c>
      <c r="W188" s="247"/>
      <c r="X188" s="261">
        <v>140</v>
      </c>
      <c r="Y188" s="247"/>
      <c r="Z188" s="261">
        <v>260</v>
      </c>
      <c r="AA188" s="247"/>
      <c r="AB188" s="261">
        <v>280</v>
      </c>
      <c r="AC188" s="247"/>
    </row>
    <row r="189" spans="1:29" ht="9.9499999999999993" customHeight="1" x14ac:dyDescent="0.15">
      <c r="A189" s="238" t="s">
        <v>39</v>
      </c>
      <c r="B189" s="244"/>
      <c r="C189" s="245"/>
      <c r="D189" s="246"/>
      <c r="E189" s="261" t="s">
        <v>6</v>
      </c>
      <c r="F189" s="264">
        <v>510</v>
      </c>
      <c r="G189" s="244"/>
      <c r="H189" s="261">
        <v>550</v>
      </c>
      <c r="I189" s="244"/>
      <c r="J189" s="261">
        <v>540</v>
      </c>
      <c r="K189" s="244"/>
      <c r="L189" s="261">
        <v>497</v>
      </c>
      <c r="M189" s="244"/>
      <c r="N189" s="261">
        <v>312</v>
      </c>
      <c r="O189" s="244"/>
      <c r="P189" s="261">
        <v>406</v>
      </c>
      <c r="Q189" s="244"/>
      <c r="R189" s="261">
        <v>344</v>
      </c>
      <c r="S189" s="244"/>
      <c r="T189" s="261">
        <v>311</v>
      </c>
      <c r="U189" s="244"/>
      <c r="V189" s="261">
        <v>293</v>
      </c>
      <c r="W189" s="244"/>
      <c r="X189" s="261">
        <v>174</v>
      </c>
      <c r="Y189" s="244"/>
      <c r="Z189" s="261">
        <v>314</v>
      </c>
      <c r="AA189" s="244"/>
      <c r="AB189" s="261">
        <v>336</v>
      </c>
      <c r="AC189" s="244"/>
    </row>
    <row r="190" spans="1:29" ht="9.9499999999999993" customHeight="1" x14ac:dyDescent="0.15">
      <c r="A190" s="238" t="s">
        <v>39</v>
      </c>
      <c r="B190" s="258" t="s">
        <v>61</v>
      </c>
      <c r="C190" s="258" t="s">
        <v>267</v>
      </c>
      <c r="D190" s="258" t="s">
        <v>462</v>
      </c>
      <c r="E190" s="261" t="s">
        <v>444</v>
      </c>
      <c r="F190" s="261"/>
      <c r="G190" s="262"/>
      <c r="H190" s="261"/>
      <c r="I190" s="262"/>
      <c r="J190" s="261"/>
      <c r="K190" s="262"/>
      <c r="L190" s="261"/>
      <c r="M190" s="265"/>
      <c r="N190" s="261"/>
      <c r="O190" s="262"/>
      <c r="P190" s="261"/>
      <c r="Q190" s="262"/>
      <c r="R190" s="261"/>
      <c r="S190" s="262"/>
      <c r="T190" s="261"/>
      <c r="U190" s="265"/>
      <c r="V190" s="261"/>
      <c r="W190" s="262"/>
      <c r="X190" s="261" t="s">
        <v>195</v>
      </c>
      <c r="Y190" s="262">
        <v>43496</v>
      </c>
      <c r="Z190" s="261" t="s">
        <v>195</v>
      </c>
      <c r="AA190" s="262" t="s">
        <v>474</v>
      </c>
      <c r="AB190" s="261" t="s">
        <v>195</v>
      </c>
      <c r="AC190" s="262">
        <v>43550</v>
      </c>
    </row>
    <row r="191" spans="1:29" ht="9.9499999999999993" customHeight="1" x14ac:dyDescent="0.15">
      <c r="A191" s="238" t="s">
        <v>39</v>
      </c>
      <c r="B191" s="247"/>
      <c r="C191" s="247"/>
      <c r="D191" s="247"/>
      <c r="E191" s="261" t="s">
        <v>443</v>
      </c>
      <c r="F191" s="261"/>
      <c r="G191" s="247"/>
      <c r="H191" s="261"/>
      <c r="I191" s="247"/>
      <c r="J191" s="261"/>
      <c r="K191" s="247"/>
      <c r="L191" s="261"/>
      <c r="M191" s="247"/>
      <c r="N191" s="261"/>
      <c r="O191" s="247"/>
      <c r="P191" s="261"/>
      <c r="Q191" s="247"/>
      <c r="R191" s="261"/>
      <c r="S191" s="247"/>
      <c r="T191" s="261"/>
      <c r="U191" s="247"/>
      <c r="V191" s="261"/>
      <c r="W191" s="247"/>
      <c r="X191" s="261" t="s">
        <v>195</v>
      </c>
      <c r="Y191" s="247"/>
      <c r="Z191" s="261" t="s">
        <v>195</v>
      </c>
      <c r="AA191" s="247"/>
      <c r="AB191" s="261" t="s">
        <v>195</v>
      </c>
      <c r="AC191" s="247"/>
    </row>
    <row r="192" spans="1:29" ht="9.9499999999999993" customHeight="1" x14ac:dyDescent="0.15">
      <c r="A192" s="238" t="s">
        <v>39</v>
      </c>
      <c r="B192" s="247"/>
      <c r="C192" s="247"/>
      <c r="D192" s="244"/>
      <c r="E192" s="261" t="s">
        <v>6</v>
      </c>
      <c r="F192" s="261"/>
      <c r="G192" s="244"/>
      <c r="H192" s="261"/>
      <c r="I192" s="244"/>
      <c r="J192" s="261"/>
      <c r="K192" s="244"/>
      <c r="L192" s="261"/>
      <c r="M192" s="244"/>
      <c r="N192" s="261"/>
      <c r="O192" s="244"/>
      <c r="P192" s="261"/>
      <c r="Q192" s="244"/>
      <c r="R192" s="261"/>
      <c r="S192" s="244"/>
      <c r="T192" s="261"/>
      <c r="U192" s="244"/>
      <c r="V192" s="261"/>
      <c r="W192" s="244"/>
      <c r="X192" s="261" t="s">
        <v>195</v>
      </c>
      <c r="Y192" s="244"/>
      <c r="Z192" s="261" t="s">
        <v>195</v>
      </c>
      <c r="AA192" s="244"/>
      <c r="AB192" s="261" t="s">
        <v>195</v>
      </c>
      <c r="AC192" s="244"/>
    </row>
    <row r="193" spans="1:29" ht="9.9499999999999993" customHeight="1" x14ac:dyDescent="0.15">
      <c r="A193" s="238" t="s">
        <v>39</v>
      </c>
      <c r="B193" s="247"/>
      <c r="C193" s="247"/>
      <c r="D193" s="258" t="s">
        <v>463</v>
      </c>
      <c r="E193" s="261" t="s">
        <v>444</v>
      </c>
      <c r="F193" s="263"/>
      <c r="G193" s="262"/>
      <c r="H193" s="261"/>
      <c r="I193" s="262"/>
      <c r="J193" s="261"/>
      <c r="K193" s="262"/>
      <c r="L193" s="261"/>
      <c r="M193" s="265"/>
      <c r="N193" s="261"/>
      <c r="O193" s="262"/>
      <c r="P193" s="261"/>
      <c r="Q193" s="262"/>
      <c r="R193" s="261"/>
      <c r="S193" s="262"/>
      <c r="T193" s="261"/>
      <c r="U193" s="265"/>
      <c r="V193" s="261"/>
      <c r="W193" s="262"/>
      <c r="X193" s="261" t="s">
        <v>195</v>
      </c>
      <c r="Y193" s="262">
        <v>43493</v>
      </c>
      <c r="Z193" s="261" t="s">
        <v>195</v>
      </c>
      <c r="AA193" s="262">
        <v>43523</v>
      </c>
      <c r="AB193" s="261" t="s">
        <v>195</v>
      </c>
      <c r="AC193" s="262">
        <v>43550</v>
      </c>
    </row>
    <row r="194" spans="1:29" ht="9.9499999999999993" customHeight="1" x14ac:dyDescent="0.15">
      <c r="A194" s="238" t="s">
        <v>39</v>
      </c>
      <c r="B194" s="247"/>
      <c r="C194" s="247"/>
      <c r="D194" s="247"/>
      <c r="E194" s="261" t="s">
        <v>443</v>
      </c>
      <c r="F194" s="261"/>
      <c r="G194" s="247"/>
      <c r="H194" s="263"/>
      <c r="I194" s="247"/>
      <c r="J194" s="263"/>
      <c r="K194" s="247"/>
      <c r="L194" s="263"/>
      <c r="M194" s="247"/>
      <c r="N194" s="263"/>
      <c r="O194" s="247"/>
      <c r="P194" s="263"/>
      <c r="Q194" s="247"/>
      <c r="R194" s="263"/>
      <c r="S194" s="247"/>
      <c r="T194" s="263"/>
      <c r="U194" s="247"/>
      <c r="V194" s="261"/>
      <c r="W194" s="247"/>
      <c r="X194" s="263" t="s">
        <v>195</v>
      </c>
      <c r="Y194" s="247"/>
      <c r="Z194" s="263" t="s">
        <v>195</v>
      </c>
      <c r="AA194" s="247"/>
      <c r="AB194" s="263" t="s">
        <v>195</v>
      </c>
      <c r="AC194" s="247"/>
    </row>
    <row r="195" spans="1:29" ht="9.9499999999999993" customHeight="1" x14ac:dyDescent="0.15">
      <c r="A195" s="238" t="s">
        <v>39</v>
      </c>
      <c r="B195" s="247"/>
      <c r="C195" s="244"/>
      <c r="D195" s="244"/>
      <c r="E195" s="261" t="s">
        <v>6</v>
      </c>
      <c r="F195" s="263"/>
      <c r="G195" s="244"/>
      <c r="H195" s="263"/>
      <c r="I195" s="244"/>
      <c r="J195" s="263"/>
      <c r="K195" s="244"/>
      <c r="L195" s="263"/>
      <c r="M195" s="244"/>
      <c r="N195" s="263"/>
      <c r="O195" s="244"/>
      <c r="P195" s="263"/>
      <c r="Q195" s="244"/>
      <c r="R195" s="263"/>
      <c r="S195" s="244"/>
      <c r="T195" s="263"/>
      <c r="U195" s="244"/>
      <c r="V195" s="261"/>
      <c r="W195" s="244"/>
      <c r="X195" s="263" t="s">
        <v>195</v>
      </c>
      <c r="Y195" s="244"/>
      <c r="Z195" s="263" t="s">
        <v>195</v>
      </c>
      <c r="AA195" s="244"/>
      <c r="AB195" s="263" t="s">
        <v>195</v>
      </c>
      <c r="AC195" s="244"/>
    </row>
    <row r="196" spans="1:29" ht="9.9499999999999993" customHeight="1" x14ac:dyDescent="0.15">
      <c r="A196" s="238" t="s">
        <v>39</v>
      </c>
      <c r="B196" s="247"/>
      <c r="C196" s="268" t="s">
        <v>62</v>
      </c>
      <c r="D196" s="258" t="s">
        <v>462</v>
      </c>
      <c r="E196" s="261" t="s">
        <v>444</v>
      </c>
      <c r="F196" s="261"/>
      <c r="G196" s="262"/>
      <c r="H196" s="261"/>
      <c r="I196" s="262"/>
      <c r="J196" s="261"/>
      <c r="K196" s="262"/>
      <c r="L196" s="261"/>
      <c r="M196" s="265"/>
      <c r="N196" s="261"/>
      <c r="O196" s="262"/>
      <c r="P196" s="261"/>
      <c r="Q196" s="262"/>
      <c r="R196" s="261"/>
      <c r="S196" s="262"/>
      <c r="T196" s="261"/>
      <c r="U196" s="265"/>
      <c r="V196" s="261"/>
      <c r="W196" s="262"/>
      <c r="X196" s="261" t="s">
        <v>195</v>
      </c>
      <c r="Y196" s="262">
        <v>43496</v>
      </c>
      <c r="Z196" s="261">
        <v>5.2</v>
      </c>
      <c r="AA196" s="262" t="s">
        <v>474</v>
      </c>
      <c r="AB196" s="261">
        <v>7.2</v>
      </c>
      <c r="AC196" s="262">
        <v>43550</v>
      </c>
    </row>
    <row r="197" spans="1:29" ht="9.9499999999999993" customHeight="1" x14ac:dyDescent="0.15">
      <c r="A197" s="238" t="s">
        <v>39</v>
      </c>
      <c r="B197" s="247"/>
      <c r="C197" s="247"/>
      <c r="D197" s="247"/>
      <c r="E197" s="261" t="s">
        <v>443</v>
      </c>
      <c r="F197" s="261"/>
      <c r="G197" s="247"/>
      <c r="H197" s="263"/>
      <c r="I197" s="247"/>
      <c r="J197" s="263"/>
      <c r="K197" s="247"/>
      <c r="L197" s="263"/>
      <c r="M197" s="247"/>
      <c r="N197" s="263"/>
      <c r="O197" s="247"/>
      <c r="P197" s="263"/>
      <c r="Q197" s="247"/>
      <c r="R197" s="263"/>
      <c r="S197" s="247"/>
      <c r="T197" s="263"/>
      <c r="U197" s="247"/>
      <c r="V197" s="263"/>
      <c r="W197" s="247"/>
      <c r="X197" s="263">
        <v>4.5999999999999996</v>
      </c>
      <c r="Y197" s="247"/>
      <c r="Z197" s="263">
        <v>25</v>
      </c>
      <c r="AA197" s="247"/>
      <c r="AB197" s="263">
        <v>34</v>
      </c>
      <c r="AC197" s="247"/>
    </row>
    <row r="198" spans="1:29" ht="9.9499999999999993" customHeight="1" x14ac:dyDescent="0.15">
      <c r="A198" s="238" t="s">
        <v>39</v>
      </c>
      <c r="B198" s="247"/>
      <c r="C198" s="247"/>
      <c r="D198" s="244"/>
      <c r="E198" s="261" t="s">
        <v>6</v>
      </c>
      <c r="F198" s="261"/>
      <c r="G198" s="244"/>
      <c r="H198" s="263"/>
      <c r="I198" s="244"/>
      <c r="J198" s="264"/>
      <c r="K198" s="244"/>
      <c r="L198" s="263"/>
      <c r="M198" s="244"/>
      <c r="N198" s="263"/>
      <c r="O198" s="244"/>
      <c r="P198" s="263"/>
      <c r="Q198" s="244"/>
      <c r="R198" s="263"/>
      <c r="S198" s="244"/>
      <c r="T198" s="263"/>
      <c r="U198" s="244"/>
      <c r="V198" s="263"/>
      <c r="W198" s="244"/>
      <c r="X198" s="263">
        <v>4.5999999999999996</v>
      </c>
      <c r="Y198" s="244"/>
      <c r="Z198" s="263">
        <v>30.2</v>
      </c>
      <c r="AA198" s="244"/>
      <c r="AB198" s="263">
        <v>41.2</v>
      </c>
      <c r="AC198" s="244"/>
    </row>
    <row r="199" spans="1:29" ht="9.9499999999999993" customHeight="1" x14ac:dyDescent="0.15">
      <c r="A199" s="238" t="s">
        <v>39</v>
      </c>
      <c r="B199" s="247"/>
      <c r="C199" s="247"/>
      <c r="D199" s="258" t="s">
        <v>463</v>
      </c>
      <c r="E199" s="261" t="s">
        <v>444</v>
      </c>
      <c r="F199" s="261"/>
      <c r="G199" s="262"/>
      <c r="H199" s="261"/>
      <c r="I199" s="262"/>
      <c r="J199" s="261"/>
      <c r="K199" s="262"/>
      <c r="L199" s="261"/>
      <c r="M199" s="265"/>
      <c r="N199" s="261"/>
      <c r="O199" s="262"/>
      <c r="P199" s="261"/>
      <c r="Q199" s="262"/>
      <c r="R199" s="261"/>
      <c r="S199" s="262"/>
      <c r="T199" s="261"/>
      <c r="U199" s="265"/>
      <c r="V199" s="261"/>
      <c r="W199" s="262"/>
      <c r="X199" s="261">
        <v>2</v>
      </c>
      <c r="Y199" s="262">
        <v>43493</v>
      </c>
      <c r="Z199" s="261">
        <v>2.6</v>
      </c>
      <c r="AA199" s="262">
        <v>43523</v>
      </c>
      <c r="AB199" s="261">
        <v>6.6</v>
      </c>
      <c r="AC199" s="262">
        <v>43550</v>
      </c>
    </row>
    <row r="200" spans="1:29" ht="9.9499999999999993" customHeight="1" x14ac:dyDescent="0.15">
      <c r="A200" s="238" t="s">
        <v>39</v>
      </c>
      <c r="B200" s="247"/>
      <c r="C200" s="247"/>
      <c r="D200" s="247"/>
      <c r="E200" s="261" t="s">
        <v>443</v>
      </c>
      <c r="F200" s="261"/>
      <c r="G200" s="247"/>
      <c r="H200" s="261"/>
      <c r="I200" s="247"/>
      <c r="J200" s="261"/>
      <c r="K200" s="247"/>
      <c r="L200" s="261"/>
      <c r="M200" s="247"/>
      <c r="N200" s="261"/>
      <c r="O200" s="247"/>
      <c r="P200" s="261"/>
      <c r="Q200" s="247"/>
      <c r="R200" s="261"/>
      <c r="S200" s="247"/>
      <c r="T200" s="261"/>
      <c r="U200" s="247"/>
      <c r="V200" s="261"/>
      <c r="W200" s="247"/>
      <c r="X200" s="261">
        <v>8</v>
      </c>
      <c r="Y200" s="247"/>
      <c r="Z200" s="261">
        <v>16</v>
      </c>
      <c r="AA200" s="247"/>
      <c r="AB200" s="261">
        <v>3</v>
      </c>
      <c r="AC200" s="247"/>
    </row>
    <row r="201" spans="1:29" ht="9.9499999999999993" customHeight="1" x14ac:dyDescent="0.15">
      <c r="A201" s="238" t="s">
        <v>39</v>
      </c>
      <c r="B201" s="247"/>
      <c r="C201" s="244"/>
      <c r="D201" s="244"/>
      <c r="E201" s="261" t="s">
        <v>6</v>
      </c>
      <c r="F201" s="261"/>
      <c r="G201" s="244"/>
      <c r="H201" s="261"/>
      <c r="I201" s="244"/>
      <c r="J201" s="261"/>
      <c r="K201" s="244"/>
      <c r="L201" s="261"/>
      <c r="M201" s="244"/>
      <c r="N201" s="261"/>
      <c r="O201" s="244"/>
      <c r="P201" s="261"/>
      <c r="Q201" s="244"/>
      <c r="R201" s="261"/>
      <c r="S201" s="244"/>
      <c r="T201" s="261"/>
      <c r="U201" s="244"/>
      <c r="V201" s="261"/>
      <c r="W201" s="244"/>
      <c r="X201" s="261">
        <v>10</v>
      </c>
      <c r="Y201" s="244"/>
      <c r="Z201" s="261">
        <v>18.600000000000001</v>
      </c>
      <c r="AA201" s="244"/>
      <c r="AB201" s="261">
        <v>9.6</v>
      </c>
      <c r="AC201" s="244"/>
    </row>
    <row r="202" spans="1:29" ht="9.9499999999999993" customHeight="1" x14ac:dyDescent="0.15">
      <c r="A202" s="238" t="s">
        <v>39</v>
      </c>
      <c r="B202" s="247"/>
      <c r="C202" s="259" t="s">
        <v>80</v>
      </c>
      <c r="D202" s="242"/>
      <c r="E202" s="261" t="s">
        <v>444</v>
      </c>
      <c r="F202" s="261"/>
      <c r="G202" s="262"/>
      <c r="H202" s="261"/>
      <c r="I202" s="262"/>
      <c r="J202" s="261"/>
      <c r="K202" s="262"/>
      <c r="L202" s="261"/>
      <c r="M202" s="265"/>
      <c r="N202" s="261"/>
      <c r="O202" s="262"/>
      <c r="P202" s="261"/>
      <c r="Q202" s="262"/>
      <c r="R202" s="261"/>
      <c r="S202" s="262"/>
      <c r="T202" s="261"/>
      <c r="U202" s="265"/>
      <c r="V202" s="261"/>
      <c r="W202" s="262"/>
      <c r="X202" s="261">
        <v>10</v>
      </c>
      <c r="Y202" s="262">
        <v>43496</v>
      </c>
      <c r="Z202" s="261">
        <v>35</v>
      </c>
      <c r="AA202" s="262" t="s">
        <v>474</v>
      </c>
      <c r="AB202" s="261">
        <v>62</v>
      </c>
      <c r="AC202" s="262">
        <v>43550</v>
      </c>
    </row>
    <row r="203" spans="1:29" ht="9.9499999999999993" customHeight="1" x14ac:dyDescent="0.15">
      <c r="A203" s="238" t="s">
        <v>39</v>
      </c>
      <c r="B203" s="247"/>
      <c r="C203" s="248"/>
      <c r="D203" s="249"/>
      <c r="E203" s="261" t="s">
        <v>443</v>
      </c>
      <c r="F203" s="263"/>
      <c r="G203" s="247"/>
      <c r="H203" s="261"/>
      <c r="I203" s="247"/>
      <c r="J203" s="261"/>
      <c r="K203" s="247"/>
      <c r="L203" s="261"/>
      <c r="M203" s="247"/>
      <c r="N203" s="261"/>
      <c r="O203" s="247"/>
      <c r="P203" s="261"/>
      <c r="Q203" s="247"/>
      <c r="R203" s="261"/>
      <c r="S203" s="247"/>
      <c r="T203" s="261"/>
      <c r="U203" s="247"/>
      <c r="V203" s="261"/>
      <c r="W203" s="247"/>
      <c r="X203" s="261">
        <v>53</v>
      </c>
      <c r="Y203" s="247"/>
      <c r="Z203" s="261">
        <v>170</v>
      </c>
      <c r="AA203" s="247"/>
      <c r="AB203" s="261">
        <v>300</v>
      </c>
      <c r="AC203" s="247"/>
    </row>
    <row r="204" spans="1:29" ht="9.9499999999999993" customHeight="1" x14ac:dyDescent="0.15">
      <c r="A204" s="238" t="s">
        <v>39</v>
      </c>
      <c r="B204" s="244"/>
      <c r="C204" s="245"/>
      <c r="D204" s="246"/>
      <c r="E204" s="261" t="s">
        <v>6</v>
      </c>
      <c r="F204" s="266"/>
      <c r="G204" s="244"/>
      <c r="H204" s="261"/>
      <c r="I204" s="244"/>
      <c r="J204" s="261"/>
      <c r="K204" s="244"/>
      <c r="L204" s="261"/>
      <c r="M204" s="244"/>
      <c r="N204" s="261"/>
      <c r="O204" s="244"/>
      <c r="P204" s="261"/>
      <c r="Q204" s="244"/>
      <c r="R204" s="261"/>
      <c r="S204" s="244"/>
      <c r="T204" s="261"/>
      <c r="U204" s="244"/>
      <c r="V204" s="261"/>
      <c r="W204" s="244"/>
      <c r="X204" s="261">
        <v>63</v>
      </c>
      <c r="Y204" s="244"/>
      <c r="Z204" s="261">
        <v>205</v>
      </c>
      <c r="AA204" s="244"/>
      <c r="AB204" s="261">
        <v>362</v>
      </c>
      <c r="AC204" s="244"/>
    </row>
    <row r="205" spans="1:29" ht="9.9499999999999993" customHeight="1" x14ac:dyDescent="0.15">
      <c r="A205" s="238" t="s">
        <v>39</v>
      </c>
      <c r="B205" s="258" t="s">
        <v>56</v>
      </c>
      <c r="C205" s="259" t="s">
        <v>267</v>
      </c>
      <c r="D205" s="242"/>
      <c r="E205" s="261" t="s">
        <v>444</v>
      </c>
      <c r="F205" s="261" t="s">
        <v>195</v>
      </c>
      <c r="G205" s="262">
        <v>43572</v>
      </c>
      <c r="H205" s="261" t="s">
        <v>195</v>
      </c>
      <c r="I205" s="262">
        <v>43597</v>
      </c>
      <c r="J205" s="261" t="s">
        <v>195</v>
      </c>
      <c r="K205" s="262">
        <v>43632</v>
      </c>
      <c r="L205" s="261" t="s">
        <v>195</v>
      </c>
      <c r="M205" s="265">
        <v>43654</v>
      </c>
      <c r="N205" s="261" t="s">
        <v>195</v>
      </c>
      <c r="O205" s="262">
        <v>43697</v>
      </c>
      <c r="P205" s="261" t="s">
        <v>195</v>
      </c>
      <c r="Q205" s="262">
        <v>43725</v>
      </c>
      <c r="R205" s="261" t="s">
        <v>195</v>
      </c>
      <c r="S205" s="262">
        <v>43752</v>
      </c>
      <c r="T205" s="261" t="s">
        <v>195</v>
      </c>
      <c r="U205" s="265" t="s">
        <v>63</v>
      </c>
      <c r="V205" s="261" t="s">
        <v>195</v>
      </c>
      <c r="W205" s="262">
        <v>43808</v>
      </c>
      <c r="X205" s="261" t="s">
        <v>195</v>
      </c>
      <c r="Y205" s="262">
        <v>43486</v>
      </c>
      <c r="Z205" s="261" t="s">
        <v>195</v>
      </c>
      <c r="AA205" s="262">
        <v>43513</v>
      </c>
      <c r="AB205" s="261" t="s">
        <v>195</v>
      </c>
      <c r="AC205" s="262">
        <v>43549</v>
      </c>
    </row>
    <row r="206" spans="1:29" ht="9.9499999999999993" customHeight="1" x14ac:dyDescent="0.15">
      <c r="A206" s="238" t="s">
        <v>39</v>
      </c>
      <c r="B206" s="247"/>
      <c r="C206" s="248"/>
      <c r="D206" s="249"/>
      <c r="E206" s="261" t="s">
        <v>443</v>
      </c>
      <c r="F206" s="261" t="s">
        <v>195</v>
      </c>
      <c r="G206" s="247"/>
      <c r="H206" s="263" t="s">
        <v>195</v>
      </c>
      <c r="I206" s="247"/>
      <c r="J206" s="263" t="s">
        <v>195</v>
      </c>
      <c r="K206" s="247"/>
      <c r="L206" s="263" t="s">
        <v>195</v>
      </c>
      <c r="M206" s="247"/>
      <c r="N206" s="263" t="s">
        <v>195</v>
      </c>
      <c r="O206" s="247"/>
      <c r="P206" s="263" t="s">
        <v>195</v>
      </c>
      <c r="Q206" s="247"/>
      <c r="R206" s="263" t="s">
        <v>195</v>
      </c>
      <c r="S206" s="247"/>
      <c r="T206" s="261" t="s">
        <v>195</v>
      </c>
      <c r="U206" s="247"/>
      <c r="V206" s="263" t="s">
        <v>195</v>
      </c>
      <c r="W206" s="247"/>
      <c r="X206" s="263" t="s">
        <v>195</v>
      </c>
      <c r="Y206" s="247"/>
      <c r="Z206" s="263" t="s">
        <v>195</v>
      </c>
      <c r="AA206" s="247"/>
      <c r="AB206" s="263" t="s">
        <v>195</v>
      </c>
      <c r="AC206" s="247"/>
    </row>
    <row r="207" spans="1:29" ht="9.9499999999999993" customHeight="1" x14ac:dyDescent="0.15">
      <c r="A207" s="238" t="s">
        <v>39</v>
      </c>
      <c r="B207" s="247"/>
      <c r="C207" s="245"/>
      <c r="D207" s="246"/>
      <c r="E207" s="261" t="s">
        <v>6</v>
      </c>
      <c r="F207" s="261" t="s">
        <v>195</v>
      </c>
      <c r="G207" s="244"/>
      <c r="H207" s="263" t="s">
        <v>195</v>
      </c>
      <c r="I207" s="244"/>
      <c r="J207" s="263" t="s">
        <v>195</v>
      </c>
      <c r="K207" s="244"/>
      <c r="L207" s="263" t="s">
        <v>195</v>
      </c>
      <c r="M207" s="244"/>
      <c r="N207" s="263" t="s">
        <v>195</v>
      </c>
      <c r="O207" s="244"/>
      <c r="P207" s="263" t="s">
        <v>195</v>
      </c>
      <c r="Q207" s="244"/>
      <c r="R207" s="263" t="s">
        <v>195</v>
      </c>
      <c r="S207" s="244"/>
      <c r="T207" s="263" t="s">
        <v>195</v>
      </c>
      <c r="U207" s="244"/>
      <c r="V207" s="263" t="s">
        <v>195</v>
      </c>
      <c r="W207" s="244"/>
      <c r="X207" s="263" t="s">
        <v>195</v>
      </c>
      <c r="Y207" s="244"/>
      <c r="Z207" s="263" t="s">
        <v>195</v>
      </c>
      <c r="AA207" s="244"/>
      <c r="AB207" s="263" t="s">
        <v>195</v>
      </c>
      <c r="AC207" s="244"/>
    </row>
    <row r="208" spans="1:29" ht="9.9499999999999993" customHeight="1" x14ac:dyDescent="0.15">
      <c r="A208" s="238" t="s">
        <v>39</v>
      </c>
      <c r="B208" s="247"/>
      <c r="C208" s="259" t="s">
        <v>81</v>
      </c>
      <c r="D208" s="242"/>
      <c r="E208" s="261" t="s">
        <v>444</v>
      </c>
      <c r="F208" s="261">
        <v>86</v>
      </c>
      <c r="G208" s="262">
        <v>43572</v>
      </c>
      <c r="H208" s="261">
        <v>87</v>
      </c>
      <c r="I208" s="262">
        <v>43597</v>
      </c>
      <c r="J208" s="261">
        <v>80</v>
      </c>
      <c r="K208" s="262">
        <v>43632</v>
      </c>
      <c r="L208" s="261">
        <v>62</v>
      </c>
      <c r="M208" s="265">
        <v>43654</v>
      </c>
      <c r="N208" s="261">
        <v>78</v>
      </c>
      <c r="O208" s="262">
        <v>43697</v>
      </c>
      <c r="P208" s="261">
        <v>59</v>
      </c>
      <c r="Q208" s="262">
        <v>43725</v>
      </c>
      <c r="R208" s="261">
        <v>58</v>
      </c>
      <c r="S208" s="262">
        <v>43752</v>
      </c>
      <c r="T208" s="261">
        <v>32</v>
      </c>
      <c r="U208" s="265" t="s">
        <v>63</v>
      </c>
      <c r="V208" s="261">
        <v>40</v>
      </c>
      <c r="W208" s="262">
        <v>43808</v>
      </c>
      <c r="X208" s="261">
        <v>46</v>
      </c>
      <c r="Y208" s="262">
        <v>43486</v>
      </c>
      <c r="Z208" s="261">
        <v>40</v>
      </c>
      <c r="AA208" s="262">
        <v>43513</v>
      </c>
      <c r="AB208" s="261">
        <v>51</v>
      </c>
      <c r="AC208" s="262">
        <v>43549</v>
      </c>
    </row>
    <row r="209" spans="1:29" ht="9.9499999999999993" customHeight="1" x14ac:dyDescent="0.15">
      <c r="A209" s="238" t="s">
        <v>39</v>
      </c>
      <c r="B209" s="247"/>
      <c r="C209" s="248"/>
      <c r="D209" s="249"/>
      <c r="E209" s="261" t="s">
        <v>443</v>
      </c>
      <c r="F209" s="261">
        <v>300</v>
      </c>
      <c r="G209" s="247"/>
      <c r="H209" s="263">
        <v>320</v>
      </c>
      <c r="I209" s="247"/>
      <c r="J209" s="263">
        <v>310</v>
      </c>
      <c r="K209" s="247"/>
      <c r="L209" s="263">
        <v>250</v>
      </c>
      <c r="M209" s="247"/>
      <c r="N209" s="263">
        <v>310</v>
      </c>
      <c r="O209" s="247"/>
      <c r="P209" s="263">
        <v>240</v>
      </c>
      <c r="Q209" s="247"/>
      <c r="R209" s="263">
        <v>260</v>
      </c>
      <c r="S209" s="247"/>
      <c r="T209" s="261">
        <v>150</v>
      </c>
      <c r="U209" s="247"/>
      <c r="V209" s="263">
        <v>200</v>
      </c>
      <c r="W209" s="247"/>
      <c r="X209" s="263">
        <v>210</v>
      </c>
      <c r="Y209" s="247"/>
      <c r="Z209" s="263">
        <v>200</v>
      </c>
      <c r="AA209" s="247"/>
      <c r="AB209" s="263">
        <v>260</v>
      </c>
      <c r="AC209" s="247"/>
    </row>
    <row r="210" spans="1:29" ht="9.9499999999999993" customHeight="1" x14ac:dyDescent="0.15">
      <c r="A210" s="238" t="s">
        <v>39</v>
      </c>
      <c r="B210" s="247"/>
      <c r="C210" s="245"/>
      <c r="D210" s="246"/>
      <c r="E210" s="261" t="s">
        <v>6</v>
      </c>
      <c r="F210" s="261">
        <v>386</v>
      </c>
      <c r="G210" s="244"/>
      <c r="H210" s="263">
        <v>407</v>
      </c>
      <c r="I210" s="244"/>
      <c r="J210" s="263">
        <v>390</v>
      </c>
      <c r="K210" s="244"/>
      <c r="L210" s="263">
        <v>312</v>
      </c>
      <c r="M210" s="244"/>
      <c r="N210" s="263">
        <v>388</v>
      </c>
      <c r="O210" s="244"/>
      <c r="P210" s="263">
        <v>299</v>
      </c>
      <c r="Q210" s="244"/>
      <c r="R210" s="263">
        <v>318</v>
      </c>
      <c r="S210" s="244"/>
      <c r="T210" s="263">
        <v>182</v>
      </c>
      <c r="U210" s="244"/>
      <c r="V210" s="263">
        <v>240</v>
      </c>
      <c r="W210" s="244"/>
      <c r="X210" s="263">
        <v>256</v>
      </c>
      <c r="Y210" s="244"/>
      <c r="Z210" s="263">
        <v>240</v>
      </c>
      <c r="AA210" s="244"/>
      <c r="AB210" s="263">
        <v>311</v>
      </c>
      <c r="AC210" s="244"/>
    </row>
    <row r="211" spans="1:29" ht="9.9499999999999993" customHeight="1" x14ac:dyDescent="0.15">
      <c r="A211" s="238" t="s">
        <v>39</v>
      </c>
      <c r="B211" s="247"/>
      <c r="C211" s="259" t="s">
        <v>53</v>
      </c>
      <c r="D211" s="242"/>
      <c r="E211" s="261" t="s">
        <v>444</v>
      </c>
      <c r="F211" s="261" t="s">
        <v>195</v>
      </c>
      <c r="G211" s="262">
        <v>43572</v>
      </c>
      <c r="H211" s="261" t="s">
        <v>195</v>
      </c>
      <c r="I211" s="262">
        <v>43597</v>
      </c>
      <c r="J211" s="261" t="s">
        <v>195</v>
      </c>
      <c r="K211" s="262">
        <v>43632</v>
      </c>
      <c r="L211" s="261" t="s">
        <v>195</v>
      </c>
      <c r="M211" s="265">
        <v>43654</v>
      </c>
      <c r="N211" s="261" t="s">
        <v>195</v>
      </c>
      <c r="O211" s="262">
        <v>43697</v>
      </c>
      <c r="P211" s="261" t="s">
        <v>195</v>
      </c>
      <c r="Q211" s="262">
        <v>43725</v>
      </c>
      <c r="R211" s="261" t="s">
        <v>195</v>
      </c>
      <c r="S211" s="262">
        <v>43752</v>
      </c>
      <c r="T211" s="261" t="s">
        <v>195</v>
      </c>
      <c r="U211" s="265">
        <v>43780</v>
      </c>
      <c r="V211" s="261" t="s">
        <v>195</v>
      </c>
      <c r="W211" s="262">
        <v>43808</v>
      </c>
      <c r="X211" s="261" t="s">
        <v>195</v>
      </c>
      <c r="Y211" s="262">
        <v>43486</v>
      </c>
      <c r="Z211" s="261" t="s">
        <v>195</v>
      </c>
      <c r="AA211" s="262">
        <v>43513</v>
      </c>
      <c r="AB211" s="261" t="s">
        <v>195</v>
      </c>
      <c r="AC211" s="262">
        <v>43549</v>
      </c>
    </row>
    <row r="212" spans="1:29" ht="9.9499999999999993" customHeight="1" x14ac:dyDescent="0.15">
      <c r="A212" s="238" t="s">
        <v>39</v>
      </c>
      <c r="B212" s="247"/>
      <c r="C212" s="248"/>
      <c r="D212" s="249"/>
      <c r="E212" s="261" t="s">
        <v>443</v>
      </c>
      <c r="F212" s="261" t="s">
        <v>195</v>
      </c>
      <c r="G212" s="247"/>
      <c r="H212" s="263" t="s">
        <v>195</v>
      </c>
      <c r="I212" s="247"/>
      <c r="J212" s="263" t="s">
        <v>195</v>
      </c>
      <c r="K212" s="247"/>
      <c r="L212" s="263" t="s">
        <v>195</v>
      </c>
      <c r="M212" s="247"/>
      <c r="N212" s="263" t="s">
        <v>195</v>
      </c>
      <c r="O212" s="247"/>
      <c r="P212" s="263" t="s">
        <v>195</v>
      </c>
      <c r="Q212" s="247"/>
      <c r="R212" s="263" t="s">
        <v>195</v>
      </c>
      <c r="S212" s="247"/>
      <c r="T212" s="263" t="s">
        <v>195</v>
      </c>
      <c r="U212" s="247"/>
      <c r="V212" s="263" t="s">
        <v>195</v>
      </c>
      <c r="W212" s="247"/>
      <c r="X212" s="263" t="s">
        <v>195</v>
      </c>
      <c r="Y212" s="247"/>
      <c r="Z212" s="263" t="s">
        <v>195</v>
      </c>
      <c r="AA212" s="247"/>
      <c r="AB212" s="263" t="s">
        <v>195</v>
      </c>
      <c r="AC212" s="247"/>
    </row>
    <row r="213" spans="1:29" ht="9.9499999999999993" customHeight="1" x14ac:dyDescent="0.15">
      <c r="A213" s="238" t="s">
        <v>39</v>
      </c>
      <c r="B213" s="244"/>
      <c r="C213" s="245"/>
      <c r="D213" s="246"/>
      <c r="E213" s="261" t="s">
        <v>6</v>
      </c>
      <c r="F213" s="261" t="s">
        <v>195</v>
      </c>
      <c r="G213" s="244"/>
      <c r="H213" s="263" t="s">
        <v>195</v>
      </c>
      <c r="I213" s="244"/>
      <c r="J213" s="264" t="s">
        <v>195</v>
      </c>
      <c r="K213" s="244"/>
      <c r="L213" s="263" t="s">
        <v>195</v>
      </c>
      <c r="M213" s="244"/>
      <c r="N213" s="263" t="s">
        <v>195</v>
      </c>
      <c r="O213" s="244"/>
      <c r="P213" s="263" t="s">
        <v>195</v>
      </c>
      <c r="Q213" s="244"/>
      <c r="R213" s="263" t="s">
        <v>195</v>
      </c>
      <c r="S213" s="244"/>
      <c r="T213" s="263" t="s">
        <v>195</v>
      </c>
      <c r="U213" s="244"/>
      <c r="V213" s="263" t="s">
        <v>195</v>
      </c>
      <c r="W213" s="244"/>
      <c r="X213" s="263" t="s">
        <v>195</v>
      </c>
      <c r="Y213" s="244"/>
      <c r="Z213" s="263" t="s">
        <v>195</v>
      </c>
      <c r="AA213" s="244"/>
      <c r="AB213" s="263" t="s">
        <v>195</v>
      </c>
      <c r="AC213" s="244"/>
    </row>
    <row r="214" spans="1:29" ht="9.9499999999999993" customHeight="1" x14ac:dyDescent="0.15">
      <c r="A214" s="238" t="s">
        <v>39</v>
      </c>
      <c r="B214" s="258" t="s">
        <v>455</v>
      </c>
      <c r="C214" s="259" t="s">
        <v>268</v>
      </c>
      <c r="D214" s="242"/>
      <c r="E214" s="261" t="s">
        <v>444</v>
      </c>
      <c r="F214" s="261" t="s">
        <v>195</v>
      </c>
      <c r="G214" s="262">
        <v>43572</v>
      </c>
      <c r="H214" s="261" t="s">
        <v>195</v>
      </c>
      <c r="I214" s="262">
        <v>43597</v>
      </c>
      <c r="J214" s="261" t="s">
        <v>195</v>
      </c>
      <c r="K214" s="262">
        <v>43632</v>
      </c>
      <c r="L214" s="261" t="s">
        <v>195</v>
      </c>
      <c r="M214" s="265">
        <v>43654</v>
      </c>
      <c r="N214" s="261" t="s">
        <v>195</v>
      </c>
      <c r="O214" s="262">
        <v>43697</v>
      </c>
      <c r="P214" s="261" t="s">
        <v>195</v>
      </c>
      <c r="Q214" s="262">
        <v>43724</v>
      </c>
      <c r="R214" s="261" t="s">
        <v>195</v>
      </c>
      <c r="S214" s="262">
        <v>43751</v>
      </c>
      <c r="T214" s="261" t="s">
        <v>195</v>
      </c>
      <c r="U214" s="265" t="s">
        <v>494</v>
      </c>
      <c r="V214" s="261" t="s">
        <v>195</v>
      </c>
      <c r="W214" s="262">
        <v>43808</v>
      </c>
      <c r="X214" s="261" t="s">
        <v>195</v>
      </c>
      <c r="Y214" s="262">
        <v>43484</v>
      </c>
      <c r="Z214" s="261" t="s">
        <v>195</v>
      </c>
      <c r="AA214" s="262">
        <v>43513</v>
      </c>
      <c r="AB214" s="261" t="s">
        <v>195</v>
      </c>
      <c r="AC214" s="262">
        <v>43526</v>
      </c>
    </row>
    <row r="215" spans="1:29" ht="9.9499999999999993" customHeight="1" x14ac:dyDescent="0.15">
      <c r="A215" s="238" t="s">
        <v>39</v>
      </c>
      <c r="B215" s="247"/>
      <c r="C215" s="248"/>
      <c r="D215" s="249"/>
      <c r="E215" s="261" t="s">
        <v>443</v>
      </c>
      <c r="F215" s="261" t="s">
        <v>195</v>
      </c>
      <c r="G215" s="247"/>
      <c r="H215" s="261" t="s">
        <v>195</v>
      </c>
      <c r="I215" s="247"/>
      <c r="J215" s="261" t="s">
        <v>195</v>
      </c>
      <c r="K215" s="247"/>
      <c r="L215" s="261" t="s">
        <v>195</v>
      </c>
      <c r="M215" s="247"/>
      <c r="N215" s="261" t="s">
        <v>195</v>
      </c>
      <c r="O215" s="247"/>
      <c r="P215" s="261" t="s">
        <v>195</v>
      </c>
      <c r="Q215" s="247"/>
      <c r="R215" s="261" t="s">
        <v>195</v>
      </c>
      <c r="S215" s="247"/>
      <c r="T215" s="261" t="s">
        <v>195</v>
      </c>
      <c r="U215" s="247"/>
      <c r="V215" s="261" t="s">
        <v>195</v>
      </c>
      <c r="W215" s="247"/>
      <c r="X215" s="261" t="s">
        <v>195</v>
      </c>
      <c r="Y215" s="247"/>
      <c r="Z215" s="261" t="s">
        <v>195</v>
      </c>
      <c r="AA215" s="247"/>
      <c r="AB215" s="261" t="s">
        <v>195</v>
      </c>
      <c r="AC215" s="247"/>
    </row>
    <row r="216" spans="1:29" ht="9.9499999999999993" customHeight="1" x14ac:dyDescent="0.15">
      <c r="A216" s="238" t="s">
        <v>39</v>
      </c>
      <c r="B216" s="247"/>
      <c r="C216" s="245"/>
      <c r="D216" s="246"/>
      <c r="E216" s="261" t="s">
        <v>6</v>
      </c>
      <c r="F216" s="261" t="s">
        <v>195</v>
      </c>
      <c r="G216" s="244"/>
      <c r="H216" s="261" t="s">
        <v>195</v>
      </c>
      <c r="I216" s="244"/>
      <c r="J216" s="261" t="s">
        <v>195</v>
      </c>
      <c r="K216" s="244"/>
      <c r="L216" s="261" t="s">
        <v>195</v>
      </c>
      <c r="M216" s="244"/>
      <c r="N216" s="261" t="s">
        <v>195</v>
      </c>
      <c r="O216" s="244"/>
      <c r="P216" s="261" t="s">
        <v>195</v>
      </c>
      <c r="Q216" s="244"/>
      <c r="R216" s="261" t="s">
        <v>195</v>
      </c>
      <c r="S216" s="244"/>
      <c r="T216" s="261" t="s">
        <v>195</v>
      </c>
      <c r="U216" s="244"/>
      <c r="V216" s="261" t="s">
        <v>195</v>
      </c>
      <c r="W216" s="244"/>
      <c r="X216" s="261" t="s">
        <v>195</v>
      </c>
      <c r="Y216" s="244"/>
      <c r="Z216" s="261" t="s">
        <v>195</v>
      </c>
      <c r="AA216" s="244"/>
      <c r="AB216" s="261" t="s">
        <v>195</v>
      </c>
      <c r="AC216" s="244"/>
    </row>
    <row r="217" spans="1:29" ht="9.9499999999999993" customHeight="1" x14ac:dyDescent="0.15">
      <c r="A217" s="238" t="s">
        <v>39</v>
      </c>
      <c r="B217" s="247"/>
      <c r="C217" s="259" t="s">
        <v>53</v>
      </c>
      <c r="D217" s="242"/>
      <c r="E217" s="261" t="s">
        <v>444</v>
      </c>
      <c r="F217" s="261">
        <v>2</v>
      </c>
      <c r="G217" s="262">
        <v>43572</v>
      </c>
      <c r="H217" s="261">
        <v>1.5</v>
      </c>
      <c r="I217" s="262">
        <v>43597</v>
      </c>
      <c r="J217" s="261">
        <v>1.8</v>
      </c>
      <c r="K217" s="262">
        <v>43632</v>
      </c>
      <c r="L217" s="261">
        <v>2.2999999999999998</v>
      </c>
      <c r="M217" s="265">
        <v>43654</v>
      </c>
      <c r="N217" s="261">
        <v>2.7</v>
      </c>
      <c r="O217" s="262">
        <v>43697</v>
      </c>
      <c r="P217" s="261">
        <v>1.8</v>
      </c>
      <c r="Q217" s="262">
        <v>43724</v>
      </c>
      <c r="R217" s="261">
        <v>1</v>
      </c>
      <c r="S217" s="262">
        <v>43751</v>
      </c>
      <c r="T217" s="261">
        <v>0.95</v>
      </c>
      <c r="U217" s="265" t="s">
        <v>494</v>
      </c>
      <c r="V217" s="261">
        <v>1.3</v>
      </c>
      <c r="W217" s="262">
        <v>43808</v>
      </c>
      <c r="X217" s="261" t="s">
        <v>195</v>
      </c>
      <c r="Y217" s="262">
        <v>43484</v>
      </c>
      <c r="Z217" s="261" t="s">
        <v>195</v>
      </c>
      <c r="AA217" s="262">
        <v>43513</v>
      </c>
      <c r="AB217" s="261">
        <v>0.86</v>
      </c>
      <c r="AC217" s="262">
        <v>43526</v>
      </c>
    </row>
    <row r="218" spans="1:29" ht="9.9499999999999993" customHeight="1" x14ac:dyDescent="0.15">
      <c r="A218" s="238" t="s">
        <v>39</v>
      </c>
      <c r="B218" s="247"/>
      <c r="C218" s="248"/>
      <c r="D218" s="249"/>
      <c r="E218" s="261" t="s">
        <v>443</v>
      </c>
      <c r="F218" s="263">
        <v>8</v>
      </c>
      <c r="G218" s="247"/>
      <c r="H218" s="261">
        <v>4.2</v>
      </c>
      <c r="I218" s="247"/>
      <c r="J218" s="261">
        <v>8.6999999999999993</v>
      </c>
      <c r="K218" s="247"/>
      <c r="L218" s="261">
        <v>10</v>
      </c>
      <c r="M218" s="247"/>
      <c r="N218" s="261">
        <v>12</v>
      </c>
      <c r="O218" s="247"/>
      <c r="P218" s="261">
        <v>8.6</v>
      </c>
      <c r="Q218" s="247"/>
      <c r="R218" s="261">
        <v>4.2</v>
      </c>
      <c r="S218" s="247"/>
      <c r="T218" s="261">
        <v>4.0999999999999996</v>
      </c>
      <c r="U218" s="247"/>
      <c r="V218" s="261">
        <v>5.4</v>
      </c>
      <c r="W218" s="247"/>
      <c r="X218" s="261">
        <v>2.5</v>
      </c>
      <c r="Y218" s="247"/>
      <c r="Z218" s="261" t="s">
        <v>195</v>
      </c>
      <c r="AA218" s="247"/>
      <c r="AB218" s="261">
        <v>4.3</v>
      </c>
      <c r="AC218" s="247"/>
    </row>
    <row r="219" spans="1:29" ht="9.9499999999999993" customHeight="1" x14ac:dyDescent="0.15">
      <c r="A219" s="238" t="s">
        <v>39</v>
      </c>
      <c r="B219" s="244"/>
      <c r="C219" s="245"/>
      <c r="D219" s="246"/>
      <c r="E219" s="261" t="s">
        <v>6</v>
      </c>
      <c r="F219" s="271">
        <v>10</v>
      </c>
      <c r="G219" s="244"/>
      <c r="H219" s="261">
        <v>5.7</v>
      </c>
      <c r="I219" s="244"/>
      <c r="J219" s="261">
        <v>10.5</v>
      </c>
      <c r="K219" s="244"/>
      <c r="L219" s="261">
        <v>12.3</v>
      </c>
      <c r="M219" s="244"/>
      <c r="N219" s="261">
        <v>14.7</v>
      </c>
      <c r="O219" s="244"/>
      <c r="P219" s="261">
        <v>10.4</v>
      </c>
      <c r="Q219" s="244"/>
      <c r="R219" s="261">
        <v>5.2</v>
      </c>
      <c r="S219" s="244"/>
      <c r="T219" s="261">
        <v>5.05</v>
      </c>
      <c r="U219" s="244"/>
      <c r="V219" s="261">
        <v>6.7</v>
      </c>
      <c r="W219" s="244"/>
      <c r="X219" s="261">
        <v>2.5</v>
      </c>
      <c r="Y219" s="244"/>
      <c r="Z219" s="261" t="s">
        <v>195</v>
      </c>
      <c r="AA219" s="244"/>
      <c r="AB219" s="261">
        <v>5.16</v>
      </c>
      <c r="AC219" s="244"/>
    </row>
    <row r="220" spans="1:29" ht="9.9499999999999993" customHeight="1" x14ac:dyDescent="0.15">
      <c r="A220" s="238" t="s">
        <v>39</v>
      </c>
      <c r="B220" s="258" t="s">
        <v>456</v>
      </c>
      <c r="C220" s="259" t="s">
        <v>268</v>
      </c>
      <c r="D220" s="242"/>
      <c r="E220" s="261" t="s">
        <v>444</v>
      </c>
      <c r="F220" s="261" t="s">
        <v>195</v>
      </c>
      <c r="G220" s="262">
        <v>43572</v>
      </c>
      <c r="H220" s="261" t="s">
        <v>195</v>
      </c>
      <c r="I220" s="262">
        <v>43597</v>
      </c>
      <c r="J220" s="261" t="s">
        <v>195</v>
      </c>
      <c r="K220" s="262">
        <v>43632</v>
      </c>
      <c r="L220" s="261" t="s">
        <v>195</v>
      </c>
      <c r="M220" s="265">
        <v>43654</v>
      </c>
      <c r="N220" s="261" t="s">
        <v>195</v>
      </c>
      <c r="O220" s="262">
        <v>43697</v>
      </c>
      <c r="P220" s="261" t="s">
        <v>195</v>
      </c>
      <c r="Q220" s="262">
        <v>43724</v>
      </c>
      <c r="R220" s="261" t="s">
        <v>195</v>
      </c>
      <c r="S220" s="262">
        <v>43751</v>
      </c>
      <c r="T220" s="261" t="s">
        <v>195</v>
      </c>
      <c r="U220" s="265" t="s">
        <v>490</v>
      </c>
      <c r="V220" s="261" t="s">
        <v>195</v>
      </c>
      <c r="W220" s="262">
        <v>43808</v>
      </c>
      <c r="X220" s="261" t="s">
        <v>195</v>
      </c>
      <c r="Y220" s="262">
        <v>43484</v>
      </c>
      <c r="Z220" s="261" t="s">
        <v>195</v>
      </c>
      <c r="AA220" s="262">
        <v>43513</v>
      </c>
      <c r="AB220" s="261" t="s">
        <v>195</v>
      </c>
      <c r="AC220" s="262">
        <v>43526</v>
      </c>
    </row>
    <row r="221" spans="1:29" ht="9.9499999999999993" customHeight="1" x14ac:dyDescent="0.15">
      <c r="A221" s="238" t="s">
        <v>39</v>
      </c>
      <c r="B221" s="247"/>
      <c r="C221" s="248"/>
      <c r="D221" s="249"/>
      <c r="E221" s="261" t="s">
        <v>443</v>
      </c>
      <c r="F221" s="261" t="s">
        <v>195</v>
      </c>
      <c r="G221" s="247"/>
      <c r="H221" s="263" t="s">
        <v>195</v>
      </c>
      <c r="I221" s="247"/>
      <c r="J221" s="263" t="s">
        <v>195</v>
      </c>
      <c r="K221" s="247"/>
      <c r="L221" s="263" t="s">
        <v>195</v>
      </c>
      <c r="M221" s="247"/>
      <c r="N221" s="263" t="s">
        <v>195</v>
      </c>
      <c r="O221" s="247"/>
      <c r="P221" s="263" t="s">
        <v>195</v>
      </c>
      <c r="Q221" s="247"/>
      <c r="R221" s="263" t="s">
        <v>195</v>
      </c>
      <c r="S221" s="247"/>
      <c r="T221" s="261" t="s">
        <v>195</v>
      </c>
      <c r="U221" s="247"/>
      <c r="V221" s="263" t="s">
        <v>195</v>
      </c>
      <c r="W221" s="247"/>
      <c r="X221" s="263" t="s">
        <v>195</v>
      </c>
      <c r="Y221" s="247"/>
      <c r="Z221" s="263" t="s">
        <v>195</v>
      </c>
      <c r="AA221" s="247"/>
      <c r="AB221" s="263" t="s">
        <v>195</v>
      </c>
      <c r="AC221" s="247"/>
    </row>
    <row r="222" spans="1:29" ht="9.9499999999999993" customHeight="1" x14ac:dyDescent="0.15">
      <c r="A222" s="238" t="s">
        <v>39</v>
      </c>
      <c r="B222" s="247"/>
      <c r="C222" s="245"/>
      <c r="D222" s="246"/>
      <c r="E222" s="261" t="s">
        <v>6</v>
      </c>
      <c r="F222" s="261" t="s">
        <v>195</v>
      </c>
      <c r="G222" s="244"/>
      <c r="H222" s="263" t="s">
        <v>195</v>
      </c>
      <c r="I222" s="244"/>
      <c r="J222" s="263" t="s">
        <v>195</v>
      </c>
      <c r="K222" s="244"/>
      <c r="L222" s="263" t="s">
        <v>195</v>
      </c>
      <c r="M222" s="244"/>
      <c r="N222" s="263" t="s">
        <v>195</v>
      </c>
      <c r="O222" s="244"/>
      <c r="P222" s="263" t="s">
        <v>195</v>
      </c>
      <c r="Q222" s="244"/>
      <c r="R222" s="263" t="s">
        <v>195</v>
      </c>
      <c r="S222" s="244"/>
      <c r="T222" s="263" t="s">
        <v>195</v>
      </c>
      <c r="U222" s="244"/>
      <c r="V222" s="263" t="s">
        <v>195</v>
      </c>
      <c r="W222" s="244"/>
      <c r="X222" s="263" t="s">
        <v>195</v>
      </c>
      <c r="Y222" s="244"/>
      <c r="Z222" s="263" t="s">
        <v>195</v>
      </c>
      <c r="AA222" s="244"/>
      <c r="AB222" s="263" t="s">
        <v>195</v>
      </c>
      <c r="AC222" s="244"/>
    </row>
    <row r="223" spans="1:29" ht="9.9499999999999993" customHeight="1" x14ac:dyDescent="0.15">
      <c r="A223" s="238" t="s">
        <v>39</v>
      </c>
      <c r="B223" s="247"/>
      <c r="C223" s="259" t="s">
        <v>53</v>
      </c>
      <c r="D223" s="242"/>
      <c r="E223" s="261" t="s">
        <v>444</v>
      </c>
      <c r="F223" s="261" t="s">
        <v>195</v>
      </c>
      <c r="G223" s="262">
        <v>43572</v>
      </c>
      <c r="H223" s="261" t="s">
        <v>195</v>
      </c>
      <c r="I223" s="262">
        <v>43597</v>
      </c>
      <c r="J223" s="261" t="s">
        <v>195</v>
      </c>
      <c r="K223" s="262">
        <v>43632</v>
      </c>
      <c r="L223" s="261" t="s">
        <v>195</v>
      </c>
      <c r="M223" s="265">
        <v>43654</v>
      </c>
      <c r="N223" s="261" t="s">
        <v>195</v>
      </c>
      <c r="O223" s="262">
        <v>43697</v>
      </c>
      <c r="P223" s="261" t="s">
        <v>195</v>
      </c>
      <c r="Q223" s="262">
        <v>43724</v>
      </c>
      <c r="R223" s="261" t="s">
        <v>195</v>
      </c>
      <c r="S223" s="262">
        <v>43751</v>
      </c>
      <c r="T223" s="261" t="s">
        <v>195</v>
      </c>
      <c r="U223" s="265" t="s">
        <v>494</v>
      </c>
      <c r="V223" s="261" t="s">
        <v>195</v>
      </c>
      <c r="W223" s="262">
        <v>43808</v>
      </c>
      <c r="X223" s="261" t="s">
        <v>195</v>
      </c>
      <c r="Y223" s="262">
        <v>43484</v>
      </c>
      <c r="Z223" s="261" t="s">
        <v>195</v>
      </c>
      <c r="AA223" s="262">
        <v>43513</v>
      </c>
      <c r="AB223" s="261" t="s">
        <v>195</v>
      </c>
      <c r="AC223" s="262">
        <v>43526</v>
      </c>
    </row>
    <row r="224" spans="1:29" ht="9.9499999999999993" customHeight="1" x14ac:dyDescent="0.15">
      <c r="A224" s="238" t="s">
        <v>39</v>
      </c>
      <c r="B224" s="247"/>
      <c r="C224" s="248"/>
      <c r="D224" s="249"/>
      <c r="E224" s="261" t="s">
        <v>443</v>
      </c>
      <c r="F224" s="261" t="s">
        <v>195</v>
      </c>
      <c r="G224" s="247"/>
      <c r="H224" s="263" t="s">
        <v>195</v>
      </c>
      <c r="I224" s="247"/>
      <c r="J224" s="263" t="s">
        <v>195</v>
      </c>
      <c r="K224" s="247"/>
      <c r="L224" s="263" t="s">
        <v>195</v>
      </c>
      <c r="M224" s="247"/>
      <c r="N224" s="263" t="s">
        <v>195</v>
      </c>
      <c r="O224" s="247"/>
      <c r="P224" s="263">
        <v>0.8</v>
      </c>
      <c r="Q224" s="247"/>
      <c r="R224" s="263" t="s">
        <v>195</v>
      </c>
      <c r="S224" s="247"/>
      <c r="T224" s="261" t="s">
        <v>195</v>
      </c>
      <c r="U224" s="247"/>
      <c r="V224" s="263" t="s">
        <v>195</v>
      </c>
      <c r="W224" s="247"/>
      <c r="X224" s="263" t="s">
        <v>195</v>
      </c>
      <c r="Y224" s="247"/>
      <c r="Z224" s="263">
        <v>3.8</v>
      </c>
      <c r="AA224" s="247"/>
      <c r="AB224" s="263" t="s">
        <v>195</v>
      </c>
      <c r="AC224" s="247"/>
    </row>
    <row r="225" spans="1:30" ht="9.9499999999999993" customHeight="1" x14ac:dyDescent="0.15">
      <c r="A225" s="238" t="s">
        <v>39</v>
      </c>
      <c r="B225" s="244"/>
      <c r="C225" s="245"/>
      <c r="D225" s="246"/>
      <c r="E225" s="261" t="s">
        <v>6</v>
      </c>
      <c r="F225" s="261" t="s">
        <v>195</v>
      </c>
      <c r="G225" s="244"/>
      <c r="H225" s="263" t="s">
        <v>195</v>
      </c>
      <c r="I225" s="244"/>
      <c r="J225" s="263" t="s">
        <v>195</v>
      </c>
      <c r="K225" s="244"/>
      <c r="L225" s="263" t="s">
        <v>195</v>
      </c>
      <c r="M225" s="244"/>
      <c r="N225" s="263" t="s">
        <v>195</v>
      </c>
      <c r="O225" s="244"/>
      <c r="P225" s="263">
        <v>0.8</v>
      </c>
      <c r="Q225" s="244"/>
      <c r="R225" s="263" t="s">
        <v>195</v>
      </c>
      <c r="S225" s="244"/>
      <c r="T225" s="263" t="s">
        <v>195</v>
      </c>
      <c r="U225" s="244"/>
      <c r="V225" s="263" t="s">
        <v>195</v>
      </c>
      <c r="W225" s="244"/>
      <c r="X225" s="263" t="s">
        <v>195</v>
      </c>
      <c r="Y225" s="244"/>
      <c r="Z225" s="263">
        <v>3.8</v>
      </c>
      <c r="AA225" s="244"/>
      <c r="AB225" s="263" t="s">
        <v>195</v>
      </c>
      <c r="AC225" s="244"/>
    </row>
    <row r="226" spans="1:30" ht="9.9499999999999993" customHeight="1" x14ac:dyDescent="0.15">
      <c r="A226" s="238" t="s">
        <v>42</v>
      </c>
      <c r="B226" s="239" t="s">
        <v>499</v>
      </c>
      <c r="C226" s="240"/>
      <c r="D226" s="240"/>
      <c r="E226" s="240"/>
      <c r="F226" s="257"/>
      <c r="G226" s="240"/>
      <c r="H226" s="240"/>
      <c r="I226" s="240"/>
      <c r="J226" s="240"/>
      <c r="K226" s="240"/>
      <c r="L226" s="236"/>
      <c r="M226" s="236"/>
      <c r="N226" s="236"/>
      <c r="O226" s="236"/>
      <c r="P226" s="236"/>
      <c r="Q226" s="236"/>
      <c r="R226" s="236"/>
      <c r="S226" s="236"/>
      <c r="T226" s="236"/>
      <c r="U226" s="236"/>
      <c r="V226" s="236"/>
      <c r="W226" s="236"/>
      <c r="X226" s="236"/>
      <c r="Y226" s="236"/>
      <c r="Z226" s="236"/>
      <c r="AA226" s="236"/>
      <c r="AB226" s="236"/>
      <c r="AC226" s="236"/>
      <c r="AD226" s="250"/>
    </row>
    <row r="227" spans="1:30" ht="9.9499999999999993" customHeight="1" x14ac:dyDescent="0.15">
      <c r="A227" s="238" t="s">
        <v>42</v>
      </c>
      <c r="B227" s="259" t="s">
        <v>0</v>
      </c>
      <c r="C227" s="259" t="s">
        <v>450</v>
      </c>
      <c r="D227" s="241"/>
      <c r="E227" s="242"/>
      <c r="F227" s="260" t="s">
        <v>480</v>
      </c>
      <c r="G227" s="243"/>
      <c r="H227" s="260" t="s">
        <v>485</v>
      </c>
      <c r="I227" s="243"/>
      <c r="J227" s="260" t="s">
        <v>489</v>
      </c>
      <c r="K227" s="243"/>
      <c r="L227" s="260" t="s">
        <v>464</v>
      </c>
      <c r="M227" s="243"/>
      <c r="N227" s="260" t="s">
        <v>496</v>
      </c>
      <c r="O227" s="243"/>
      <c r="P227" s="260" t="s">
        <v>501</v>
      </c>
      <c r="Q227" s="243"/>
      <c r="R227" s="260" t="s">
        <v>22</v>
      </c>
      <c r="S227" s="243"/>
      <c r="T227" s="260" t="s">
        <v>23</v>
      </c>
      <c r="U227" s="243"/>
      <c r="V227" s="260" t="s">
        <v>12</v>
      </c>
      <c r="W227" s="243"/>
      <c r="X227" s="260" t="s">
        <v>13</v>
      </c>
      <c r="Y227" s="243"/>
      <c r="Z227" s="260" t="s">
        <v>14</v>
      </c>
      <c r="AA227" s="243"/>
      <c r="AB227" s="260" t="s">
        <v>15</v>
      </c>
      <c r="AC227" s="243"/>
    </row>
    <row r="228" spans="1:30" ht="9.9499999999999993" customHeight="1" x14ac:dyDescent="0.15">
      <c r="A228" s="238" t="s">
        <v>42</v>
      </c>
      <c r="B228" s="245"/>
      <c r="C228" s="245"/>
      <c r="D228" s="240"/>
      <c r="E228" s="246"/>
      <c r="F228" s="261" t="s">
        <v>3</v>
      </c>
      <c r="G228" s="261" t="s">
        <v>1</v>
      </c>
      <c r="H228" s="261" t="s">
        <v>3</v>
      </c>
      <c r="I228" s="261" t="s">
        <v>4</v>
      </c>
      <c r="J228" s="261" t="s">
        <v>3</v>
      </c>
      <c r="K228" s="261" t="s">
        <v>4</v>
      </c>
      <c r="L228" s="261" t="s">
        <v>3</v>
      </c>
      <c r="M228" s="261" t="s">
        <v>4</v>
      </c>
      <c r="N228" s="261" t="s">
        <v>3</v>
      </c>
      <c r="O228" s="261" t="s">
        <v>4</v>
      </c>
      <c r="P228" s="261" t="s">
        <v>3</v>
      </c>
      <c r="Q228" s="261" t="s">
        <v>4</v>
      </c>
      <c r="R228" s="261" t="s">
        <v>3</v>
      </c>
      <c r="S228" s="261" t="s">
        <v>4</v>
      </c>
      <c r="T228" s="261" t="s">
        <v>16</v>
      </c>
      <c r="U228" s="261" t="s">
        <v>4</v>
      </c>
      <c r="V228" s="261" t="s">
        <v>3</v>
      </c>
      <c r="W228" s="261" t="s">
        <v>4</v>
      </c>
      <c r="X228" s="261" t="s">
        <v>3</v>
      </c>
      <c r="Y228" s="261" t="s">
        <v>4</v>
      </c>
      <c r="Z228" s="261" t="s">
        <v>3</v>
      </c>
      <c r="AA228" s="261" t="s">
        <v>4</v>
      </c>
      <c r="AB228" s="261" t="s">
        <v>3</v>
      </c>
      <c r="AC228" s="261" t="s">
        <v>4</v>
      </c>
    </row>
    <row r="229" spans="1:30" ht="9.9499999999999993" customHeight="1" x14ac:dyDescent="0.15">
      <c r="A229" s="238" t="s">
        <v>42</v>
      </c>
      <c r="B229" s="259" t="s">
        <v>64</v>
      </c>
      <c r="C229" s="258" t="s">
        <v>267</v>
      </c>
      <c r="D229" s="258" t="s">
        <v>462</v>
      </c>
      <c r="E229" s="261" t="s">
        <v>444</v>
      </c>
      <c r="F229" s="263" t="s">
        <v>195</v>
      </c>
      <c r="G229" s="262" t="s">
        <v>475</v>
      </c>
      <c r="H229" s="261" t="s">
        <v>195</v>
      </c>
      <c r="I229" s="262" t="s">
        <v>74</v>
      </c>
      <c r="J229" s="261" t="s">
        <v>195</v>
      </c>
      <c r="K229" s="262" t="s">
        <v>509</v>
      </c>
      <c r="L229" s="261" t="s">
        <v>195</v>
      </c>
      <c r="M229" s="265" t="s">
        <v>484</v>
      </c>
      <c r="N229" s="261" t="s">
        <v>195</v>
      </c>
      <c r="O229" s="262" t="s">
        <v>73</v>
      </c>
      <c r="P229" s="261" t="s">
        <v>195</v>
      </c>
      <c r="Q229" s="262" t="s">
        <v>505</v>
      </c>
      <c r="R229" s="261" t="s">
        <v>195</v>
      </c>
      <c r="S229" s="262" t="s">
        <v>65</v>
      </c>
      <c r="T229" s="261" t="s">
        <v>195</v>
      </c>
      <c r="U229" s="265" t="s">
        <v>484</v>
      </c>
      <c r="V229" s="261" t="s">
        <v>195</v>
      </c>
      <c r="W229" s="262" t="s">
        <v>75</v>
      </c>
      <c r="X229" s="261" t="s">
        <v>195</v>
      </c>
      <c r="Y229" s="262" t="s">
        <v>495</v>
      </c>
      <c r="Z229" s="261" t="s">
        <v>195</v>
      </c>
      <c r="AA229" s="262" t="s">
        <v>66</v>
      </c>
      <c r="AB229" s="261" t="s">
        <v>195</v>
      </c>
      <c r="AC229" s="262" t="s">
        <v>72</v>
      </c>
    </row>
    <row r="230" spans="1:30" ht="9.9499999999999993" customHeight="1" x14ac:dyDescent="0.15">
      <c r="A230" s="238" t="s">
        <v>42</v>
      </c>
      <c r="B230" s="248"/>
      <c r="C230" s="247"/>
      <c r="D230" s="247"/>
      <c r="E230" s="261" t="s">
        <v>517</v>
      </c>
      <c r="F230" s="261" t="s">
        <v>195</v>
      </c>
      <c r="G230" s="247"/>
      <c r="H230" s="263" t="s">
        <v>195</v>
      </c>
      <c r="I230" s="247"/>
      <c r="J230" s="263" t="s">
        <v>195</v>
      </c>
      <c r="K230" s="247"/>
      <c r="L230" s="263" t="s">
        <v>195</v>
      </c>
      <c r="M230" s="247"/>
      <c r="N230" s="263" t="s">
        <v>195</v>
      </c>
      <c r="O230" s="247"/>
      <c r="P230" s="263" t="s">
        <v>195</v>
      </c>
      <c r="Q230" s="247"/>
      <c r="R230" s="263" t="s">
        <v>195</v>
      </c>
      <c r="S230" s="247"/>
      <c r="T230" s="263" t="s">
        <v>195</v>
      </c>
      <c r="U230" s="247"/>
      <c r="V230" s="261" t="s">
        <v>195</v>
      </c>
      <c r="W230" s="247"/>
      <c r="X230" s="263" t="s">
        <v>195</v>
      </c>
      <c r="Y230" s="247"/>
      <c r="Z230" s="263" t="s">
        <v>195</v>
      </c>
      <c r="AA230" s="247"/>
      <c r="AB230" s="263" t="s">
        <v>195</v>
      </c>
      <c r="AC230" s="247"/>
    </row>
    <row r="231" spans="1:30" ht="9.9499999999999993" customHeight="1" x14ac:dyDescent="0.15">
      <c r="A231" s="238" t="s">
        <v>42</v>
      </c>
      <c r="B231" s="248"/>
      <c r="C231" s="247"/>
      <c r="D231" s="244"/>
      <c r="E231" s="261" t="s">
        <v>6</v>
      </c>
      <c r="F231" s="263" t="s">
        <v>195</v>
      </c>
      <c r="G231" s="244"/>
      <c r="H231" s="263" t="s">
        <v>195</v>
      </c>
      <c r="I231" s="244"/>
      <c r="J231" s="263" t="s">
        <v>195</v>
      </c>
      <c r="K231" s="244"/>
      <c r="L231" s="263" t="s">
        <v>195</v>
      </c>
      <c r="M231" s="244"/>
      <c r="N231" s="263" t="s">
        <v>195</v>
      </c>
      <c r="O231" s="244"/>
      <c r="P231" s="263" t="s">
        <v>195</v>
      </c>
      <c r="Q231" s="244"/>
      <c r="R231" s="263" t="s">
        <v>195</v>
      </c>
      <c r="S231" s="244"/>
      <c r="T231" s="263" t="s">
        <v>195</v>
      </c>
      <c r="U231" s="244"/>
      <c r="V231" s="261" t="s">
        <v>195</v>
      </c>
      <c r="W231" s="244"/>
      <c r="X231" s="263" t="s">
        <v>195</v>
      </c>
      <c r="Y231" s="244"/>
      <c r="Z231" s="263" t="s">
        <v>195</v>
      </c>
      <c r="AA231" s="244"/>
      <c r="AB231" s="263" t="s">
        <v>195</v>
      </c>
      <c r="AC231" s="244"/>
    </row>
    <row r="232" spans="1:30" ht="9.9499999999999993" customHeight="1" x14ac:dyDescent="0.15">
      <c r="A232" s="238" t="s">
        <v>42</v>
      </c>
      <c r="B232" s="248"/>
      <c r="C232" s="247"/>
      <c r="D232" s="258" t="s">
        <v>463</v>
      </c>
      <c r="E232" s="261" t="s">
        <v>444</v>
      </c>
      <c r="F232" s="261" t="s">
        <v>195</v>
      </c>
      <c r="G232" s="262" t="s">
        <v>475</v>
      </c>
      <c r="H232" s="261" t="s">
        <v>195</v>
      </c>
      <c r="I232" s="262" t="s">
        <v>74</v>
      </c>
      <c r="J232" s="261" t="s">
        <v>195</v>
      </c>
      <c r="K232" s="262" t="s">
        <v>509</v>
      </c>
      <c r="L232" s="261" t="s">
        <v>195</v>
      </c>
      <c r="M232" s="265" t="s">
        <v>484</v>
      </c>
      <c r="N232" s="261" t="s">
        <v>195</v>
      </c>
      <c r="O232" s="262" t="s">
        <v>73</v>
      </c>
      <c r="P232" s="261" t="s">
        <v>195</v>
      </c>
      <c r="Q232" s="262" t="s">
        <v>505</v>
      </c>
      <c r="R232" s="261" t="s">
        <v>195</v>
      </c>
      <c r="S232" s="262" t="s">
        <v>65</v>
      </c>
      <c r="T232" s="261" t="s">
        <v>195</v>
      </c>
      <c r="U232" s="265" t="s">
        <v>484</v>
      </c>
      <c r="V232" s="261" t="s">
        <v>195</v>
      </c>
      <c r="W232" s="262" t="s">
        <v>75</v>
      </c>
      <c r="X232" s="261" t="s">
        <v>195</v>
      </c>
      <c r="Y232" s="262" t="s">
        <v>495</v>
      </c>
      <c r="Z232" s="261" t="s">
        <v>195</v>
      </c>
      <c r="AA232" s="262" t="s">
        <v>66</v>
      </c>
      <c r="AB232" s="261" t="s">
        <v>195</v>
      </c>
      <c r="AC232" s="262" t="s">
        <v>72</v>
      </c>
    </row>
    <row r="233" spans="1:30" ht="9.9499999999999993" customHeight="1" x14ac:dyDescent="0.15">
      <c r="A233" s="238" t="s">
        <v>42</v>
      </c>
      <c r="B233" s="248"/>
      <c r="C233" s="247"/>
      <c r="D233" s="247"/>
      <c r="E233" s="261" t="s">
        <v>517</v>
      </c>
      <c r="F233" s="261" t="s">
        <v>195</v>
      </c>
      <c r="G233" s="247"/>
      <c r="H233" s="263" t="s">
        <v>195</v>
      </c>
      <c r="I233" s="247"/>
      <c r="J233" s="263" t="s">
        <v>195</v>
      </c>
      <c r="K233" s="247"/>
      <c r="L233" s="263" t="s">
        <v>195</v>
      </c>
      <c r="M233" s="247"/>
      <c r="N233" s="263" t="s">
        <v>195</v>
      </c>
      <c r="O233" s="247"/>
      <c r="P233" s="263" t="s">
        <v>195</v>
      </c>
      <c r="Q233" s="247"/>
      <c r="R233" s="263" t="s">
        <v>195</v>
      </c>
      <c r="S233" s="247"/>
      <c r="T233" s="263" t="s">
        <v>195</v>
      </c>
      <c r="U233" s="247"/>
      <c r="V233" s="263" t="s">
        <v>195</v>
      </c>
      <c r="W233" s="247"/>
      <c r="X233" s="263" t="s">
        <v>195</v>
      </c>
      <c r="Y233" s="247"/>
      <c r="Z233" s="263" t="s">
        <v>195</v>
      </c>
      <c r="AA233" s="247"/>
      <c r="AB233" s="263" t="s">
        <v>195</v>
      </c>
      <c r="AC233" s="247"/>
    </row>
    <row r="234" spans="1:30" ht="9.9499999999999993" customHeight="1" x14ac:dyDescent="0.15">
      <c r="A234" s="238" t="s">
        <v>42</v>
      </c>
      <c r="B234" s="248"/>
      <c r="C234" s="244"/>
      <c r="D234" s="244"/>
      <c r="E234" s="261" t="s">
        <v>6</v>
      </c>
      <c r="F234" s="261" t="s">
        <v>195</v>
      </c>
      <c r="G234" s="244"/>
      <c r="H234" s="263" t="s">
        <v>195</v>
      </c>
      <c r="I234" s="244"/>
      <c r="J234" s="264" t="s">
        <v>195</v>
      </c>
      <c r="K234" s="244"/>
      <c r="L234" s="263" t="s">
        <v>195</v>
      </c>
      <c r="M234" s="244"/>
      <c r="N234" s="263" t="s">
        <v>195</v>
      </c>
      <c r="O234" s="244"/>
      <c r="P234" s="263" t="s">
        <v>195</v>
      </c>
      <c r="Q234" s="244"/>
      <c r="R234" s="263" t="s">
        <v>195</v>
      </c>
      <c r="S234" s="244"/>
      <c r="T234" s="263" t="s">
        <v>195</v>
      </c>
      <c r="U234" s="244"/>
      <c r="V234" s="263" t="s">
        <v>195</v>
      </c>
      <c r="W234" s="244"/>
      <c r="X234" s="263" t="s">
        <v>195</v>
      </c>
      <c r="Y234" s="244"/>
      <c r="Z234" s="263" t="s">
        <v>195</v>
      </c>
      <c r="AA234" s="244"/>
      <c r="AB234" s="263" t="s">
        <v>195</v>
      </c>
      <c r="AC234" s="244"/>
    </row>
    <row r="235" spans="1:30" ht="9.9499999999999993" customHeight="1" x14ac:dyDescent="0.15">
      <c r="A235" s="238" t="s">
        <v>42</v>
      </c>
      <c r="B235" s="248"/>
      <c r="C235" s="259" t="s">
        <v>82</v>
      </c>
      <c r="D235" s="242"/>
      <c r="E235" s="261" t="s">
        <v>444</v>
      </c>
      <c r="F235" s="261">
        <v>14</v>
      </c>
      <c r="G235" s="262" t="s">
        <v>475</v>
      </c>
      <c r="H235" s="261">
        <v>15</v>
      </c>
      <c r="I235" s="262" t="s">
        <v>74</v>
      </c>
      <c r="J235" s="261">
        <v>13</v>
      </c>
      <c r="K235" s="262" t="s">
        <v>509</v>
      </c>
      <c r="L235" s="261">
        <v>15</v>
      </c>
      <c r="M235" s="265" t="s">
        <v>484</v>
      </c>
      <c r="N235" s="261">
        <v>8.6</v>
      </c>
      <c r="O235" s="262" t="s">
        <v>73</v>
      </c>
      <c r="P235" s="261">
        <v>13</v>
      </c>
      <c r="Q235" s="262" t="s">
        <v>505</v>
      </c>
      <c r="R235" s="272" t="s">
        <v>34</v>
      </c>
      <c r="S235" s="262" t="s">
        <v>65</v>
      </c>
      <c r="T235" s="261">
        <v>9.8000000000000007</v>
      </c>
      <c r="U235" s="265" t="s">
        <v>484</v>
      </c>
      <c r="V235" s="261">
        <v>95</v>
      </c>
      <c r="W235" s="262" t="s">
        <v>75</v>
      </c>
      <c r="X235" s="261">
        <v>5.7</v>
      </c>
      <c r="Y235" s="262" t="s">
        <v>495</v>
      </c>
      <c r="Z235" s="261">
        <v>34</v>
      </c>
      <c r="AA235" s="262" t="s">
        <v>66</v>
      </c>
      <c r="AB235" s="261">
        <v>35</v>
      </c>
      <c r="AC235" s="262" t="s">
        <v>72</v>
      </c>
    </row>
    <row r="236" spans="1:30" ht="9.9499999999999993" customHeight="1" x14ac:dyDescent="0.15">
      <c r="A236" s="238" t="s">
        <v>42</v>
      </c>
      <c r="B236" s="248"/>
      <c r="C236" s="248"/>
      <c r="D236" s="249"/>
      <c r="E236" s="261" t="s">
        <v>517</v>
      </c>
      <c r="F236" s="261">
        <v>72</v>
      </c>
      <c r="G236" s="247"/>
      <c r="H236" s="261">
        <v>84</v>
      </c>
      <c r="I236" s="247"/>
      <c r="J236" s="261">
        <v>72</v>
      </c>
      <c r="K236" s="247"/>
      <c r="L236" s="261">
        <v>73</v>
      </c>
      <c r="M236" s="247"/>
      <c r="N236" s="261">
        <v>54</v>
      </c>
      <c r="O236" s="247"/>
      <c r="P236" s="261">
        <v>72</v>
      </c>
      <c r="Q236" s="247"/>
      <c r="R236" s="261">
        <v>61</v>
      </c>
      <c r="S236" s="247"/>
      <c r="T236" s="261">
        <v>56</v>
      </c>
      <c r="U236" s="247"/>
      <c r="V236" s="261">
        <v>52</v>
      </c>
      <c r="W236" s="247"/>
      <c r="X236" s="261">
        <v>31</v>
      </c>
      <c r="Y236" s="247"/>
      <c r="Z236" s="261">
        <v>20</v>
      </c>
      <c r="AA236" s="247"/>
      <c r="AB236" s="261">
        <v>24</v>
      </c>
      <c r="AC236" s="247"/>
    </row>
    <row r="237" spans="1:30" ht="9.9499999999999993" customHeight="1" x14ac:dyDescent="0.15">
      <c r="A237" s="238" t="s">
        <v>42</v>
      </c>
      <c r="B237" s="248"/>
      <c r="C237" s="245"/>
      <c r="D237" s="246"/>
      <c r="E237" s="261" t="s">
        <v>6</v>
      </c>
      <c r="F237" s="261">
        <v>86</v>
      </c>
      <c r="G237" s="244"/>
      <c r="H237" s="261">
        <v>99</v>
      </c>
      <c r="I237" s="244"/>
      <c r="J237" s="261">
        <v>85</v>
      </c>
      <c r="K237" s="244"/>
      <c r="L237" s="261">
        <v>88</v>
      </c>
      <c r="M237" s="244"/>
      <c r="N237" s="261">
        <v>62.6</v>
      </c>
      <c r="O237" s="244"/>
      <c r="P237" s="261">
        <v>85</v>
      </c>
      <c r="Q237" s="244"/>
      <c r="R237" s="261">
        <v>72</v>
      </c>
      <c r="S237" s="244"/>
      <c r="T237" s="261">
        <v>65.8</v>
      </c>
      <c r="U237" s="244"/>
      <c r="V237" s="261">
        <v>61.5</v>
      </c>
      <c r="W237" s="244"/>
      <c r="X237" s="261">
        <v>36.700000000000003</v>
      </c>
      <c r="Y237" s="244"/>
      <c r="Z237" s="261">
        <v>23.4</v>
      </c>
      <c r="AA237" s="244"/>
      <c r="AB237" s="261">
        <v>27.5</v>
      </c>
      <c r="AC237" s="244"/>
    </row>
    <row r="238" spans="1:30" ht="9.9499999999999993" customHeight="1" x14ac:dyDescent="0.15">
      <c r="A238" s="238" t="s">
        <v>42</v>
      </c>
      <c r="B238" s="248"/>
      <c r="C238" s="259" t="s">
        <v>80</v>
      </c>
      <c r="D238" s="242"/>
      <c r="E238" s="261" t="s">
        <v>444</v>
      </c>
      <c r="F238" s="272" t="s">
        <v>40</v>
      </c>
      <c r="G238" s="262" t="s">
        <v>475</v>
      </c>
      <c r="H238" s="261">
        <v>110</v>
      </c>
      <c r="I238" s="262" t="s">
        <v>74</v>
      </c>
      <c r="J238" s="261">
        <v>110</v>
      </c>
      <c r="K238" s="262" t="s">
        <v>509</v>
      </c>
      <c r="L238" s="261">
        <v>73</v>
      </c>
      <c r="M238" s="265" t="s">
        <v>484</v>
      </c>
      <c r="N238" s="261">
        <v>84</v>
      </c>
      <c r="O238" s="262" t="s">
        <v>73</v>
      </c>
      <c r="P238" s="261">
        <v>140</v>
      </c>
      <c r="Q238" s="262" t="s">
        <v>505</v>
      </c>
      <c r="R238" s="261">
        <v>83</v>
      </c>
      <c r="S238" s="262" t="s">
        <v>65</v>
      </c>
      <c r="T238" s="261">
        <v>58</v>
      </c>
      <c r="U238" s="265" t="s">
        <v>484</v>
      </c>
      <c r="V238" s="261">
        <v>61</v>
      </c>
      <c r="W238" s="262" t="s">
        <v>75</v>
      </c>
      <c r="X238" s="261">
        <v>41</v>
      </c>
      <c r="Y238" s="262" t="s">
        <v>495</v>
      </c>
      <c r="Z238" s="261">
        <v>24</v>
      </c>
      <c r="AA238" s="262" t="s">
        <v>66</v>
      </c>
      <c r="AB238" s="261">
        <v>36</v>
      </c>
      <c r="AC238" s="262" t="s">
        <v>72</v>
      </c>
    </row>
    <row r="239" spans="1:30" ht="9.9499999999999993" customHeight="1" x14ac:dyDescent="0.15">
      <c r="A239" s="238" t="s">
        <v>42</v>
      </c>
      <c r="B239" s="248"/>
      <c r="C239" s="248"/>
      <c r="D239" s="249"/>
      <c r="E239" s="261" t="s">
        <v>517</v>
      </c>
      <c r="F239" s="263">
        <v>450</v>
      </c>
      <c r="G239" s="247"/>
      <c r="H239" s="261">
        <v>570</v>
      </c>
      <c r="I239" s="247"/>
      <c r="J239" s="261">
        <v>560</v>
      </c>
      <c r="K239" s="247"/>
      <c r="L239" s="261">
        <v>390</v>
      </c>
      <c r="M239" s="247"/>
      <c r="N239" s="261">
        <v>470</v>
      </c>
      <c r="O239" s="247"/>
      <c r="P239" s="261">
        <v>780</v>
      </c>
      <c r="Q239" s="247"/>
      <c r="R239" s="261">
        <v>470</v>
      </c>
      <c r="S239" s="247"/>
      <c r="T239" s="261">
        <v>370</v>
      </c>
      <c r="U239" s="247"/>
      <c r="V239" s="261">
        <v>390</v>
      </c>
      <c r="W239" s="247"/>
      <c r="X239" s="261">
        <v>260</v>
      </c>
      <c r="Y239" s="247"/>
      <c r="Z239" s="261">
        <v>160</v>
      </c>
      <c r="AA239" s="247"/>
      <c r="AB239" s="261">
        <v>230</v>
      </c>
      <c r="AC239" s="247"/>
    </row>
    <row r="240" spans="1:30" ht="9.9499999999999993" customHeight="1" x14ac:dyDescent="0.15">
      <c r="A240" s="238" t="s">
        <v>42</v>
      </c>
      <c r="B240" s="245"/>
      <c r="C240" s="245"/>
      <c r="D240" s="246"/>
      <c r="E240" s="261" t="s">
        <v>6</v>
      </c>
      <c r="F240" s="261">
        <v>540</v>
      </c>
      <c r="G240" s="244"/>
      <c r="H240" s="261">
        <v>680</v>
      </c>
      <c r="I240" s="244"/>
      <c r="J240" s="261">
        <v>670</v>
      </c>
      <c r="K240" s="244"/>
      <c r="L240" s="261">
        <v>463</v>
      </c>
      <c r="M240" s="244"/>
      <c r="N240" s="261">
        <v>463</v>
      </c>
      <c r="O240" s="244"/>
      <c r="P240" s="261">
        <v>920</v>
      </c>
      <c r="Q240" s="244"/>
      <c r="R240" s="261">
        <v>553</v>
      </c>
      <c r="S240" s="244"/>
      <c r="T240" s="261">
        <v>428</v>
      </c>
      <c r="U240" s="244"/>
      <c r="V240" s="261">
        <v>451</v>
      </c>
      <c r="W240" s="244"/>
      <c r="X240" s="261">
        <v>301</v>
      </c>
      <c r="Y240" s="244"/>
      <c r="Z240" s="261">
        <v>184</v>
      </c>
      <c r="AA240" s="244"/>
      <c r="AB240" s="261">
        <v>266</v>
      </c>
      <c r="AC240" s="244"/>
    </row>
    <row r="241" spans="1:29" ht="9.9499999999999993" customHeight="1" x14ac:dyDescent="0.15">
      <c r="A241" s="238" t="s">
        <v>42</v>
      </c>
      <c r="B241" s="259" t="s">
        <v>56</v>
      </c>
      <c r="C241" s="259" t="s">
        <v>267</v>
      </c>
      <c r="D241" s="242"/>
      <c r="E241" s="261" t="s">
        <v>444</v>
      </c>
      <c r="F241" s="261" t="s">
        <v>195</v>
      </c>
      <c r="G241" s="262" t="s">
        <v>475</v>
      </c>
      <c r="H241" s="261" t="s">
        <v>195</v>
      </c>
      <c r="I241" s="262" t="s">
        <v>77</v>
      </c>
      <c r="J241" s="261" t="s">
        <v>195</v>
      </c>
      <c r="K241" s="262" t="s">
        <v>505</v>
      </c>
      <c r="L241" s="261" t="s">
        <v>195</v>
      </c>
      <c r="M241" s="265" t="s">
        <v>67</v>
      </c>
      <c r="N241" s="261" t="s">
        <v>195</v>
      </c>
      <c r="O241" s="262" t="s">
        <v>68</v>
      </c>
      <c r="P241" s="261" t="s">
        <v>195</v>
      </c>
      <c r="Q241" s="262" t="s">
        <v>500</v>
      </c>
      <c r="R241" s="261" t="s">
        <v>195</v>
      </c>
      <c r="S241" s="262" t="s">
        <v>71</v>
      </c>
      <c r="T241" s="261" t="s">
        <v>195</v>
      </c>
      <c r="U241" s="265" t="s">
        <v>476</v>
      </c>
      <c r="V241" s="261" t="s">
        <v>195</v>
      </c>
      <c r="W241" s="262" t="s">
        <v>72</v>
      </c>
      <c r="X241" s="261" t="s">
        <v>195</v>
      </c>
      <c r="Y241" s="262" t="s">
        <v>470</v>
      </c>
      <c r="Z241" s="261" t="s">
        <v>195</v>
      </c>
      <c r="AA241" s="262" t="s">
        <v>500</v>
      </c>
      <c r="AB241" s="261" t="s">
        <v>195</v>
      </c>
      <c r="AC241" s="262" t="s">
        <v>505</v>
      </c>
    </row>
    <row r="242" spans="1:29" ht="9.9499999999999993" customHeight="1" x14ac:dyDescent="0.15">
      <c r="A242" s="238" t="s">
        <v>42</v>
      </c>
      <c r="B242" s="248"/>
      <c r="C242" s="248"/>
      <c r="D242" s="249"/>
      <c r="E242" s="261" t="s">
        <v>517</v>
      </c>
      <c r="F242" s="261" t="s">
        <v>195</v>
      </c>
      <c r="G242" s="247"/>
      <c r="H242" s="263" t="s">
        <v>195</v>
      </c>
      <c r="I242" s="247"/>
      <c r="J242" s="263" t="s">
        <v>195</v>
      </c>
      <c r="K242" s="247"/>
      <c r="L242" s="263" t="s">
        <v>195</v>
      </c>
      <c r="M242" s="247"/>
      <c r="N242" s="263" t="s">
        <v>195</v>
      </c>
      <c r="O242" s="247"/>
      <c r="P242" s="263" t="s">
        <v>195</v>
      </c>
      <c r="Q242" s="247"/>
      <c r="R242" s="263" t="s">
        <v>195</v>
      </c>
      <c r="S242" s="247"/>
      <c r="T242" s="261" t="s">
        <v>195</v>
      </c>
      <c r="U242" s="247"/>
      <c r="V242" s="263" t="s">
        <v>195</v>
      </c>
      <c r="W242" s="247"/>
      <c r="X242" s="263" t="s">
        <v>195</v>
      </c>
      <c r="Y242" s="247"/>
      <c r="Z242" s="263" t="s">
        <v>195</v>
      </c>
      <c r="AA242" s="247"/>
      <c r="AB242" s="263" t="s">
        <v>195</v>
      </c>
      <c r="AC242" s="247"/>
    </row>
    <row r="243" spans="1:29" ht="9.9499999999999993" customHeight="1" x14ac:dyDescent="0.15">
      <c r="A243" s="238" t="s">
        <v>42</v>
      </c>
      <c r="B243" s="248"/>
      <c r="C243" s="245"/>
      <c r="D243" s="246"/>
      <c r="E243" s="261" t="s">
        <v>6</v>
      </c>
      <c r="F243" s="261" t="s">
        <v>195</v>
      </c>
      <c r="G243" s="244"/>
      <c r="H243" s="263" t="s">
        <v>195</v>
      </c>
      <c r="I243" s="244"/>
      <c r="J243" s="263" t="s">
        <v>195</v>
      </c>
      <c r="K243" s="244"/>
      <c r="L243" s="263" t="s">
        <v>195</v>
      </c>
      <c r="M243" s="244"/>
      <c r="N243" s="263" t="s">
        <v>195</v>
      </c>
      <c r="O243" s="244"/>
      <c r="P243" s="263" t="s">
        <v>195</v>
      </c>
      <c r="Q243" s="244"/>
      <c r="R243" s="263" t="s">
        <v>195</v>
      </c>
      <c r="S243" s="244"/>
      <c r="T243" s="263" t="s">
        <v>195</v>
      </c>
      <c r="U243" s="244"/>
      <c r="V243" s="263" t="s">
        <v>195</v>
      </c>
      <c r="W243" s="244"/>
      <c r="X243" s="263" t="s">
        <v>195</v>
      </c>
      <c r="Y243" s="244"/>
      <c r="Z243" s="263" t="s">
        <v>195</v>
      </c>
      <c r="AA243" s="244"/>
      <c r="AB243" s="263" t="s">
        <v>195</v>
      </c>
      <c r="AC243" s="244"/>
    </row>
    <row r="244" spans="1:29" ht="9.9499999999999993" customHeight="1" x14ac:dyDescent="0.15">
      <c r="A244" s="238" t="s">
        <v>42</v>
      </c>
      <c r="B244" s="248"/>
      <c r="C244" s="259" t="s">
        <v>81</v>
      </c>
      <c r="D244" s="242"/>
      <c r="E244" s="261" t="s">
        <v>444</v>
      </c>
      <c r="F244" s="261" t="s">
        <v>466</v>
      </c>
      <c r="G244" s="262" t="s">
        <v>475</v>
      </c>
      <c r="H244" s="261">
        <v>87</v>
      </c>
      <c r="I244" s="262" t="s">
        <v>77</v>
      </c>
      <c r="J244" s="261">
        <v>63</v>
      </c>
      <c r="K244" s="262" t="s">
        <v>505</v>
      </c>
      <c r="L244" s="261">
        <v>48</v>
      </c>
      <c r="M244" s="265" t="s">
        <v>67</v>
      </c>
      <c r="N244" s="261">
        <v>55</v>
      </c>
      <c r="O244" s="262" t="s">
        <v>68</v>
      </c>
      <c r="P244" s="261">
        <v>50</v>
      </c>
      <c r="Q244" s="262" t="s">
        <v>500</v>
      </c>
      <c r="R244" s="261">
        <v>35</v>
      </c>
      <c r="S244" s="262" t="s">
        <v>71</v>
      </c>
      <c r="T244" s="261">
        <v>32</v>
      </c>
      <c r="U244" s="265" t="s">
        <v>476</v>
      </c>
      <c r="V244" s="261">
        <v>28</v>
      </c>
      <c r="W244" s="262" t="s">
        <v>72</v>
      </c>
      <c r="X244" s="261">
        <v>31</v>
      </c>
      <c r="Y244" s="262" t="s">
        <v>470</v>
      </c>
      <c r="Z244" s="261">
        <v>26</v>
      </c>
      <c r="AA244" s="262" t="s">
        <v>500</v>
      </c>
      <c r="AB244" s="261">
        <v>28</v>
      </c>
      <c r="AC244" s="262" t="s">
        <v>505</v>
      </c>
    </row>
    <row r="245" spans="1:29" ht="9.9499999999999993" customHeight="1" x14ac:dyDescent="0.15">
      <c r="A245" s="238" t="s">
        <v>42</v>
      </c>
      <c r="B245" s="248"/>
      <c r="C245" s="248"/>
      <c r="D245" s="249"/>
      <c r="E245" s="261" t="s">
        <v>517</v>
      </c>
      <c r="F245" s="261">
        <v>500</v>
      </c>
      <c r="G245" s="247"/>
      <c r="H245" s="263">
        <v>460</v>
      </c>
      <c r="I245" s="247"/>
      <c r="J245" s="263">
        <v>310</v>
      </c>
      <c r="K245" s="247"/>
      <c r="L245" s="263">
        <v>270</v>
      </c>
      <c r="M245" s="247"/>
      <c r="N245" s="273" t="s">
        <v>465</v>
      </c>
      <c r="O245" s="247"/>
      <c r="P245" s="263">
        <v>270</v>
      </c>
      <c r="Q245" s="247"/>
      <c r="R245" s="263">
        <v>200</v>
      </c>
      <c r="S245" s="247"/>
      <c r="T245" s="261">
        <v>190</v>
      </c>
      <c r="U245" s="247"/>
      <c r="V245" s="263">
        <v>170</v>
      </c>
      <c r="W245" s="247"/>
      <c r="X245" s="263">
        <v>200</v>
      </c>
      <c r="Y245" s="247"/>
      <c r="Z245" s="263">
        <v>180</v>
      </c>
      <c r="AA245" s="247"/>
      <c r="AB245" s="263">
        <v>160</v>
      </c>
      <c r="AC245" s="247"/>
    </row>
    <row r="246" spans="1:29" ht="9.9499999999999993" customHeight="1" x14ac:dyDescent="0.15">
      <c r="A246" s="238" t="s">
        <v>42</v>
      </c>
      <c r="B246" s="248"/>
      <c r="C246" s="245"/>
      <c r="D246" s="246"/>
      <c r="E246" s="261" t="s">
        <v>6</v>
      </c>
      <c r="F246" s="261">
        <v>600</v>
      </c>
      <c r="G246" s="244"/>
      <c r="H246" s="263">
        <v>547</v>
      </c>
      <c r="I246" s="244"/>
      <c r="J246" s="263">
        <v>373</v>
      </c>
      <c r="K246" s="244"/>
      <c r="L246" s="263">
        <v>318</v>
      </c>
      <c r="M246" s="244"/>
      <c r="N246" s="263">
        <v>345</v>
      </c>
      <c r="O246" s="244"/>
      <c r="P246" s="263">
        <v>320</v>
      </c>
      <c r="Q246" s="244"/>
      <c r="R246" s="263">
        <v>235</v>
      </c>
      <c r="S246" s="244"/>
      <c r="T246" s="263">
        <v>222</v>
      </c>
      <c r="U246" s="244"/>
      <c r="V246" s="263">
        <v>198</v>
      </c>
      <c r="W246" s="244"/>
      <c r="X246" s="263">
        <v>231</v>
      </c>
      <c r="Y246" s="244"/>
      <c r="Z246" s="263">
        <v>206</v>
      </c>
      <c r="AA246" s="244"/>
      <c r="AB246" s="263">
        <v>188</v>
      </c>
      <c r="AC246" s="244"/>
    </row>
    <row r="247" spans="1:29" ht="9.9499999999999993" customHeight="1" x14ac:dyDescent="0.15">
      <c r="A247" s="238" t="s">
        <v>42</v>
      </c>
      <c r="B247" s="248"/>
      <c r="C247" s="259" t="s">
        <v>53</v>
      </c>
      <c r="D247" s="242"/>
      <c r="E247" s="261" t="s">
        <v>444</v>
      </c>
      <c r="F247" s="261" t="s">
        <v>195</v>
      </c>
      <c r="G247" s="262" t="s">
        <v>475</v>
      </c>
      <c r="H247" s="272" t="s">
        <v>41</v>
      </c>
      <c r="I247" s="262" t="s">
        <v>77</v>
      </c>
      <c r="J247" s="261" t="s">
        <v>195</v>
      </c>
      <c r="K247" s="262" t="s">
        <v>505</v>
      </c>
      <c r="L247" s="261" t="s">
        <v>195</v>
      </c>
      <c r="M247" s="265" t="s">
        <v>67</v>
      </c>
      <c r="N247" s="261" t="s">
        <v>195</v>
      </c>
      <c r="O247" s="262" t="s">
        <v>68</v>
      </c>
      <c r="P247" s="261" t="s">
        <v>195</v>
      </c>
      <c r="Q247" s="262" t="s">
        <v>500</v>
      </c>
      <c r="R247" s="261" t="s">
        <v>195</v>
      </c>
      <c r="S247" s="262" t="s">
        <v>71</v>
      </c>
      <c r="T247" s="261" t="s">
        <v>195</v>
      </c>
      <c r="U247" s="265" t="s">
        <v>476</v>
      </c>
      <c r="V247" s="261" t="s">
        <v>195</v>
      </c>
      <c r="W247" s="262" t="s">
        <v>72</v>
      </c>
      <c r="X247" s="261" t="s">
        <v>195</v>
      </c>
      <c r="Y247" s="262" t="s">
        <v>470</v>
      </c>
      <c r="Z247" s="261" t="s">
        <v>195</v>
      </c>
      <c r="AA247" s="262" t="s">
        <v>500</v>
      </c>
      <c r="AB247" s="261" t="s">
        <v>195</v>
      </c>
      <c r="AC247" s="262" t="s">
        <v>505</v>
      </c>
    </row>
    <row r="248" spans="1:29" ht="9.9499999999999993" customHeight="1" x14ac:dyDescent="0.15">
      <c r="A248" s="238" t="s">
        <v>42</v>
      </c>
      <c r="B248" s="248"/>
      <c r="C248" s="248"/>
      <c r="D248" s="249"/>
      <c r="E248" s="261" t="s">
        <v>517</v>
      </c>
      <c r="F248" s="261" t="s">
        <v>195</v>
      </c>
      <c r="G248" s="247"/>
      <c r="H248" s="263">
        <v>54</v>
      </c>
      <c r="I248" s="247"/>
      <c r="J248" s="263" t="s">
        <v>195</v>
      </c>
      <c r="K248" s="247"/>
      <c r="L248" s="263" t="s">
        <v>195</v>
      </c>
      <c r="M248" s="247"/>
      <c r="N248" s="263" t="s">
        <v>195</v>
      </c>
      <c r="O248" s="247"/>
      <c r="P248" s="263" t="s">
        <v>195</v>
      </c>
      <c r="Q248" s="247"/>
      <c r="R248" s="263" t="s">
        <v>195</v>
      </c>
      <c r="S248" s="247"/>
      <c r="T248" s="263" t="s">
        <v>195</v>
      </c>
      <c r="U248" s="247"/>
      <c r="V248" s="263" t="s">
        <v>195</v>
      </c>
      <c r="W248" s="247"/>
      <c r="X248" s="263" t="s">
        <v>195</v>
      </c>
      <c r="Y248" s="247"/>
      <c r="Z248" s="263" t="s">
        <v>195</v>
      </c>
      <c r="AA248" s="247"/>
      <c r="AB248" s="263" t="s">
        <v>195</v>
      </c>
      <c r="AC248" s="247"/>
    </row>
    <row r="249" spans="1:29" ht="9.9499999999999993" customHeight="1" x14ac:dyDescent="0.15">
      <c r="A249" s="238" t="s">
        <v>42</v>
      </c>
      <c r="B249" s="245"/>
      <c r="C249" s="245"/>
      <c r="D249" s="246"/>
      <c r="E249" s="261" t="s">
        <v>6</v>
      </c>
      <c r="F249" s="261" t="s">
        <v>195</v>
      </c>
      <c r="G249" s="244"/>
      <c r="H249" s="263">
        <v>6.4</v>
      </c>
      <c r="I249" s="244"/>
      <c r="J249" s="264" t="s">
        <v>195</v>
      </c>
      <c r="K249" s="244"/>
      <c r="L249" s="263" t="s">
        <v>195</v>
      </c>
      <c r="M249" s="244"/>
      <c r="N249" s="263" t="s">
        <v>195</v>
      </c>
      <c r="O249" s="244"/>
      <c r="P249" s="263" t="s">
        <v>195</v>
      </c>
      <c r="Q249" s="244"/>
      <c r="R249" s="263" t="s">
        <v>195</v>
      </c>
      <c r="S249" s="244"/>
      <c r="T249" s="263" t="s">
        <v>195</v>
      </c>
      <c r="U249" s="244"/>
      <c r="V249" s="263" t="s">
        <v>195</v>
      </c>
      <c r="W249" s="244"/>
      <c r="X249" s="263" t="s">
        <v>195</v>
      </c>
      <c r="Y249" s="244"/>
      <c r="Z249" s="263" t="s">
        <v>195</v>
      </c>
      <c r="AA249" s="244"/>
      <c r="AB249" s="263" t="s">
        <v>195</v>
      </c>
      <c r="AC249" s="244"/>
    </row>
    <row r="250" spans="1:29" ht="9.9499999999999993" customHeight="1" x14ac:dyDescent="0.15">
      <c r="A250" s="238" t="s">
        <v>42</v>
      </c>
      <c r="B250" s="259" t="s">
        <v>453</v>
      </c>
      <c r="C250" s="259" t="s">
        <v>268</v>
      </c>
      <c r="D250" s="242"/>
      <c r="E250" s="261" t="s">
        <v>444</v>
      </c>
      <c r="F250" s="261" t="s">
        <v>195</v>
      </c>
      <c r="G250" s="262" t="s">
        <v>69</v>
      </c>
      <c r="H250" s="261" t="s">
        <v>195</v>
      </c>
      <c r="I250" s="262" t="s">
        <v>77</v>
      </c>
      <c r="J250" s="261" t="s">
        <v>195</v>
      </c>
      <c r="K250" s="262" t="s">
        <v>505</v>
      </c>
      <c r="L250" s="261" t="s">
        <v>195</v>
      </c>
      <c r="M250" s="265" t="s">
        <v>67</v>
      </c>
      <c r="N250" s="261" t="s">
        <v>195</v>
      </c>
      <c r="O250" s="262" t="s">
        <v>68</v>
      </c>
      <c r="P250" s="261" t="s">
        <v>195</v>
      </c>
      <c r="Q250" s="262" t="s">
        <v>500</v>
      </c>
      <c r="R250" s="261" t="s">
        <v>195</v>
      </c>
      <c r="S250" s="262" t="s">
        <v>71</v>
      </c>
      <c r="T250" s="261" t="s">
        <v>195</v>
      </c>
      <c r="U250" s="265" t="s">
        <v>470</v>
      </c>
      <c r="V250" s="261" t="s">
        <v>195</v>
      </c>
      <c r="W250" s="262" t="s">
        <v>72</v>
      </c>
      <c r="X250" s="261" t="s">
        <v>195</v>
      </c>
      <c r="Y250" s="262" t="s">
        <v>470</v>
      </c>
      <c r="Z250" s="261" t="s">
        <v>195</v>
      </c>
      <c r="AA250" s="262" t="s">
        <v>500</v>
      </c>
      <c r="AB250" s="261" t="s">
        <v>195</v>
      </c>
      <c r="AC250" s="262" t="s">
        <v>505</v>
      </c>
    </row>
    <row r="251" spans="1:29" ht="9.9499999999999993" customHeight="1" x14ac:dyDescent="0.15">
      <c r="A251" s="238" t="s">
        <v>42</v>
      </c>
      <c r="B251" s="248"/>
      <c r="C251" s="248"/>
      <c r="D251" s="249"/>
      <c r="E251" s="261" t="s">
        <v>517</v>
      </c>
      <c r="F251" s="261" t="s">
        <v>195</v>
      </c>
      <c r="G251" s="247"/>
      <c r="H251" s="261" t="s">
        <v>195</v>
      </c>
      <c r="I251" s="247"/>
      <c r="J251" s="261" t="s">
        <v>195</v>
      </c>
      <c r="K251" s="247"/>
      <c r="L251" s="261" t="s">
        <v>195</v>
      </c>
      <c r="M251" s="247"/>
      <c r="N251" s="261" t="s">
        <v>195</v>
      </c>
      <c r="O251" s="247"/>
      <c r="P251" s="261" t="s">
        <v>195</v>
      </c>
      <c r="Q251" s="247"/>
      <c r="R251" s="261" t="s">
        <v>195</v>
      </c>
      <c r="S251" s="247"/>
      <c r="T251" s="261">
        <v>3</v>
      </c>
      <c r="U251" s="247"/>
      <c r="V251" s="261">
        <v>27</v>
      </c>
      <c r="W251" s="247"/>
      <c r="X251" s="261" t="s">
        <v>195</v>
      </c>
      <c r="Y251" s="247"/>
      <c r="Z251" s="261">
        <v>5.6</v>
      </c>
      <c r="AA251" s="247"/>
      <c r="AB251" s="261" t="s">
        <v>195</v>
      </c>
      <c r="AC251" s="247"/>
    </row>
    <row r="252" spans="1:29" ht="9.9499999999999993" customHeight="1" x14ac:dyDescent="0.15">
      <c r="A252" s="238" t="s">
        <v>42</v>
      </c>
      <c r="B252" s="248"/>
      <c r="C252" s="245"/>
      <c r="D252" s="246"/>
      <c r="E252" s="261" t="s">
        <v>6</v>
      </c>
      <c r="F252" s="261" t="s">
        <v>195</v>
      </c>
      <c r="G252" s="244"/>
      <c r="H252" s="261" t="s">
        <v>195</v>
      </c>
      <c r="I252" s="244"/>
      <c r="J252" s="261" t="s">
        <v>195</v>
      </c>
      <c r="K252" s="244"/>
      <c r="L252" s="261" t="s">
        <v>195</v>
      </c>
      <c r="M252" s="244"/>
      <c r="N252" s="261" t="s">
        <v>195</v>
      </c>
      <c r="O252" s="244"/>
      <c r="P252" s="261" t="s">
        <v>195</v>
      </c>
      <c r="Q252" s="244"/>
      <c r="R252" s="261" t="s">
        <v>195</v>
      </c>
      <c r="S252" s="244"/>
      <c r="T252" s="261">
        <v>3</v>
      </c>
      <c r="U252" s="244"/>
      <c r="V252" s="261">
        <v>2.7</v>
      </c>
      <c r="W252" s="244"/>
      <c r="X252" s="261" t="s">
        <v>195</v>
      </c>
      <c r="Y252" s="244"/>
      <c r="Z252" s="261">
        <v>5.6</v>
      </c>
      <c r="AA252" s="244"/>
      <c r="AB252" s="261" t="s">
        <v>195</v>
      </c>
      <c r="AC252" s="244"/>
    </row>
    <row r="253" spans="1:29" ht="9.9499999999999993" customHeight="1" x14ac:dyDescent="0.15">
      <c r="A253" s="238" t="s">
        <v>42</v>
      </c>
      <c r="B253" s="248"/>
      <c r="C253" s="259" t="s">
        <v>53</v>
      </c>
      <c r="D253" s="242"/>
      <c r="E253" s="261" t="s">
        <v>444</v>
      </c>
      <c r="F253" s="261">
        <v>1.1000000000000001</v>
      </c>
      <c r="G253" s="262" t="s">
        <v>69</v>
      </c>
      <c r="H253" s="261" t="s">
        <v>195</v>
      </c>
      <c r="I253" s="262" t="s">
        <v>77</v>
      </c>
      <c r="J253" s="261" t="s">
        <v>195</v>
      </c>
      <c r="K253" s="262" t="s">
        <v>505</v>
      </c>
      <c r="L253" s="261" t="s">
        <v>195</v>
      </c>
      <c r="M253" s="265" t="s">
        <v>67</v>
      </c>
      <c r="N253" s="261">
        <v>1.5</v>
      </c>
      <c r="O253" s="262" t="s">
        <v>68</v>
      </c>
      <c r="P253" s="261">
        <v>1.3</v>
      </c>
      <c r="Q253" s="262" t="s">
        <v>500</v>
      </c>
      <c r="R253" s="261">
        <v>0.85</v>
      </c>
      <c r="S253" s="262" t="s">
        <v>71</v>
      </c>
      <c r="T253" s="261" t="s">
        <v>195</v>
      </c>
      <c r="U253" s="265" t="s">
        <v>470</v>
      </c>
      <c r="V253" s="261" t="s">
        <v>195</v>
      </c>
      <c r="W253" s="262" t="s">
        <v>72</v>
      </c>
      <c r="X253" s="261">
        <v>1.1000000000000001</v>
      </c>
      <c r="Y253" s="262" t="s">
        <v>470</v>
      </c>
      <c r="Z253" s="261" t="s">
        <v>195</v>
      </c>
      <c r="AA253" s="262" t="s">
        <v>500</v>
      </c>
      <c r="AB253" s="261">
        <v>0.88</v>
      </c>
      <c r="AC253" s="262" t="s">
        <v>505</v>
      </c>
    </row>
    <row r="254" spans="1:29" ht="9.9499999999999993" customHeight="1" x14ac:dyDescent="0.15">
      <c r="A254" s="238" t="s">
        <v>42</v>
      </c>
      <c r="B254" s="248"/>
      <c r="C254" s="248"/>
      <c r="D254" s="249"/>
      <c r="E254" s="261" t="s">
        <v>517</v>
      </c>
      <c r="F254" s="263">
        <v>6.6</v>
      </c>
      <c r="G254" s="247"/>
      <c r="H254" s="261" t="s">
        <v>195</v>
      </c>
      <c r="I254" s="247"/>
      <c r="J254" s="261">
        <v>4.3</v>
      </c>
      <c r="K254" s="247"/>
      <c r="L254" s="261">
        <v>3.3</v>
      </c>
      <c r="M254" s="247"/>
      <c r="N254" s="261">
        <v>9.1</v>
      </c>
      <c r="O254" s="247"/>
      <c r="P254" s="261">
        <v>7.8</v>
      </c>
      <c r="Q254" s="247"/>
      <c r="R254" s="261">
        <v>5.0999999999999996</v>
      </c>
      <c r="S254" s="247"/>
      <c r="T254" s="261">
        <v>5.2</v>
      </c>
      <c r="U254" s="247"/>
      <c r="V254" s="261">
        <v>55</v>
      </c>
      <c r="W254" s="247"/>
      <c r="X254" s="261">
        <v>64</v>
      </c>
      <c r="Y254" s="247"/>
      <c r="Z254" s="261">
        <v>5.6</v>
      </c>
      <c r="AA254" s="247"/>
      <c r="AB254" s="261">
        <v>6.6</v>
      </c>
      <c r="AC254" s="247"/>
    </row>
    <row r="255" spans="1:29" ht="9.9499999999999993" customHeight="1" x14ac:dyDescent="0.15">
      <c r="A255" s="238" t="s">
        <v>42</v>
      </c>
      <c r="B255" s="245"/>
      <c r="C255" s="245"/>
      <c r="D255" s="246"/>
      <c r="E255" s="261" t="s">
        <v>6</v>
      </c>
      <c r="F255" s="266">
        <v>7.7</v>
      </c>
      <c r="G255" s="244"/>
      <c r="H255" s="261" t="s">
        <v>195</v>
      </c>
      <c r="I255" s="244"/>
      <c r="J255" s="261">
        <v>4.3</v>
      </c>
      <c r="K255" s="244"/>
      <c r="L255" s="261">
        <v>3.3</v>
      </c>
      <c r="M255" s="244"/>
      <c r="N255" s="261">
        <v>10.6</v>
      </c>
      <c r="O255" s="244"/>
      <c r="P255" s="261">
        <v>9.1</v>
      </c>
      <c r="Q255" s="244"/>
      <c r="R255" s="261">
        <v>5.95</v>
      </c>
      <c r="S255" s="244"/>
      <c r="T255" s="261">
        <v>5.2</v>
      </c>
      <c r="U255" s="244"/>
      <c r="V255" s="261">
        <v>5.5</v>
      </c>
      <c r="W255" s="244"/>
      <c r="X255" s="261">
        <v>7.5</v>
      </c>
      <c r="Y255" s="244"/>
      <c r="Z255" s="261">
        <v>5.6</v>
      </c>
      <c r="AA255" s="244"/>
      <c r="AB255" s="261">
        <v>7.48</v>
      </c>
      <c r="AC255" s="244"/>
    </row>
    <row r="256" spans="1:29" ht="9.9499999999999993" customHeight="1" x14ac:dyDescent="0.15">
      <c r="A256" s="238" t="s">
        <v>42</v>
      </c>
      <c r="B256" s="259" t="s">
        <v>457</v>
      </c>
      <c r="C256" s="259" t="s">
        <v>268</v>
      </c>
      <c r="D256" s="242"/>
      <c r="E256" s="261" t="s">
        <v>444</v>
      </c>
      <c r="F256" s="261" t="s">
        <v>195</v>
      </c>
      <c r="G256" s="262" t="s">
        <v>69</v>
      </c>
      <c r="H256" s="261" t="s">
        <v>195</v>
      </c>
      <c r="I256" s="262" t="s">
        <v>77</v>
      </c>
      <c r="J256" s="261" t="s">
        <v>195</v>
      </c>
      <c r="K256" s="262" t="s">
        <v>505</v>
      </c>
      <c r="L256" s="261" t="s">
        <v>195</v>
      </c>
      <c r="M256" s="265" t="s">
        <v>67</v>
      </c>
      <c r="N256" s="261" t="s">
        <v>195</v>
      </c>
      <c r="O256" s="262" t="s">
        <v>68</v>
      </c>
      <c r="P256" s="261" t="s">
        <v>195</v>
      </c>
      <c r="Q256" s="262" t="s">
        <v>500</v>
      </c>
      <c r="R256" s="261" t="s">
        <v>195</v>
      </c>
      <c r="S256" s="262" t="s">
        <v>71</v>
      </c>
      <c r="T256" s="261" t="s">
        <v>195</v>
      </c>
      <c r="U256" s="265" t="s">
        <v>470</v>
      </c>
      <c r="V256" s="261" t="s">
        <v>195</v>
      </c>
      <c r="W256" s="262" t="s">
        <v>72</v>
      </c>
      <c r="X256" s="261" t="s">
        <v>195</v>
      </c>
      <c r="Y256" s="262" t="s">
        <v>470</v>
      </c>
      <c r="Z256" s="261" t="s">
        <v>195</v>
      </c>
      <c r="AA256" s="262" t="s">
        <v>500</v>
      </c>
      <c r="AB256" s="261" t="s">
        <v>195</v>
      </c>
      <c r="AC256" s="262" t="s">
        <v>505</v>
      </c>
    </row>
    <row r="257" spans="1:29" ht="9.9499999999999993" customHeight="1" x14ac:dyDescent="0.15">
      <c r="A257" s="238" t="s">
        <v>42</v>
      </c>
      <c r="B257" s="248"/>
      <c r="C257" s="248"/>
      <c r="D257" s="249"/>
      <c r="E257" s="261" t="s">
        <v>517</v>
      </c>
      <c r="F257" s="261" t="s">
        <v>195</v>
      </c>
      <c r="G257" s="247"/>
      <c r="H257" s="263" t="s">
        <v>195</v>
      </c>
      <c r="I257" s="247"/>
      <c r="J257" s="263" t="s">
        <v>195</v>
      </c>
      <c r="K257" s="247"/>
      <c r="L257" s="263" t="s">
        <v>195</v>
      </c>
      <c r="M257" s="247"/>
      <c r="N257" s="263" t="s">
        <v>195</v>
      </c>
      <c r="O257" s="247"/>
      <c r="P257" s="263" t="s">
        <v>195</v>
      </c>
      <c r="Q257" s="247"/>
      <c r="R257" s="263" t="s">
        <v>195</v>
      </c>
      <c r="S257" s="247"/>
      <c r="T257" s="261" t="s">
        <v>195</v>
      </c>
      <c r="U257" s="247"/>
      <c r="V257" s="263" t="s">
        <v>195</v>
      </c>
      <c r="W257" s="247"/>
      <c r="X257" s="263" t="s">
        <v>195</v>
      </c>
      <c r="Y257" s="247"/>
      <c r="Z257" s="263" t="s">
        <v>195</v>
      </c>
      <c r="AA257" s="247"/>
      <c r="AB257" s="263" t="s">
        <v>195</v>
      </c>
      <c r="AC257" s="247"/>
    </row>
    <row r="258" spans="1:29" ht="9.9499999999999993" customHeight="1" x14ac:dyDescent="0.15">
      <c r="A258" s="238" t="s">
        <v>42</v>
      </c>
      <c r="B258" s="248"/>
      <c r="C258" s="245"/>
      <c r="D258" s="246"/>
      <c r="E258" s="261" t="s">
        <v>6</v>
      </c>
      <c r="F258" s="261" t="s">
        <v>195</v>
      </c>
      <c r="G258" s="244"/>
      <c r="H258" s="263" t="s">
        <v>195</v>
      </c>
      <c r="I258" s="244"/>
      <c r="J258" s="263" t="s">
        <v>195</v>
      </c>
      <c r="K258" s="244"/>
      <c r="L258" s="263" t="s">
        <v>195</v>
      </c>
      <c r="M258" s="244"/>
      <c r="N258" s="263" t="s">
        <v>195</v>
      </c>
      <c r="O258" s="244"/>
      <c r="P258" s="263" t="s">
        <v>195</v>
      </c>
      <c r="Q258" s="244"/>
      <c r="R258" s="263" t="s">
        <v>195</v>
      </c>
      <c r="S258" s="244"/>
      <c r="T258" s="263" t="s">
        <v>195</v>
      </c>
      <c r="U258" s="244"/>
      <c r="V258" s="263" t="s">
        <v>195</v>
      </c>
      <c r="W258" s="244"/>
      <c r="X258" s="263" t="s">
        <v>195</v>
      </c>
      <c r="Y258" s="244"/>
      <c r="Z258" s="263" t="s">
        <v>195</v>
      </c>
      <c r="AA258" s="244"/>
      <c r="AB258" s="263" t="s">
        <v>195</v>
      </c>
      <c r="AC258" s="244"/>
    </row>
    <row r="259" spans="1:29" ht="9.9499999999999993" customHeight="1" x14ac:dyDescent="0.15">
      <c r="A259" s="238" t="s">
        <v>42</v>
      </c>
      <c r="B259" s="248"/>
      <c r="C259" s="259" t="s">
        <v>53</v>
      </c>
      <c r="D259" s="242"/>
      <c r="E259" s="261" t="s">
        <v>444</v>
      </c>
      <c r="F259" s="261" t="s">
        <v>195</v>
      </c>
      <c r="G259" s="262" t="s">
        <v>69</v>
      </c>
      <c r="H259" s="261" t="s">
        <v>195</v>
      </c>
      <c r="I259" s="262" t="s">
        <v>77</v>
      </c>
      <c r="J259" s="261" t="s">
        <v>195</v>
      </c>
      <c r="K259" s="262" t="s">
        <v>505</v>
      </c>
      <c r="L259" s="261" t="s">
        <v>195</v>
      </c>
      <c r="M259" s="265" t="s">
        <v>67</v>
      </c>
      <c r="N259" s="261" t="s">
        <v>195</v>
      </c>
      <c r="O259" s="262" t="s">
        <v>68</v>
      </c>
      <c r="P259" s="261" t="s">
        <v>195</v>
      </c>
      <c r="Q259" s="262" t="s">
        <v>500</v>
      </c>
      <c r="R259" s="261" t="s">
        <v>195</v>
      </c>
      <c r="S259" s="262" t="s">
        <v>71</v>
      </c>
      <c r="T259" s="261" t="s">
        <v>195</v>
      </c>
      <c r="U259" s="265" t="s">
        <v>470</v>
      </c>
      <c r="V259" s="261" t="s">
        <v>195</v>
      </c>
      <c r="W259" s="262" t="s">
        <v>72</v>
      </c>
      <c r="X259" s="261" t="s">
        <v>195</v>
      </c>
      <c r="Y259" s="262" t="s">
        <v>470</v>
      </c>
      <c r="Z259" s="261" t="s">
        <v>195</v>
      </c>
      <c r="AA259" s="262" t="s">
        <v>500</v>
      </c>
      <c r="AB259" s="261" t="s">
        <v>195</v>
      </c>
      <c r="AC259" s="262" t="s">
        <v>505</v>
      </c>
    </row>
    <row r="260" spans="1:29" ht="9.9499999999999993" customHeight="1" x14ac:dyDescent="0.15">
      <c r="A260" s="238" t="s">
        <v>42</v>
      </c>
      <c r="B260" s="248"/>
      <c r="C260" s="248"/>
      <c r="D260" s="249"/>
      <c r="E260" s="261" t="s">
        <v>517</v>
      </c>
      <c r="F260" s="261" t="s">
        <v>195</v>
      </c>
      <c r="G260" s="247"/>
      <c r="H260" s="263" t="s">
        <v>195</v>
      </c>
      <c r="I260" s="247"/>
      <c r="J260" s="263" t="s">
        <v>195</v>
      </c>
      <c r="K260" s="247"/>
      <c r="L260" s="263" t="s">
        <v>195</v>
      </c>
      <c r="M260" s="247"/>
      <c r="N260" s="263" t="s">
        <v>195</v>
      </c>
      <c r="O260" s="247"/>
      <c r="P260" s="263" t="s">
        <v>195</v>
      </c>
      <c r="Q260" s="247"/>
      <c r="R260" s="263" t="s">
        <v>195</v>
      </c>
      <c r="S260" s="247"/>
      <c r="T260" s="261" t="s">
        <v>195</v>
      </c>
      <c r="U260" s="247"/>
      <c r="V260" s="263" t="s">
        <v>195</v>
      </c>
      <c r="W260" s="247"/>
      <c r="X260" s="263" t="s">
        <v>195</v>
      </c>
      <c r="Y260" s="247"/>
      <c r="Z260" s="263" t="s">
        <v>195</v>
      </c>
      <c r="AA260" s="247"/>
      <c r="AB260" s="263" t="s">
        <v>195</v>
      </c>
      <c r="AC260" s="247"/>
    </row>
    <row r="261" spans="1:29" ht="9.9499999999999993" customHeight="1" x14ac:dyDescent="0.15">
      <c r="A261" s="238" t="s">
        <v>42</v>
      </c>
      <c r="B261" s="245"/>
      <c r="C261" s="245"/>
      <c r="D261" s="246"/>
      <c r="E261" s="261" t="s">
        <v>6</v>
      </c>
      <c r="F261" s="261" t="s">
        <v>195</v>
      </c>
      <c r="G261" s="244"/>
      <c r="H261" s="263" t="s">
        <v>195</v>
      </c>
      <c r="I261" s="244"/>
      <c r="J261" s="263" t="s">
        <v>195</v>
      </c>
      <c r="K261" s="244"/>
      <c r="L261" s="263" t="s">
        <v>195</v>
      </c>
      <c r="M261" s="244"/>
      <c r="N261" s="263" t="s">
        <v>195</v>
      </c>
      <c r="O261" s="244"/>
      <c r="P261" s="263" t="s">
        <v>195</v>
      </c>
      <c r="Q261" s="244"/>
      <c r="R261" s="263" t="s">
        <v>195</v>
      </c>
      <c r="S261" s="244"/>
      <c r="T261" s="263" t="s">
        <v>195</v>
      </c>
      <c r="U261" s="244"/>
      <c r="V261" s="263" t="s">
        <v>195</v>
      </c>
      <c r="W261" s="244"/>
      <c r="X261" s="263" t="s">
        <v>195</v>
      </c>
      <c r="Y261" s="244"/>
      <c r="Z261" s="263" t="s">
        <v>195</v>
      </c>
      <c r="AA261" s="244"/>
      <c r="AB261" s="263" t="s">
        <v>195</v>
      </c>
      <c r="AC261" s="244"/>
    </row>
    <row r="262" spans="1:29" ht="9.9499999999999993" customHeight="1" x14ac:dyDescent="0.15">
      <c r="A262" s="238" t="s">
        <v>44</v>
      </c>
      <c r="B262" s="253" t="s">
        <v>506</v>
      </c>
      <c r="C262" s="236"/>
      <c r="D262" s="236"/>
      <c r="E262" s="294"/>
      <c r="F262" s="236"/>
      <c r="G262" s="236"/>
      <c r="H262" s="236"/>
      <c r="I262" s="236"/>
      <c r="J262" s="236"/>
      <c r="K262" s="236"/>
      <c r="L262" s="236"/>
      <c r="M262" s="236"/>
      <c r="N262" s="236"/>
      <c r="O262" s="236"/>
      <c r="P262" s="236"/>
      <c r="Q262" s="236"/>
      <c r="R262" s="236"/>
      <c r="S262" s="236"/>
      <c r="T262" s="236"/>
      <c r="U262" s="236"/>
      <c r="V262" s="236"/>
      <c r="W262" s="236"/>
      <c r="X262" s="236"/>
      <c r="Y262" s="236"/>
      <c r="Z262" s="236"/>
      <c r="AA262" s="236"/>
      <c r="AB262" s="236"/>
      <c r="AC262" s="250"/>
    </row>
    <row r="263" spans="1:29" ht="9.9499999999999993" customHeight="1" x14ac:dyDescent="0.15">
      <c r="A263" s="238" t="s">
        <v>44</v>
      </c>
      <c r="B263" s="295" t="s">
        <v>0</v>
      </c>
      <c r="C263" s="296" t="s">
        <v>450</v>
      </c>
      <c r="D263" s="297"/>
      <c r="E263" s="298"/>
      <c r="F263" s="299" t="s">
        <v>480</v>
      </c>
      <c r="G263" s="300"/>
      <c r="H263" s="299" t="s">
        <v>485</v>
      </c>
      <c r="I263" s="300"/>
      <c r="J263" s="299" t="s">
        <v>489</v>
      </c>
      <c r="K263" s="300"/>
      <c r="L263" s="299" t="s">
        <v>464</v>
      </c>
      <c r="M263" s="300"/>
      <c r="N263" s="299" t="s">
        <v>496</v>
      </c>
      <c r="O263" s="300"/>
      <c r="P263" s="299" t="s">
        <v>501</v>
      </c>
      <c r="Q263" s="300"/>
      <c r="R263" s="299" t="s">
        <v>22</v>
      </c>
      <c r="S263" s="300"/>
      <c r="T263" s="299" t="s">
        <v>23</v>
      </c>
      <c r="U263" s="300"/>
      <c r="V263" s="299" t="s">
        <v>12</v>
      </c>
      <c r="W263" s="300"/>
      <c r="X263" s="299" t="s">
        <v>13</v>
      </c>
      <c r="Y263" s="300"/>
      <c r="Z263" s="299" t="s">
        <v>14</v>
      </c>
      <c r="AA263" s="300"/>
      <c r="AB263" s="299" t="s">
        <v>15</v>
      </c>
      <c r="AC263" s="301"/>
    </row>
    <row r="264" spans="1:29" ht="9.9499999999999993" customHeight="1" x14ac:dyDescent="0.15">
      <c r="A264" s="238" t="s">
        <v>44</v>
      </c>
      <c r="B264" s="302"/>
      <c r="C264" s="245"/>
      <c r="D264" s="240"/>
      <c r="E264" s="246"/>
      <c r="F264" s="261" t="s">
        <v>3</v>
      </c>
      <c r="G264" s="261" t="s">
        <v>1</v>
      </c>
      <c r="H264" s="261" t="s">
        <v>3</v>
      </c>
      <c r="I264" s="261" t="s">
        <v>4</v>
      </c>
      <c r="J264" s="261" t="s">
        <v>3</v>
      </c>
      <c r="K264" s="261" t="s">
        <v>4</v>
      </c>
      <c r="L264" s="261" t="s">
        <v>3</v>
      </c>
      <c r="M264" s="261" t="s">
        <v>4</v>
      </c>
      <c r="N264" s="261" t="s">
        <v>3</v>
      </c>
      <c r="O264" s="261" t="s">
        <v>4</v>
      </c>
      <c r="P264" s="261" t="s">
        <v>3</v>
      </c>
      <c r="Q264" s="261" t="s">
        <v>4</v>
      </c>
      <c r="R264" s="261" t="s">
        <v>3</v>
      </c>
      <c r="S264" s="261" t="s">
        <v>4</v>
      </c>
      <c r="T264" s="261" t="s">
        <v>3</v>
      </c>
      <c r="U264" s="261" t="s">
        <v>4</v>
      </c>
      <c r="V264" s="261" t="s">
        <v>3</v>
      </c>
      <c r="W264" s="261" t="s">
        <v>4</v>
      </c>
      <c r="X264" s="261" t="s">
        <v>3</v>
      </c>
      <c r="Y264" s="261" t="s">
        <v>4</v>
      </c>
      <c r="Z264" s="261" t="s">
        <v>3</v>
      </c>
      <c r="AA264" s="261" t="s">
        <v>4</v>
      </c>
      <c r="AB264" s="261" t="s">
        <v>3</v>
      </c>
      <c r="AC264" s="303" t="s">
        <v>4</v>
      </c>
    </row>
    <row r="265" spans="1:29" ht="9.9499999999999993" customHeight="1" x14ac:dyDescent="0.15">
      <c r="A265" s="238" t="s">
        <v>44</v>
      </c>
      <c r="B265" s="304" t="s">
        <v>70</v>
      </c>
      <c r="C265" s="258" t="s">
        <v>267</v>
      </c>
      <c r="D265" s="258" t="s">
        <v>462</v>
      </c>
      <c r="E265" s="261" t="s">
        <v>444</v>
      </c>
      <c r="F265" s="279" t="s">
        <v>195</v>
      </c>
      <c r="G265" s="262" t="s">
        <v>71</v>
      </c>
      <c r="H265" s="277" t="s">
        <v>195</v>
      </c>
      <c r="I265" s="262" t="s">
        <v>71</v>
      </c>
      <c r="J265" s="277" t="s">
        <v>195</v>
      </c>
      <c r="K265" s="262" t="s">
        <v>478</v>
      </c>
      <c r="L265" s="277" t="s">
        <v>195</v>
      </c>
      <c r="M265" s="265" t="s">
        <v>484</v>
      </c>
      <c r="N265" s="277" t="s">
        <v>195</v>
      </c>
      <c r="O265" s="262" t="s">
        <v>73</v>
      </c>
      <c r="P265" s="277" t="s">
        <v>195</v>
      </c>
      <c r="Q265" s="262" t="s">
        <v>495</v>
      </c>
      <c r="R265" s="277" t="s">
        <v>195</v>
      </c>
      <c r="S265" s="262" t="s">
        <v>509</v>
      </c>
      <c r="T265" s="277" t="s">
        <v>195</v>
      </c>
      <c r="U265" s="265" t="s">
        <v>514</v>
      </c>
      <c r="V265" s="277" t="s">
        <v>195</v>
      </c>
      <c r="W265" s="262" t="s">
        <v>77</v>
      </c>
      <c r="X265" s="277" t="s">
        <v>195</v>
      </c>
      <c r="Y265" s="262" t="s">
        <v>73</v>
      </c>
      <c r="Z265" s="277" t="s">
        <v>195</v>
      </c>
      <c r="AA265" s="262" t="s">
        <v>68</v>
      </c>
      <c r="AB265" s="277" t="s">
        <v>195</v>
      </c>
      <c r="AC265" s="305" t="s">
        <v>505</v>
      </c>
    </row>
    <row r="266" spans="1:29" ht="9.9499999999999993" customHeight="1" x14ac:dyDescent="0.15">
      <c r="A266" s="238" t="s">
        <v>44</v>
      </c>
      <c r="B266" s="306"/>
      <c r="C266" s="247"/>
      <c r="D266" s="247"/>
      <c r="E266" s="261" t="s">
        <v>517</v>
      </c>
      <c r="F266" s="277" t="s">
        <v>195</v>
      </c>
      <c r="G266" s="276"/>
      <c r="H266" s="279" t="s">
        <v>195</v>
      </c>
      <c r="I266" s="276"/>
      <c r="J266" s="279" t="s">
        <v>195</v>
      </c>
      <c r="K266" s="276"/>
      <c r="L266" s="279" t="s">
        <v>195</v>
      </c>
      <c r="M266" s="276"/>
      <c r="N266" s="279" t="s">
        <v>195</v>
      </c>
      <c r="O266" s="276"/>
      <c r="P266" s="279" t="s">
        <v>195</v>
      </c>
      <c r="Q266" s="276"/>
      <c r="R266" s="279" t="s">
        <v>195</v>
      </c>
      <c r="S266" s="276"/>
      <c r="T266" s="279" t="s">
        <v>195</v>
      </c>
      <c r="U266" s="276"/>
      <c r="V266" s="277" t="s">
        <v>195</v>
      </c>
      <c r="W266" s="276"/>
      <c r="X266" s="279" t="s">
        <v>195</v>
      </c>
      <c r="Y266" s="276"/>
      <c r="Z266" s="279" t="s">
        <v>195</v>
      </c>
      <c r="AA266" s="276"/>
      <c r="AB266" s="279" t="s">
        <v>195</v>
      </c>
      <c r="AC266" s="307"/>
    </row>
    <row r="267" spans="1:29" ht="9.9499999999999993" customHeight="1" x14ac:dyDescent="0.15">
      <c r="A267" s="238" t="s">
        <v>44</v>
      </c>
      <c r="B267" s="306"/>
      <c r="C267" s="247"/>
      <c r="D267" s="244"/>
      <c r="E267" s="261" t="s">
        <v>6</v>
      </c>
      <c r="F267" s="279" t="s">
        <v>195</v>
      </c>
      <c r="G267" s="278"/>
      <c r="H267" s="279" t="s">
        <v>195</v>
      </c>
      <c r="I267" s="278"/>
      <c r="J267" s="279" t="s">
        <v>195</v>
      </c>
      <c r="K267" s="278"/>
      <c r="L267" s="279" t="s">
        <v>195</v>
      </c>
      <c r="M267" s="278"/>
      <c r="N267" s="279" t="s">
        <v>195</v>
      </c>
      <c r="O267" s="278"/>
      <c r="P267" s="279" t="s">
        <v>195</v>
      </c>
      <c r="Q267" s="278"/>
      <c r="R267" s="279" t="s">
        <v>195</v>
      </c>
      <c r="S267" s="278"/>
      <c r="T267" s="279" t="s">
        <v>195</v>
      </c>
      <c r="U267" s="278"/>
      <c r="V267" s="277" t="s">
        <v>195</v>
      </c>
      <c r="W267" s="278"/>
      <c r="X267" s="279" t="s">
        <v>195</v>
      </c>
      <c r="Y267" s="278"/>
      <c r="Z267" s="279" t="s">
        <v>195</v>
      </c>
      <c r="AA267" s="278"/>
      <c r="AB267" s="279" t="s">
        <v>195</v>
      </c>
      <c r="AC267" s="308"/>
    </row>
    <row r="268" spans="1:29" ht="9.9499999999999993" customHeight="1" x14ac:dyDescent="0.15">
      <c r="A268" s="238" t="s">
        <v>44</v>
      </c>
      <c r="B268" s="306"/>
      <c r="C268" s="247"/>
      <c r="D268" s="258" t="s">
        <v>463</v>
      </c>
      <c r="E268" s="261" t="s">
        <v>444</v>
      </c>
      <c r="F268" s="277" t="s">
        <v>195</v>
      </c>
      <c r="G268" s="262" t="s">
        <v>71</v>
      </c>
      <c r="H268" s="277" t="s">
        <v>195</v>
      </c>
      <c r="I268" s="262" t="s">
        <v>71</v>
      </c>
      <c r="J268" s="277" t="s">
        <v>195</v>
      </c>
      <c r="K268" s="262" t="s">
        <v>478</v>
      </c>
      <c r="L268" s="277" t="s">
        <v>195</v>
      </c>
      <c r="M268" s="265" t="s">
        <v>484</v>
      </c>
      <c r="N268" s="277" t="s">
        <v>195</v>
      </c>
      <c r="O268" s="262" t="s">
        <v>73</v>
      </c>
      <c r="P268" s="277" t="s">
        <v>195</v>
      </c>
      <c r="Q268" s="262" t="s">
        <v>495</v>
      </c>
      <c r="R268" s="277" t="s">
        <v>195</v>
      </c>
      <c r="S268" s="262" t="s">
        <v>509</v>
      </c>
      <c r="T268" s="277" t="s">
        <v>195</v>
      </c>
      <c r="U268" s="265" t="s">
        <v>514</v>
      </c>
      <c r="V268" s="277" t="s">
        <v>195</v>
      </c>
      <c r="W268" s="262" t="s">
        <v>77</v>
      </c>
      <c r="X268" s="277" t="s">
        <v>195</v>
      </c>
      <c r="Y268" s="262" t="s">
        <v>73</v>
      </c>
      <c r="Z268" s="277" t="s">
        <v>195</v>
      </c>
      <c r="AA268" s="262" t="s">
        <v>68</v>
      </c>
      <c r="AB268" s="277" t="s">
        <v>195</v>
      </c>
      <c r="AC268" s="305" t="s">
        <v>505</v>
      </c>
    </row>
    <row r="269" spans="1:29" ht="9.9499999999999993" customHeight="1" x14ac:dyDescent="0.15">
      <c r="A269" s="238" t="s">
        <v>44</v>
      </c>
      <c r="B269" s="306"/>
      <c r="C269" s="247"/>
      <c r="D269" s="247"/>
      <c r="E269" s="261" t="s">
        <v>517</v>
      </c>
      <c r="F269" s="277" t="s">
        <v>195</v>
      </c>
      <c r="G269" s="276"/>
      <c r="H269" s="279" t="s">
        <v>195</v>
      </c>
      <c r="I269" s="276"/>
      <c r="J269" s="279" t="s">
        <v>195</v>
      </c>
      <c r="K269" s="276"/>
      <c r="L269" s="279" t="s">
        <v>195</v>
      </c>
      <c r="M269" s="276"/>
      <c r="N269" s="279" t="s">
        <v>195</v>
      </c>
      <c r="O269" s="276"/>
      <c r="P269" s="279" t="s">
        <v>195</v>
      </c>
      <c r="Q269" s="276"/>
      <c r="R269" s="279" t="s">
        <v>195</v>
      </c>
      <c r="S269" s="276"/>
      <c r="T269" s="279" t="s">
        <v>195</v>
      </c>
      <c r="U269" s="276"/>
      <c r="V269" s="279" t="s">
        <v>195</v>
      </c>
      <c r="W269" s="276"/>
      <c r="X269" s="279" t="s">
        <v>195</v>
      </c>
      <c r="Y269" s="276"/>
      <c r="Z269" s="279" t="s">
        <v>195</v>
      </c>
      <c r="AA269" s="276"/>
      <c r="AB269" s="279" t="s">
        <v>195</v>
      </c>
      <c r="AC269" s="307"/>
    </row>
    <row r="270" spans="1:29" ht="9.9499999999999993" customHeight="1" x14ac:dyDescent="0.15">
      <c r="A270" s="238" t="s">
        <v>44</v>
      </c>
      <c r="B270" s="306"/>
      <c r="C270" s="244"/>
      <c r="D270" s="244"/>
      <c r="E270" s="261" t="s">
        <v>6</v>
      </c>
      <c r="F270" s="277" t="s">
        <v>195</v>
      </c>
      <c r="G270" s="278"/>
      <c r="H270" s="279" t="s">
        <v>195</v>
      </c>
      <c r="I270" s="278"/>
      <c r="J270" s="275" t="s">
        <v>195</v>
      </c>
      <c r="K270" s="278"/>
      <c r="L270" s="279" t="s">
        <v>195</v>
      </c>
      <c r="M270" s="278"/>
      <c r="N270" s="279" t="s">
        <v>195</v>
      </c>
      <c r="O270" s="278"/>
      <c r="P270" s="279" t="s">
        <v>195</v>
      </c>
      <c r="Q270" s="278"/>
      <c r="R270" s="279" t="s">
        <v>195</v>
      </c>
      <c r="S270" s="278"/>
      <c r="T270" s="279" t="s">
        <v>195</v>
      </c>
      <c r="U270" s="278"/>
      <c r="V270" s="279" t="s">
        <v>195</v>
      </c>
      <c r="W270" s="278"/>
      <c r="X270" s="279" t="s">
        <v>195</v>
      </c>
      <c r="Y270" s="278"/>
      <c r="Z270" s="279" t="s">
        <v>195</v>
      </c>
      <c r="AA270" s="278"/>
      <c r="AB270" s="279" t="s">
        <v>195</v>
      </c>
      <c r="AC270" s="308"/>
    </row>
    <row r="271" spans="1:29" ht="9.9499999999999993" customHeight="1" x14ac:dyDescent="0.15">
      <c r="A271" s="238" t="s">
        <v>44</v>
      </c>
      <c r="B271" s="306"/>
      <c r="C271" s="259" t="s">
        <v>62</v>
      </c>
      <c r="D271" s="242"/>
      <c r="E271" s="261" t="s">
        <v>444</v>
      </c>
      <c r="F271" s="277">
        <v>9.1999999999999993</v>
      </c>
      <c r="G271" s="262" t="s">
        <v>71</v>
      </c>
      <c r="H271" s="277">
        <v>8.3000000000000007</v>
      </c>
      <c r="I271" s="262" t="s">
        <v>71</v>
      </c>
      <c r="J271" s="277">
        <v>9.5</v>
      </c>
      <c r="K271" s="262" t="s">
        <v>478</v>
      </c>
      <c r="L271" s="277">
        <v>5.7</v>
      </c>
      <c r="M271" s="265" t="s">
        <v>484</v>
      </c>
      <c r="N271" s="277">
        <v>8.1999999999999993</v>
      </c>
      <c r="O271" s="262" t="s">
        <v>73</v>
      </c>
      <c r="P271" s="277">
        <v>9.8000000000000007</v>
      </c>
      <c r="Q271" s="262" t="s">
        <v>495</v>
      </c>
      <c r="R271" s="277">
        <v>6.8</v>
      </c>
      <c r="S271" s="262" t="s">
        <v>509</v>
      </c>
      <c r="T271" s="277">
        <v>6</v>
      </c>
      <c r="U271" s="265" t="s">
        <v>514</v>
      </c>
      <c r="V271" s="277">
        <v>2.7</v>
      </c>
      <c r="W271" s="262" t="s">
        <v>77</v>
      </c>
      <c r="X271" s="277" t="s">
        <v>195</v>
      </c>
      <c r="Y271" s="262" t="s">
        <v>73</v>
      </c>
      <c r="Z271" s="277" t="s">
        <v>195</v>
      </c>
      <c r="AA271" s="262" t="s">
        <v>68</v>
      </c>
      <c r="AB271" s="277">
        <v>2.1</v>
      </c>
      <c r="AC271" s="305" t="s">
        <v>505</v>
      </c>
    </row>
    <row r="272" spans="1:29" ht="9.9499999999999993" customHeight="1" x14ac:dyDescent="0.15">
      <c r="A272" s="238" t="s">
        <v>44</v>
      </c>
      <c r="B272" s="306"/>
      <c r="C272" s="248"/>
      <c r="D272" s="249"/>
      <c r="E272" s="261" t="s">
        <v>517</v>
      </c>
      <c r="F272" s="277">
        <v>63</v>
      </c>
      <c r="G272" s="276"/>
      <c r="H272" s="277">
        <v>64</v>
      </c>
      <c r="I272" s="276"/>
      <c r="J272" s="277">
        <v>74</v>
      </c>
      <c r="K272" s="276"/>
      <c r="L272" s="277">
        <v>42</v>
      </c>
      <c r="M272" s="276"/>
      <c r="N272" s="277">
        <v>66</v>
      </c>
      <c r="O272" s="276"/>
      <c r="P272" s="277">
        <v>95</v>
      </c>
      <c r="Q272" s="276"/>
      <c r="R272" s="277">
        <v>49</v>
      </c>
      <c r="S272" s="276"/>
      <c r="T272" s="277">
        <v>54</v>
      </c>
      <c r="U272" s="276"/>
      <c r="V272" s="277">
        <v>19</v>
      </c>
      <c r="W272" s="276"/>
      <c r="X272" s="277">
        <v>25</v>
      </c>
      <c r="Y272" s="276"/>
      <c r="Z272" s="277">
        <v>10</v>
      </c>
      <c r="AA272" s="276"/>
      <c r="AB272" s="277">
        <v>18</v>
      </c>
      <c r="AC272" s="307"/>
    </row>
    <row r="273" spans="1:29" ht="9.9499999999999993" customHeight="1" x14ac:dyDescent="0.15">
      <c r="A273" s="238" t="s">
        <v>44</v>
      </c>
      <c r="B273" s="306"/>
      <c r="C273" s="245"/>
      <c r="D273" s="246"/>
      <c r="E273" s="261" t="s">
        <v>6</v>
      </c>
      <c r="F273" s="277">
        <v>72.2</v>
      </c>
      <c r="G273" s="278"/>
      <c r="H273" s="277">
        <v>72.3</v>
      </c>
      <c r="I273" s="278"/>
      <c r="J273" s="277">
        <v>83.5</v>
      </c>
      <c r="K273" s="278"/>
      <c r="L273" s="277">
        <v>47.7</v>
      </c>
      <c r="M273" s="278"/>
      <c r="N273" s="277">
        <v>74.2</v>
      </c>
      <c r="O273" s="278"/>
      <c r="P273" s="277">
        <v>104.8</v>
      </c>
      <c r="Q273" s="278"/>
      <c r="R273" s="277">
        <v>55.8</v>
      </c>
      <c r="S273" s="278"/>
      <c r="T273" s="277">
        <v>60</v>
      </c>
      <c r="U273" s="278"/>
      <c r="V273" s="277">
        <v>21.7</v>
      </c>
      <c r="W273" s="278"/>
      <c r="X273" s="277">
        <v>25</v>
      </c>
      <c r="Y273" s="278"/>
      <c r="Z273" s="277">
        <v>10</v>
      </c>
      <c r="AA273" s="278"/>
      <c r="AB273" s="277">
        <v>20.100000000000001</v>
      </c>
      <c r="AC273" s="308"/>
    </row>
    <row r="274" spans="1:29" ht="9.9499999999999993" customHeight="1" x14ac:dyDescent="0.15">
      <c r="A274" s="238" t="s">
        <v>44</v>
      </c>
      <c r="B274" s="306"/>
      <c r="C274" s="259" t="s">
        <v>80</v>
      </c>
      <c r="D274" s="242"/>
      <c r="E274" s="261" t="s">
        <v>444</v>
      </c>
      <c r="F274" s="277">
        <v>43</v>
      </c>
      <c r="G274" s="262" t="s">
        <v>71</v>
      </c>
      <c r="H274" s="277">
        <v>48</v>
      </c>
      <c r="I274" s="262" t="s">
        <v>71</v>
      </c>
      <c r="J274" s="277">
        <v>58</v>
      </c>
      <c r="K274" s="262" t="s">
        <v>478</v>
      </c>
      <c r="L274" s="277">
        <v>56</v>
      </c>
      <c r="M274" s="265" t="s">
        <v>484</v>
      </c>
      <c r="N274" s="277">
        <v>43</v>
      </c>
      <c r="O274" s="262" t="s">
        <v>73</v>
      </c>
      <c r="P274" s="277">
        <v>31</v>
      </c>
      <c r="Q274" s="262" t="s">
        <v>495</v>
      </c>
      <c r="R274" s="277">
        <v>42</v>
      </c>
      <c r="S274" s="262" t="s">
        <v>509</v>
      </c>
      <c r="T274" s="277">
        <v>40</v>
      </c>
      <c r="U274" s="265" t="s">
        <v>514</v>
      </c>
      <c r="V274" s="277">
        <v>31</v>
      </c>
      <c r="W274" s="262" t="s">
        <v>77</v>
      </c>
      <c r="X274" s="277">
        <v>17</v>
      </c>
      <c r="Y274" s="262" t="s">
        <v>73</v>
      </c>
      <c r="Z274" s="277">
        <v>8.4</v>
      </c>
      <c r="AA274" s="262" t="s">
        <v>68</v>
      </c>
      <c r="AB274" s="277">
        <v>12</v>
      </c>
      <c r="AC274" s="305" t="s">
        <v>505</v>
      </c>
    </row>
    <row r="275" spans="1:29" ht="9.9499999999999993" customHeight="1" x14ac:dyDescent="0.15">
      <c r="A275" s="238" t="s">
        <v>44</v>
      </c>
      <c r="B275" s="306"/>
      <c r="C275" s="248"/>
      <c r="D275" s="249"/>
      <c r="E275" s="261" t="s">
        <v>517</v>
      </c>
      <c r="F275" s="279">
        <v>290</v>
      </c>
      <c r="G275" s="276"/>
      <c r="H275" s="277">
        <v>340</v>
      </c>
      <c r="I275" s="276"/>
      <c r="J275" s="277">
        <v>420</v>
      </c>
      <c r="K275" s="276"/>
      <c r="L275" s="277">
        <v>440</v>
      </c>
      <c r="M275" s="276"/>
      <c r="N275" s="277">
        <v>310</v>
      </c>
      <c r="O275" s="276"/>
      <c r="P275" s="277">
        <v>250</v>
      </c>
      <c r="Q275" s="276"/>
      <c r="R275" s="277">
        <v>370</v>
      </c>
      <c r="S275" s="276"/>
      <c r="T275" s="277">
        <v>310</v>
      </c>
      <c r="U275" s="276"/>
      <c r="V275" s="277">
        <v>240</v>
      </c>
      <c r="W275" s="276"/>
      <c r="X275" s="277">
        <v>170</v>
      </c>
      <c r="Y275" s="276"/>
      <c r="Z275" s="277">
        <v>72</v>
      </c>
      <c r="AA275" s="276"/>
      <c r="AB275" s="277">
        <v>120</v>
      </c>
      <c r="AC275" s="307"/>
    </row>
    <row r="276" spans="1:29" ht="9.9499999999999993" customHeight="1" x14ac:dyDescent="0.15">
      <c r="A276" s="238" t="s">
        <v>44</v>
      </c>
      <c r="B276" s="302"/>
      <c r="C276" s="245"/>
      <c r="D276" s="246"/>
      <c r="E276" s="261" t="s">
        <v>6</v>
      </c>
      <c r="F276" s="271">
        <v>333</v>
      </c>
      <c r="G276" s="278"/>
      <c r="H276" s="277">
        <v>388</v>
      </c>
      <c r="I276" s="278"/>
      <c r="J276" s="277">
        <v>478</v>
      </c>
      <c r="K276" s="278"/>
      <c r="L276" s="277">
        <v>496</v>
      </c>
      <c r="M276" s="278"/>
      <c r="N276" s="277">
        <v>353</v>
      </c>
      <c r="O276" s="278"/>
      <c r="P276" s="277">
        <v>281</v>
      </c>
      <c r="Q276" s="278"/>
      <c r="R276" s="277">
        <v>412</v>
      </c>
      <c r="S276" s="278"/>
      <c r="T276" s="277">
        <v>350</v>
      </c>
      <c r="U276" s="278"/>
      <c r="V276" s="277">
        <v>271</v>
      </c>
      <c r="W276" s="278"/>
      <c r="X276" s="277">
        <v>187</v>
      </c>
      <c r="Y276" s="278"/>
      <c r="Z276" s="277">
        <v>80.400000000000006</v>
      </c>
      <c r="AA276" s="278"/>
      <c r="AB276" s="277">
        <v>132</v>
      </c>
      <c r="AC276" s="308"/>
    </row>
    <row r="277" spans="1:29" ht="9.9499999999999993" customHeight="1" x14ac:dyDescent="0.15">
      <c r="A277" s="238" t="s">
        <v>44</v>
      </c>
      <c r="B277" s="304" t="s">
        <v>56</v>
      </c>
      <c r="C277" s="259" t="s">
        <v>267</v>
      </c>
      <c r="D277" s="242"/>
      <c r="E277" s="261" t="s">
        <v>444</v>
      </c>
      <c r="F277" s="277" t="s">
        <v>195</v>
      </c>
      <c r="G277" s="262" t="s">
        <v>66</v>
      </c>
      <c r="H277" s="277" t="s">
        <v>195</v>
      </c>
      <c r="I277" s="262" t="s">
        <v>65</v>
      </c>
      <c r="J277" s="277" t="s">
        <v>195</v>
      </c>
      <c r="K277" s="262" t="s">
        <v>66</v>
      </c>
      <c r="L277" s="277" t="s">
        <v>195</v>
      </c>
      <c r="M277" s="265" t="s">
        <v>68</v>
      </c>
      <c r="N277" s="277" t="s">
        <v>195</v>
      </c>
      <c r="O277" s="262" t="s">
        <v>478</v>
      </c>
      <c r="P277" s="277" t="s">
        <v>195</v>
      </c>
      <c r="Q277" s="262" t="s">
        <v>74</v>
      </c>
      <c r="R277" s="277" t="s">
        <v>195</v>
      </c>
      <c r="S277" s="262" t="s">
        <v>470</v>
      </c>
      <c r="T277" s="277" t="s">
        <v>195</v>
      </c>
      <c r="U277" s="265" t="s">
        <v>72</v>
      </c>
      <c r="V277" s="277" t="s">
        <v>195</v>
      </c>
      <c r="W277" s="262" t="s">
        <v>510</v>
      </c>
      <c r="X277" s="277" t="s">
        <v>195</v>
      </c>
      <c r="Y277" s="262" t="s">
        <v>509</v>
      </c>
      <c r="Z277" s="277" t="s">
        <v>195</v>
      </c>
      <c r="AA277" s="262" t="s">
        <v>514</v>
      </c>
      <c r="AB277" s="277" t="s">
        <v>195</v>
      </c>
      <c r="AC277" s="305" t="s">
        <v>514</v>
      </c>
    </row>
    <row r="278" spans="1:29" ht="9.9499999999999993" customHeight="1" x14ac:dyDescent="0.15">
      <c r="A278" s="238" t="s">
        <v>44</v>
      </c>
      <c r="B278" s="306"/>
      <c r="C278" s="248"/>
      <c r="D278" s="249"/>
      <c r="E278" s="261" t="s">
        <v>517</v>
      </c>
      <c r="F278" s="277" t="s">
        <v>195</v>
      </c>
      <c r="G278" s="276"/>
      <c r="H278" s="279" t="s">
        <v>195</v>
      </c>
      <c r="I278" s="276"/>
      <c r="J278" s="279" t="s">
        <v>195</v>
      </c>
      <c r="K278" s="276"/>
      <c r="L278" s="279" t="s">
        <v>195</v>
      </c>
      <c r="M278" s="276"/>
      <c r="N278" s="279" t="s">
        <v>195</v>
      </c>
      <c r="O278" s="276"/>
      <c r="P278" s="279" t="s">
        <v>195</v>
      </c>
      <c r="Q278" s="276"/>
      <c r="R278" s="279" t="s">
        <v>195</v>
      </c>
      <c r="S278" s="276"/>
      <c r="T278" s="277" t="s">
        <v>195</v>
      </c>
      <c r="U278" s="276"/>
      <c r="V278" s="279" t="s">
        <v>195</v>
      </c>
      <c r="W278" s="276"/>
      <c r="X278" s="279" t="s">
        <v>195</v>
      </c>
      <c r="Y278" s="276"/>
      <c r="Z278" s="279" t="s">
        <v>195</v>
      </c>
      <c r="AA278" s="276"/>
      <c r="AB278" s="279" t="s">
        <v>195</v>
      </c>
      <c r="AC278" s="307"/>
    </row>
    <row r="279" spans="1:29" ht="9.9499999999999993" customHeight="1" x14ac:dyDescent="0.15">
      <c r="A279" s="238" t="s">
        <v>44</v>
      </c>
      <c r="B279" s="306"/>
      <c r="C279" s="245"/>
      <c r="D279" s="246"/>
      <c r="E279" s="261" t="s">
        <v>6</v>
      </c>
      <c r="F279" s="277" t="s">
        <v>195</v>
      </c>
      <c r="G279" s="278"/>
      <c r="H279" s="279" t="s">
        <v>195</v>
      </c>
      <c r="I279" s="278"/>
      <c r="J279" s="279" t="s">
        <v>195</v>
      </c>
      <c r="K279" s="278"/>
      <c r="L279" s="279" t="s">
        <v>195</v>
      </c>
      <c r="M279" s="278"/>
      <c r="N279" s="279" t="s">
        <v>195</v>
      </c>
      <c r="O279" s="278"/>
      <c r="P279" s="279" t="s">
        <v>195</v>
      </c>
      <c r="Q279" s="278"/>
      <c r="R279" s="279" t="s">
        <v>195</v>
      </c>
      <c r="S279" s="278"/>
      <c r="T279" s="279" t="s">
        <v>195</v>
      </c>
      <c r="U279" s="278"/>
      <c r="V279" s="279" t="s">
        <v>195</v>
      </c>
      <c r="W279" s="278"/>
      <c r="X279" s="279" t="s">
        <v>195</v>
      </c>
      <c r="Y279" s="278"/>
      <c r="Z279" s="279" t="s">
        <v>195</v>
      </c>
      <c r="AA279" s="278"/>
      <c r="AB279" s="279" t="s">
        <v>195</v>
      </c>
      <c r="AC279" s="308"/>
    </row>
    <row r="280" spans="1:29" ht="9.9499999999999993" customHeight="1" x14ac:dyDescent="0.15">
      <c r="A280" s="238" t="s">
        <v>44</v>
      </c>
      <c r="B280" s="306"/>
      <c r="C280" s="259" t="s">
        <v>81</v>
      </c>
      <c r="D280" s="242"/>
      <c r="E280" s="261" t="s">
        <v>444</v>
      </c>
      <c r="F280" s="277">
        <v>34</v>
      </c>
      <c r="G280" s="262" t="s">
        <v>66</v>
      </c>
      <c r="H280" s="277">
        <v>31</v>
      </c>
      <c r="I280" s="262" t="s">
        <v>65</v>
      </c>
      <c r="J280" s="277">
        <v>20</v>
      </c>
      <c r="K280" s="262" t="s">
        <v>66</v>
      </c>
      <c r="L280" s="277">
        <v>25</v>
      </c>
      <c r="M280" s="265" t="s">
        <v>68</v>
      </c>
      <c r="N280" s="277">
        <v>19</v>
      </c>
      <c r="O280" s="262" t="s">
        <v>478</v>
      </c>
      <c r="P280" s="277">
        <v>16</v>
      </c>
      <c r="Q280" s="262" t="s">
        <v>74</v>
      </c>
      <c r="R280" s="277">
        <v>17</v>
      </c>
      <c r="S280" s="262" t="s">
        <v>470</v>
      </c>
      <c r="T280" s="277">
        <v>15</v>
      </c>
      <c r="U280" s="265" t="s">
        <v>72</v>
      </c>
      <c r="V280" s="277">
        <v>13</v>
      </c>
      <c r="W280" s="262" t="s">
        <v>510</v>
      </c>
      <c r="X280" s="280" t="s">
        <v>34</v>
      </c>
      <c r="Y280" s="262" t="s">
        <v>509</v>
      </c>
      <c r="Z280" s="277">
        <v>13</v>
      </c>
      <c r="AA280" s="262" t="s">
        <v>514</v>
      </c>
      <c r="AB280" s="277">
        <v>12</v>
      </c>
      <c r="AC280" s="305" t="s">
        <v>514</v>
      </c>
    </row>
    <row r="281" spans="1:29" ht="9.9499999999999993" customHeight="1" x14ac:dyDescent="0.15">
      <c r="A281" s="238" t="s">
        <v>44</v>
      </c>
      <c r="B281" s="306"/>
      <c r="C281" s="248"/>
      <c r="D281" s="249"/>
      <c r="E281" s="261" t="s">
        <v>517</v>
      </c>
      <c r="F281" s="277">
        <v>230</v>
      </c>
      <c r="G281" s="276"/>
      <c r="H281" s="279">
        <v>180</v>
      </c>
      <c r="I281" s="276"/>
      <c r="J281" s="279">
        <v>160</v>
      </c>
      <c r="K281" s="276"/>
      <c r="L281" s="279">
        <v>170</v>
      </c>
      <c r="M281" s="276"/>
      <c r="N281" s="279">
        <v>140</v>
      </c>
      <c r="O281" s="276"/>
      <c r="P281" s="279">
        <v>140</v>
      </c>
      <c r="Q281" s="276"/>
      <c r="R281" s="279">
        <v>140</v>
      </c>
      <c r="S281" s="276"/>
      <c r="T281" s="277">
        <v>120</v>
      </c>
      <c r="U281" s="276"/>
      <c r="V281" s="279">
        <v>110</v>
      </c>
      <c r="W281" s="276"/>
      <c r="X281" s="279">
        <v>110</v>
      </c>
      <c r="Y281" s="276"/>
      <c r="Z281" s="279">
        <v>110</v>
      </c>
      <c r="AA281" s="276"/>
      <c r="AB281" s="279">
        <v>120</v>
      </c>
      <c r="AC281" s="307"/>
    </row>
    <row r="282" spans="1:29" ht="9.9499999999999993" customHeight="1" x14ac:dyDescent="0.15">
      <c r="A282" s="238" t="s">
        <v>44</v>
      </c>
      <c r="B282" s="306"/>
      <c r="C282" s="245"/>
      <c r="D282" s="246"/>
      <c r="E282" s="261" t="s">
        <v>6</v>
      </c>
      <c r="F282" s="277">
        <v>264</v>
      </c>
      <c r="G282" s="278"/>
      <c r="H282" s="279">
        <v>211</v>
      </c>
      <c r="I282" s="278"/>
      <c r="J282" s="279">
        <v>180</v>
      </c>
      <c r="K282" s="278"/>
      <c r="L282" s="279">
        <v>195</v>
      </c>
      <c r="M282" s="278"/>
      <c r="N282" s="279">
        <v>159</v>
      </c>
      <c r="O282" s="278"/>
      <c r="P282" s="279">
        <v>156</v>
      </c>
      <c r="Q282" s="278"/>
      <c r="R282" s="279">
        <v>157</v>
      </c>
      <c r="S282" s="278"/>
      <c r="T282" s="279">
        <v>135</v>
      </c>
      <c r="U282" s="278"/>
      <c r="V282" s="279">
        <v>123</v>
      </c>
      <c r="W282" s="278"/>
      <c r="X282" s="279">
        <v>121</v>
      </c>
      <c r="Y282" s="278"/>
      <c r="Z282" s="279">
        <v>123</v>
      </c>
      <c r="AA282" s="278"/>
      <c r="AB282" s="279">
        <v>132</v>
      </c>
      <c r="AC282" s="308"/>
    </row>
    <row r="283" spans="1:29" ht="9.9499999999999993" customHeight="1" x14ac:dyDescent="0.15">
      <c r="A283" s="238" t="s">
        <v>44</v>
      </c>
      <c r="B283" s="306"/>
      <c r="C283" s="259" t="s">
        <v>53</v>
      </c>
      <c r="D283" s="242"/>
      <c r="E283" s="261" t="s">
        <v>444</v>
      </c>
      <c r="F283" s="277" t="s">
        <v>195</v>
      </c>
      <c r="G283" s="262" t="s">
        <v>66</v>
      </c>
      <c r="H283" s="277" t="s">
        <v>195</v>
      </c>
      <c r="I283" s="262" t="s">
        <v>65</v>
      </c>
      <c r="J283" s="277" t="s">
        <v>195</v>
      </c>
      <c r="K283" s="262" t="s">
        <v>66</v>
      </c>
      <c r="L283" s="277" t="s">
        <v>195</v>
      </c>
      <c r="M283" s="265" t="s">
        <v>68</v>
      </c>
      <c r="N283" s="277" t="s">
        <v>195</v>
      </c>
      <c r="O283" s="262" t="s">
        <v>478</v>
      </c>
      <c r="P283" s="277" t="s">
        <v>195</v>
      </c>
      <c r="Q283" s="262" t="s">
        <v>74</v>
      </c>
      <c r="R283" s="277" t="s">
        <v>195</v>
      </c>
      <c r="S283" s="262" t="s">
        <v>470</v>
      </c>
      <c r="T283" s="277" t="s">
        <v>195</v>
      </c>
      <c r="U283" s="265" t="s">
        <v>72</v>
      </c>
      <c r="V283" s="277" t="s">
        <v>195</v>
      </c>
      <c r="W283" s="262" t="s">
        <v>510</v>
      </c>
      <c r="X283" s="277" t="s">
        <v>195</v>
      </c>
      <c r="Y283" s="262" t="s">
        <v>509</v>
      </c>
      <c r="Z283" s="277" t="s">
        <v>195</v>
      </c>
      <c r="AA283" s="262" t="s">
        <v>514</v>
      </c>
      <c r="AB283" s="277" t="s">
        <v>195</v>
      </c>
      <c r="AC283" s="305" t="s">
        <v>514</v>
      </c>
    </row>
    <row r="284" spans="1:29" ht="9.9499999999999993" customHeight="1" x14ac:dyDescent="0.15">
      <c r="A284" s="238" t="s">
        <v>44</v>
      </c>
      <c r="B284" s="306"/>
      <c r="C284" s="248"/>
      <c r="D284" s="249"/>
      <c r="E284" s="261" t="s">
        <v>517</v>
      </c>
      <c r="F284" s="277" t="s">
        <v>195</v>
      </c>
      <c r="G284" s="276"/>
      <c r="H284" s="279" t="s">
        <v>195</v>
      </c>
      <c r="I284" s="276"/>
      <c r="J284" s="279" t="s">
        <v>195</v>
      </c>
      <c r="K284" s="276"/>
      <c r="L284" s="279" t="s">
        <v>195</v>
      </c>
      <c r="M284" s="276"/>
      <c r="N284" s="279" t="s">
        <v>195</v>
      </c>
      <c r="O284" s="276"/>
      <c r="P284" s="279" t="s">
        <v>195</v>
      </c>
      <c r="Q284" s="276"/>
      <c r="R284" s="279" t="s">
        <v>195</v>
      </c>
      <c r="S284" s="276"/>
      <c r="T284" s="279" t="s">
        <v>195</v>
      </c>
      <c r="U284" s="276"/>
      <c r="V284" s="279" t="s">
        <v>195</v>
      </c>
      <c r="W284" s="276"/>
      <c r="X284" s="279" t="s">
        <v>195</v>
      </c>
      <c r="Y284" s="276"/>
      <c r="Z284" s="279" t="s">
        <v>195</v>
      </c>
      <c r="AA284" s="276"/>
      <c r="AB284" s="279" t="s">
        <v>195</v>
      </c>
      <c r="AC284" s="307"/>
    </row>
    <row r="285" spans="1:29" ht="9.9499999999999993" customHeight="1" x14ac:dyDescent="0.15">
      <c r="A285" s="238" t="s">
        <v>44</v>
      </c>
      <c r="B285" s="302"/>
      <c r="C285" s="245"/>
      <c r="D285" s="246"/>
      <c r="E285" s="261" t="s">
        <v>6</v>
      </c>
      <c r="F285" s="277" t="s">
        <v>195</v>
      </c>
      <c r="G285" s="278"/>
      <c r="H285" s="279" t="s">
        <v>195</v>
      </c>
      <c r="I285" s="278"/>
      <c r="J285" s="275" t="s">
        <v>195</v>
      </c>
      <c r="K285" s="278"/>
      <c r="L285" s="279" t="s">
        <v>195</v>
      </c>
      <c r="M285" s="278"/>
      <c r="N285" s="279" t="s">
        <v>195</v>
      </c>
      <c r="O285" s="278"/>
      <c r="P285" s="279" t="s">
        <v>195</v>
      </c>
      <c r="Q285" s="278"/>
      <c r="R285" s="279" t="s">
        <v>195</v>
      </c>
      <c r="S285" s="278"/>
      <c r="T285" s="279" t="s">
        <v>195</v>
      </c>
      <c r="U285" s="278"/>
      <c r="V285" s="279" t="s">
        <v>195</v>
      </c>
      <c r="W285" s="278"/>
      <c r="X285" s="279" t="s">
        <v>195</v>
      </c>
      <c r="Y285" s="278"/>
      <c r="Z285" s="279" t="s">
        <v>195</v>
      </c>
      <c r="AA285" s="278"/>
      <c r="AB285" s="279" t="s">
        <v>195</v>
      </c>
      <c r="AC285" s="308"/>
    </row>
    <row r="286" spans="1:29" ht="9.9499999999999993" customHeight="1" x14ac:dyDescent="0.15">
      <c r="A286" s="238" t="s">
        <v>44</v>
      </c>
      <c r="B286" s="304" t="s">
        <v>458</v>
      </c>
      <c r="C286" s="259" t="s">
        <v>268</v>
      </c>
      <c r="D286" s="242"/>
      <c r="E286" s="261" t="s">
        <v>444</v>
      </c>
      <c r="F286" s="277" t="s">
        <v>195</v>
      </c>
      <c r="G286" s="262" t="s">
        <v>66</v>
      </c>
      <c r="H286" s="277" t="s">
        <v>195</v>
      </c>
      <c r="I286" s="262" t="s">
        <v>65</v>
      </c>
      <c r="J286" s="277" t="s">
        <v>195</v>
      </c>
      <c r="K286" s="262" t="s">
        <v>66</v>
      </c>
      <c r="L286" s="277" t="s">
        <v>195</v>
      </c>
      <c r="M286" s="265" t="s">
        <v>66</v>
      </c>
      <c r="N286" s="277" t="s">
        <v>195</v>
      </c>
      <c r="O286" s="262" t="s">
        <v>478</v>
      </c>
      <c r="P286" s="277" t="s">
        <v>195</v>
      </c>
      <c r="Q286" s="262" t="s">
        <v>74</v>
      </c>
      <c r="R286" s="277" t="s">
        <v>195</v>
      </c>
      <c r="S286" s="262" t="s">
        <v>470</v>
      </c>
      <c r="T286" s="277" t="s">
        <v>195</v>
      </c>
      <c r="U286" s="265" t="s">
        <v>500</v>
      </c>
      <c r="V286" s="277" t="s">
        <v>195</v>
      </c>
      <c r="W286" s="262" t="s">
        <v>69</v>
      </c>
      <c r="X286" s="277" t="s">
        <v>195</v>
      </c>
      <c r="Y286" s="262" t="s">
        <v>509</v>
      </c>
      <c r="Z286" s="277" t="s">
        <v>195</v>
      </c>
      <c r="AA286" s="262" t="s">
        <v>495</v>
      </c>
      <c r="AB286" s="277" t="s">
        <v>195</v>
      </c>
      <c r="AC286" s="305" t="s">
        <v>514</v>
      </c>
    </row>
    <row r="287" spans="1:29" ht="9.9499999999999993" customHeight="1" x14ac:dyDescent="0.15">
      <c r="A287" s="238" t="s">
        <v>44</v>
      </c>
      <c r="B287" s="306"/>
      <c r="C287" s="248"/>
      <c r="D287" s="249"/>
      <c r="E287" s="261" t="s">
        <v>517</v>
      </c>
      <c r="F287" s="277" t="s">
        <v>195</v>
      </c>
      <c r="G287" s="276"/>
      <c r="H287" s="277" t="s">
        <v>195</v>
      </c>
      <c r="I287" s="276"/>
      <c r="J287" s="277" t="s">
        <v>195</v>
      </c>
      <c r="K287" s="276"/>
      <c r="L287" s="277" t="s">
        <v>195</v>
      </c>
      <c r="M287" s="276"/>
      <c r="N287" s="277" t="s">
        <v>195</v>
      </c>
      <c r="O287" s="276"/>
      <c r="P287" s="277" t="s">
        <v>195</v>
      </c>
      <c r="Q287" s="276"/>
      <c r="R287" s="277" t="s">
        <v>195</v>
      </c>
      <c r="S287" s="276"/>
      <c r="T287" s="277" t="s">
        <v>195</v>
      </c>
      <c r="U287" s="276"/>
      <c r="V287" s="277" t="s">
        <v>195</v>
      </c>
      <c r="W287" s="276"/>
      <c r="X287" s="277" t="s">
        <v>195</v>
      </c>
      <c r="Y287" s="276"/>
      <c r="Z287" s="277" t="s">
        <v>195</v>
      </c>
      <c r="AA287" s="276"/>
      <c r="AB287" s="277" t="s">
        <v>195</v>
      </c>
      <c r="AC287" s="307"/>
    </row>
    <row r="288" spans="1:29" ht="9.9499999999999993" customHeight="1" x14ac:dyDescent="0.15">
      <c r="A288" s="238" t="s">
        <v>44</v>
      </c>
      <c r="B288" s="306"/>
      <c r="C288" s="245"/>
      <c r="D288" s="246"/>
      <c r="E288" s="261" t="s">
        <v>6</v>
      </c>
      <c r="F288" s="277" t="s">
        <v>195</v>
      </c>
      <c r="G288" s="278"/>
      <c r="H288" s="277" t="s">
        <v>195</v>
      </c>
      <c r="I288" s="278"/>
      <c r="J288" s="277" t="s">
        <v>195</v>
      </c>
      <c r="K288" s="278"/>
      <c r="L288" s="277" t="s">
        <v>195</v>
      </c>
      <c r="M288" s="278"/>
      <c r="N288" s="277" t="s">
        <v>195</v>
      </c>
      <c r="O288" s="278"/>
      <c r="P288" s="277" t="s">
        <v>195</v>
      </c>
      <c r="Q288" s="278"/>
      <c r="R288" s="277" t="s">
        <v>195</v>
      </c>
      <c r="S288" s="278"/>
      <c r="T288" s="277" t="s">
        <v>195</v>
      </c>
      <c r="U288" s="278"/>
      <c r="V288" s="277" t="s">
        <v>195</v>
      </c>
      <c r="W288" s="278"/>
      <c r="X288" s="277" t="s">
        <v>195</v>
      </c>
      <c r="Y288" s="278"/>
      <c r="Z288" s="277" t="s">
        <v>195</v>
      </c>
      <c r="AA288" s="278"/>
      <c r="AB288" s="277" t="s">
        <v>195</v>
      </c>
      <c r="AC288" s="308"/>
    </row>
    <row r="289" spans="1:29" ht="9.9499999999999993" customHeight="1" x14ac:dyDescent="0.15">
      <c r="A289" s="238" t="s">
        <v>44</v>
      </c>
      <c r="B289" s="306"/>
      <c r="C289" s="259" t="s">
        <v>53</v>
      </c>
      <c r="D289" s="242"/>
      <c r="E289" s="261" t="s">
        <v>444</v>
      </c>
      <c r="F289" s="277">
        <v>1.4</v>
      </c>
      <c r="G289" s="262" t="s">
        <v>66</v>
      </c>
      <c r="H289" s="277">
        <v>1.4</v>
      </c>
      <c r="I289" s="262" t="s">
        <v>65</v>
      </c>
      <c r="J289" s="277">
        <v>0.79</v>
      </c>
      <c r="K289" s="262" t="s">
        <v>66</v>
      </c>
      <c r="L289" s="277">
        <v>1.2</v>
      </c>
      <c r="M289" s="265" t="s">
        <v>66</v>
      </c>
      <c r="N289" s="277">
        <v>1.2</v>
      </c>
      <c r="O289" s="262" t="s">
        <v>478</v>
      </c>
      <c r="P289" s="277">
        <v>0.86</v>
      </c>
      <c r="Q289" s="262" t="s">
        <v>74</v>
      </c>
      <c r="R289" s="277" t="s">
        <v>195</v>
      </c>
      <c r="S289" s="262" t="s">
        <v>470</v>
      </c>
      <c r="T289" s="277">
        <v>0.99</v>
      </c>
      <c r="U289" s="265" t="s">
        <v>500</v>
      </c>
      <c r="V289" s="277" t="s">
        <v>195</v>
      </c>
      <c r="W289" s="262" t="s">
        <v>69</v>
      </c>
      <c r="X289" s="277" t="s">
        <v>195</v>
      </c>
      <c r="Y289" s="262" t="s">
        <v>509</v>
      </c>
      <c r="Z289" s="277" t="s">
        <v>195</v>
      </c>
      <c r="AA289" s="262" t="s">
        <v>495</v>
      </c>
      <c r="AB289" s="277" t="s">
        <v>195</v>
      </c>
      <c r="AC289" s="305" t="s">
        <v>514</v>
      </c>
    </row>
    <row r="290" spans="1:29" ht="9.9499999999999993" customHeight="1" x14ac:dyDescent="0.15">
      <c r="A290" s="238" t="s">
        <v>44</v>
      </c>
      <c r="B290" s="306"/>
      <c r="C290" s="248"/>
      <c r="D290" s="249"/>
      <c r="E290" s="261" t="s">
        <v>517</v>
      </c>
      <c r="F290" s="279">
        <v>9.6999999999999993</v>
      </c>
      <c r="G290" s="276"/>
      <c r="H290" s="277">
        <v>12</v>
      </c>
      <c r="I290" s="276"/>
      <c r="J290" s="277">
        <v>7.9</v>
      </c>
      <c r="K290" s="276"/>
      <c r="L290" s="277">
        <v>14</v>
      </c>
      <c r="M290" s="276"/>
      <c r="N290" s="280" t="s">
        <v>43</v>
      </c>
      <c r="O290" s="276"/>
      <c r="P290" s="277">
        <v>7.4</v>
      </c>
      <c r="Q290" s="276"/>
      <c r="R290" s="277">
        <v>7.2</v>
      </c>
      <c r="S290" s="276"/>
      <c r="T290" s="277">
        <v>7.7</v>
      </c>
      <c r="U290" s="276"/>
      <c r="V290" s="277">
        <v>6.2</v>
      </c>
      <c r="W290" s="276"/>
      <c r="X290" s="277">
        <v>6.6</v>
      </c>
      <c r="Y290" s="276"/>
      <c r="Z290" s="277" t="s">
        <v>195</v>
      </c>
      <c r="AA290" s="276"/>
      <c r="AB290" s="277" t="s">
        <v>195</v>
      </c>
      <c r="AC290" s="307"/>
    </row>
    <row r="291" spans="1:29" ht="9.9499999999999993" customHeight="1" x14ac:dyDescent="0.15">
      <c r="A291" s="238" t="s">
        <v>44</v>
      </c>
      <c r="B291" s="302"/>
      <c r="C291" s="245"/>
      <c r="D291" s="246"/>
      <c r="E291" s="261" t="s">
        <v>6</v>
      </c>
      <c r="F291" s="271">
        <v>11.1</v>
      </c>
      <c r="G291" s="278"/>
      <c r="H291" s="277">
        <v>13.4</v>
      </c>
      <c r="I291" s="278"/>
      <c r="J291" s="277">
        <v>8.69</v>
      </c>
      <c r="K291" s="278"/>
      <c r="L291" s="277">
        <v>15.2</v>
      </c>
      <c r="M291" s="278"/>
      <c r="N291" s="277">
        <v>12.2</v>
      </c>
      <c r="O291" s="278"/>
      <c r="P291" s="277">
        <v>8.26</v>
      </c>
      <c r="Q291" s="278"/>
      <c r="R291" s="277">
        <v>7.2</v>
      </c>
      <c r="S291" s="278"/>
      <c r="T291" s="277">
        <v>8.69</v>
      </c>
      <c r="U291" s="278"/>
      <c r="V291" s="277">
        <v>6.2</v>
      </c>
      <c r="W291" s="278"/>
      <c r="X291" s="277">
        <v>6.6</v>
      </c>
      <c r="Y291" s="278"/>
      <c r="Z291" s="277" t="s">
        <v>195</v>
      </c>
      <c r="AA291" s="278"/>
      <c r="AB291" s="277" t="s">
        <v>195</v>
      </c>
      <c r="AC291" s="308"/>
    </row>
    <row r="292" spans="1:29" ht="9.9499999999999993" customHeight="1" x14ac:dyDescent="0.15">
      <c r="A292" s="238" t="s">
        <v>44</v>
      </c>
      <c r="B292" s="304" t="s">
        <v>459</v>
      </c>
      <c r="C292" s="259" t="s">
        <v>268</v>
      </c>
      <c r="D292" s="242"/>
      <c r="E292" s="261" t="s">
        <v>444</v>
      </c>
      <c r="F292" s="277" t="s">
        <v>195</v>
      </c>
      <c r="G292" s="262" t="s">
        <v>66</v>
      </c>
      <c r="H292" s="277" t="s">
        <v>195</v>
      </c>
      <c r="I292" s="262" t="s">
        <v>65</v>
      </c>
      <c r="J292" s="277" t="s">
        <v>195</v>
      </c>
      <c r="K292" s="262" t="s">
        <v>66</v>
      </c>
      <c r="L292" s="277" t="s">
        <v>195</v>
      </c>
      <c r="M292" s="265" t="s">
        <v>66</v>
      </c>
      <c r="N292" s="277" t="s">
        <v>195</v>
      </c>
      <c r="O292" s="262" t="s">
        <v>478</v>
      </c>
      <c r="P292" s="277" t="s">
        <v>195</v>
      </c>
      <c r="Q292" s="262" t="s">
        <v>74</v>
      </c>
      <c r="R292" s="277" t="s">
        <v>195</v>
      </c>
      <c r="S292" s="262" t="s">
        <v>470</v>
      </c>
      <c r="T292" s="277" t="s">
        <v>195</v>
      </c>
      <c r="U292" s="265" t="s">
        <v>500</v>
      </c>
      <c r="V292" s="277" t="s">
        <v>195</v>
      </c>
      <c r="W292" s="262" t="s">
        <v>69</v>
      </c>
      <c r="X292" s="277" t="s">
        <v>195</v>
      </c>
      <c r="Y292" s="262" t="s">
        <v>509</v>
      </c>
      <c r="Z292" s="277" t="s">
        <v>195</v>
      </c>
      <c r="AA292" s="262" t="s">
        <v>495</v>
      </c>
      <c r="AB292" s="277" t="s">
        <v>195</v>
      </c>
      <c r="AC292" s="305" t="s">
        <v>514</v>
      </c>
    </row>
    <row r="293" spans="1:29" ht="9.9499999999999993" customHeight="1" x14ac:dyDescent="0.15">
      <c r="A293" s="238" t="s">
        <v>44</v>
      </c>
      <c r="B293" s="306"/>
      <c r="C293" s="248"/>
      <c r="D293" s="249"/>
      <c r="E293" s="261" t="s">
        <v>517</v>
      </c>
      <c r="F293" s="277" t="s">
        <v>195</v>
      </c>
      <c r="G293" s="276"/>
      <c r="H293" s="279" t="s">
        <v>195</v>
      </c>
      <c r="I293" s="276"/>
      <c r="J293" s="279" t="s">
        <v>195</v>
      </c>
      <c r="K293" s="276"/>
      <c r="L293" s="279" t="s">
        <v>195</v>
      </c>
      <c r="M293" s="276"/>
      <c r="N293" s="279" t="s">
        <v>195</v>
      </c>
      <c r="O293" s="276"/>
      <c r="P293" s="279" t="s">
        <v>195</v>
      </c>
      <c r="Q293" s="276"/>
      <c r="R293" s="279" t="s">
        <v>195</v>
      </c>
      <c r="S293" s="276"/>
      <c r="T293" s="277" t="s">
        <v>195</v>
      </c>
      <c r="U293" s="276"/>
      <c r="V293" s="279" t="s">
        <v>195</v>
      </c>
      <c r="W293" s="276"/>
      <c r="X293" s="279" t="s">
        <v>195</v>
      </c>
      <c r="Y293" s="276"/>
      <c r="Z293" s="279" t="s">
        <v>195</v>
      </c>
      <c r="AA293" s="276"/>
      <c r="AB293" s="279" t="s">
        <v>195</v>
      </c>
      <c r="AC293" s="307"/>
    </row>
    <row r="294" spans="1:29" ht="9.9499999999999993" customHeight="1" x14ac:dyDescent="0.15">
      <c r="A294" s="238" t="s">
        <v>44</v>
      </c>
      <c r="B294" s="306"/>
      <c r="C294" s="245"/>
      <c r="D294" s="246"/>
      <c r="E294" s="261" t="s">
        <v>6</v>
      </c>
      <c r="F294" s="277" t="s">
        <v>195</v>
      </c>
      <c r="G294" s="278"/>
      <c r="H294" s="279" t="s">
        <v>195</v>
      </c>
      <c r="I294" s="278"/>
      <c r="J294" s="279" t="s">
        <v>195</v>
      </c>
      <c r="K294" s="278"/>
      <c r="L294" s="279" t="s">
        <v>195</v>
      </c>
      <c r="M294" s="278"/>
      <c r="N294" s="279" t="s">
        <v>195</v>
      </c>
      <c r="O294" s="278"/>
      <c r="P294" s="279" t="s">
        <v>195</v>
      </c>
      <c r="Q294" s="278"/>
      <c r="R294" s="279" t="s">
        <v>195</v>
      </c>
      <c r="S294" s="278"/>
      <c r="T294" s="279" t="s">
        <v>195</v>
      </c>
      <c r="U294" s="278"/>
      <c r="V294" s="279" t="s">
        <v>195</v>
      </c>
      <c r="W294" s="278"/>
      <c r="X294" s="279" t="s">
        <v>195</v>
      </c>
      <c r="Y294" s="278"/>
      <c r="Z294" s="279" t="s">
        <v>195</v>
      </c>
      <c r="AA294" s="278"/>
      <c r="AB294" s="279" t="s">
        <v>195</v>
      </c>
      <c r="AC294" s="308"/>
    </row>
    <row r="295" spans="1:29" ht="9.9499999999999993" customHeight="1" x14ac:dyDescent="0.15">
      <c r="A295" s="238" t="s">
        <v>44</v>
      </c>
      <c r="B295" s="306"/>
      <c r="C295" s="259" t="s">
        <v>53</v>
      </c>
      <c r="D295" s="242"/>
      <c r="E295" s="261" t="s">
        <v>444</v>
      </c>
      <c r="F295" s="277" t="s">
        <v>195</v>
      </c>
      <c r="G295" s="262" t="s">
        <v>66</v>
      </c>
      <c r="H295" s="277" t="s">
        <v>195</v>
      </c>
      <c r="I295" s="262" t="s">
        <v>65</v>
      </c>
      <c r="J295" s="277" t="s">
        <v>195</v>
      </c>
      <c r="K295" s="262" t="s">
        <v>66</v>
      </c>
      <c r="L295" s="277" t="s">
        <v>195</v>
      </c>
      <c r="M295" s="265" t="s">
        <v>66</v>
      </c>
      <c r="N295" s="277" t="s">
        <v>195</v>
      </c>
      <c r="O295" s="262" t="s">
        <v>478</v>
      </c>
      <c r="P295" s="277" t="s">
        <v>195</v>
      </c>
      <c r="Q295" s="262" t="s">
        <v>74</v>
      </c>
      <c r="R295" s="277" t="s">
        <v>195</v>
      </c>
      <c r="S295" s="262" t="s">
        <v>470</v>
      </c>
      <c r="T295" s="277" t="s">
        <v>195</v>
      </c>
      <c r="U295" s="265" t="s">
        <v>500</v>
      </c>
      <c r="V295" s="277" t="s">
        <v>195</v>
      </c>
      <c r="W295" s="262" t="s">
        <v>69</v>
      </c>
      <c r="X295" s="277" t="s">
        <v>195</v>
      </c>
      <c r="Y295" s="262" t="s">
        <v>509</v>
      </c>
      <c r="Z295" s="277" t="s">
        <v>195</v>
      </c>
      <c r="AA295" s="262" t="s">
        <v>495</v>
      </c>
      <c r="AB295" s="277" t="s">
        <v>195</v>
      </c>
      <c r="AC295" s="305" t="s">
        <v>514</v>
      </c>
    </row>
    <row r="296" spans="1:29" ht="9.9499999999999993" customHeight="1" x14ac:dyDescent="0.15">
      <c r="A296" s="238" t="s">
        <v>44</v>
      </c>
      <c r="B296" s="306"/>
      <c r="C296" s="248"/>
      <c r="D296" s="249"/>
      <c r="E296" s="261" t="s">
        <v>517</v>
      </c>
      <c r="F296" s="277" t="s">
        <v>195</v>
      </c>
      <c r="G296" s="276"/>
      <c r="H296" s="279" t="s">
        <v>195</v>
      </c>
      <c r="I296" s="276"/>
      <c r="J296" s="279" t="s">
        <v>195</v>
      </c>
      <c r="K296" s="276"/>
      <c r="L296" s="279" t="s">
        <v>195</v>
      </c>
      <c r="M296" s="276"/>
      <c r="N296" s="279" t="s">
        <v>195</v>
      </c>
      <c r="O296" s="276"/>
      <c r="P296" s="279" t="s">
        <v>195</v>
      </c>
      <c r="Q296" s="276"/>
      <c r="R296" s="279" t="s">
        <v>195</v>
      </c>
      <c r="S296" s="276"/>
      <c r="T296" s="277" t="s">
        <v>195</v>
      </c>
      <c r="U296" s="276"/>
      <c r="V296" s="279" t="s">
        <v>195</v>
      </c>
      <c r="W296" s="276"/>
      <c r="X296" s="279" t="s">
        <v>195</v>
      </c>
      <c r="Y296" s="276"/>
      <c r="Z296" s="279" t="s">
        <v>195</v>
      </c>
      <c r="AA296" s="276"/>
      <c r="AB296" s="279" t="s">
        <v>195</v>
      </c>
      <c r="AC296" s="307"/>
    </row>
    <row r="297" spans="1:29" ht="9.9499999999999993" customHeight="1" x14ac:dyDescent="0.15">
      <c r="A297" s="238" t="s">
        <v>44</v>
      </c>
      <c r="B297" s="309"/>
      <c r="C297" s="310"/>
      <c r="D297" s="311"/>
      <c r="E297" s="312" t="s">
        <v>6</v>
      </c>
      <c r="F297" s="313" t="s">
        <v>195</v>
      </c>
      <c r="G297" s="314"/>
      <c r="H297" s="315" t="s">
        <v>195</v>
      </c>
      <c r="I297" s="314"/>
      <c r="J297" s="315" t="s">
        <v>195</v>
      </c>
      <c r="K297" s="314"/>
      <c r="L297" s="315" t="s">
        <v>195</v>
      </c>
      <c r="M297" s="314"/>
      <c r="N297" s="315" t="s">
        <v>195</v>
      </c>
      <c r="O297" s="314"/>
      <c r="P297" s="315" t="s">
        <v>195</v>
      </c>
      <c r="Q297" s="314"/>
      <c r="R297" s="315" t="s">
        <v>195</v>
      </c>
      <c r="S297" s="314"/>
      <c r="T297" s="315" t="s">
        <v>195</v>
      </c>
      <c r="U297" s="314"/>
      <c r="V297" s="315" t="s">
        <v>195</v>
      </c>
      <c r="W297" s="314"/>
      <c r="X297" s="315" t="s">
        <v>195</v>
      </c>
      <c r="Y297" s="314"/>
      <c r="Z297" s="315" t="s">
        <v>195</v>
      </c>
      <c r="AA297" s="314"/>
      <c r="AB297" s="315" t="s">
        <v>195</v>
      </c>
      <c r="AC297" s="316"/>
    </row>
    <row r="298" spans="1:29" ht="9.9499999999999993" customHeight="1" x14ac:dyDescent="0.15">
      <c r="A298" s="238" t="s">
        <v>45</v>
      </c>
      <c r="B298" s="239" t="s">
        <v>511</v>
      </c>
      <c r="C298" s="240"/>
      <c r="D298" s="240"/>
      <c r="E298" s="257"/>
      <c r="F298" s="240"/>
      <c r="G298" s="240"/>
      <c r="H298" s="240"/>
      <c r="I298" s="240"/>
      <c r="J298" s="240"/>
      <c r="K298" s="236"/>
      <c r="L298" s="236"/>
      <c r="M298" s="236"/>
      <c r="N298" s="236"/>
      <c r="O298" s="236"/>
      <c r="P298" s="236"/>
      <c r="Q298" s="236"/>
      <c r="R298" s="236"/>
      <c r="S298" s="236"/>
      <c r="T298" s="236"/>
      <c r="U298" s="236"/>
      <c r="V298" s="236"/>
      <c r="W298" s="236"/>
      <c r="X298" s="236"/>
      <c r="Y298" s="236"/>
      <c r="Z298" s="236"/>
      <c r="AA298" s="236"/>
      <c r="AB298" s="236"/>
      <c r="AC298" s="250"/>
    </row>
    <row r="299" spans="1:29" ht="9.9499999999999993" customHeight="1" x14ac:dyDescent="0.15">
      <c r="A299" s="238" t="s">
        <v>45</v>
      </c>
      <c r="B299" s="259" t="s">
        <v>0</v>
      </c>
      <c r="C299" s="259" t="s">
        <v>450</v>
      </c>
      <c r="D299" s="241"/>
      <c r="E299" s="261"/>
      <c r="F299" s="263" t="s">
        <v>480</v>
      </c>
      <c r="G299" s="262"/>
      <c r="H299" s="261" t="s">
        <v>485</v>
      </c>
      <c r="I299" s="262"/>
      <c r="J299" s="261" t="s">
        <v>489</v>
      </c>
      <c r="K299" s="262"/>
      <c r="L299" s="261" t="s">
        <v>464</v>
      </c>
      <c r="M299" s="265"/>
      <c r="N299" s="261" t="s">
        <v>496</v>
      </c>
      <c r="O299" s="262"/>
      <c r="P299" s="261" t="s">
        <v>501</v>
      </c>
      <c r="Q299" s="262"/>
      <c r="R299" s="261" t="s">
        <v>22</v>
      </c>
      <c r="S299" s="262"/>
      <c r="T299" s="261" t="s">
        <v>23</v>
      </c>
      <c r="U299" s="265"/>
      <c r="V299" s="261" t="s">
        <v>12</v>
      </c>
      <c r="W299" s="262"/>
      <c r="X299" s="261" t="s">
        <v>13</v>
      </c>
      <c r="Y299" s="262"/>
      <c r="Z299" s="261" t="s">
        <v>14</v>
      </c>
      <c r="AA299" s="262"/>
      <c r="AB299" s="261" t="s">
        <v>15</v>
      </c>
      <c r="AC299" s="262"/>
    </row>
    <row r="300" spans="1:29" ht="9.9499999999999993" customHeight="1" x14ac:dyDescent="0.15">
      <c r="A300" s="238" t="s">
        <v>45</v>
      </c>
      <c r="B300" s="248"/>
      <c r="C300" s="248"/>
      <c r="D300" s="236"/>
      <c r="E300" s="258"/>
      <c r="F300" s="258" t="s">
        <v>3</v>
      </c>
      <c r="G300" s="247" t="s">
        <v>4</v>
      </c>
      <c r="H300" s="293" t="s">
        <v>3</v>
      </c>
      <c r="I300" s="247" t="s">
        <v>4</v>
      </c>
      <c r="J300" s="293" t="s">
        <v>3</v>
      </c>
      <c r="K300" s="247" t="s">
        <v>4</v>
      </c>
      <c r="L300" s="293" t="s">
        <v>3</v>
      </c>
      <c r="M300" s="247" t="s">
        <v>4</v>
      </c>
      <c r="N300" s="293" t="s">
        <v>3</v>
      </c>
      <c r="O300" s="247" t="s">
        <v>4</v>
      </c>
      <c r="P300" s="293" t="s">
        <v>3</v>
      </c>
      <c r="Q300" s="247" t="s">
        <v>4</v>
      </c>
      <c r="R300" s="293" t="s">
        <v>3</v>
      </c>
      <c r="S300" s="247" t="s">
        <v>4</v>
      </c>
      <c r="T300" s="293" t="s">
        <v>3</v>
      </c>
      <c r="U300" s="247" t="s">
        <v>4</v>
      </c>
      <c r="V300" s="258" t="s">
        <v>3</v>
      </c>
      <c r="W300" s="247" t="s">
        <v>4</v>
      </c>
      <c r="X300" s="293" t="s">
        <v>3</v>
      </c>
      <c r="Y300" s="247" t="s">
        <v>4</v>
      </c>
      <c r="Z300" s="293" t="s">
        <v>3</v>
      </c>
      <c r="AA300" s="247" t="s">
        <v>4</v>
      </c>
      <c r="AB300" s="293" t="s">
        <v>3</v>
      </c>
      <c r="AC300" s="247" t="s">
        <v>4</v>
      </c>
    </row>
    <row r="301" spans="1:29" ht="9.9499999999999993" customHeight="1" x14ac:dyDescent="0.15">
      <c r="A301" s="238" t="s">
        <v>45</v>
      </c>
      <c r="B301" s="259" t="s">
        <v>70</v>
      </c>
      <c r="C301" s="258" t="s">
        <v>267</v>
      </c>
      <c r="D301" s="258" t="s">
        <v>462</v>
      </c>
      <c r="E301" s="261" t="s">
        <v>444</v>
      </c>
      <c r="F301" s="279" t="s">
        <v>195</v>
      </c>
      <c r="G301" s="282" t="s">
        <v>74</v>
      </c>
      <c r="H301" s="279" t="s">
        <v>195</v>
      </c>
      <c r="I301" s="282" t="s">
        <v>470</v>
      </c>
      <c r="J301" s="279" t="s">
        <v>195</v>
      </c>
      <c r="K301" s="282" t="s">
        <v>72</v>
      </c>
      <c r="L301" s="279" t="s">
        <v>195</v>
      </c>
      <c r="M301" s="282" t="s">
        <v>71</v>
      </c>
      <c r="N301" s="279" t="s">
        <v>195</v>
      </c>
      <c r="O301" s="282" t="s">
        <v>65</v>
      </c>
      <c r="P301" s="279" t="s">
        <v>195</v>
      </c>
      <c r="Q301" s="282" t="s">
        <v>77</v>
      </c>
      <c r="R301" s="279" t="s">
        <v>195</v>
      </c>
      <c r="S301" s="282" t="s">
        <v>470</v>
      </c>
      <c r="T301" s="279" t="s">
        <v>195</v>
      </c>
      <c r="U301" s="282" t="s">
        <v>72</v>
      </c>
      <c r="V301" s="277" t="s">
        <v>195</v>
      </c>
      <c r="W301" s="282" t="s">
        <v>73</v>
      </c>
      <c r="X301" s="279" t="s">
        <v>195</v>
      </c>
      <c r="Y301" s="282" t="s">
        <v>475</v>
      </c>
      <c r="Z301" s="279" t="s">
        <v>195</v>
      </c>
      <c r="AA301" s="282" t="s">
        <v>67</v>
      </c>
      <c r="AB301" s="279" t="s">
        <v>195</v>
      </c>
      <c r="AC301" s="282" t="s">
        <v>500</v>
      </c>
    </row>
    <row r="302" spans="1:29" ht="9.9499999999999993" customHeight="1" x14ac:dyDescent="0.15">
      <c r="A302" s="238" t="s">
        <v>45</v>
      </c>
      <c r="B302" s="248"/>
      <c r="C302" s="247"/>
      <c r="D302" s="247"/>
      <c r="E302" s="261" t="s">
        <v>443</v>
      </c>
      <c r="F302" s="277" t="s">
        <v>195</v>
      </c>
      <c r="G302" s="262"/>
      <c r="H302" s="277" t="s">
        <v>195</v>
      </c>
      <c r="I302" s="262"/>
      <c r="J302" s="277" t="s">
        <v>195</v>
      </c>
      <c r="K302" s="262"/>
      <c r="L302" s="277" t="s">
        <v>195</v>
      </c>
      <c r="M302" s="265"/>
      <c r="N302" s="277" t="s">
        <v>195</v>
      </c>
      <c r="O302" s="262"/>
      <c r="P302" s="277" t="s">
        <v>195</v>
      </c>
      <c r="Q302" s="262"/>
      <c r="R302" s="277" t="s">
        <v>195</v>
      </c>
      <c r="S302" s="262"/>
      <c r="T302" s="277" t="s">
        <v>195</v>
      </c>
      <c r="U302" s="265"/>
      <c r="V302" s="277" t="s">
        <v>195</v>
      </c>
      <c r="W302" s="262"/>
      <c r="X302" s="277" t="s">
        <v>195</v>
      </c>
      <c r="Y302" s="262"/>
      <c r="Z302" s="277" t="s">
        <v>195</v>
      </c>
      <c r="AA302" s="262"/>
      <c r="AB302" s="277" t="s">
        <v>195</v>
      </c>
      <c r="AC302" s="262"/>
    </row>
    <row r="303" spans="1:29" ht="9.9499999999999993" customHeight="1" x14ac:dyDescent="0.15">
      <c r="A303" s="238" t="s">
        <v>45</v>
      </c>
      <c r="B303" s="248"/>
      <c r="C303" s="247"/>
      <c r="D303" s="244"/>
      <c r="E303" s="261" t="s">
        <v>6</v>
      </c>
      <c r="F303" s="277" t="s">
        <v>460</v>
      </c>
      <c r="G303" s="276"/>
      <c r="H303" s="279" t="s">
        <v>460</v>
      </c>
      <c r="I303" s="276"/>
      <c r="J303" s="279" t="s">
        <v>460</v>
      </c>
      <c r="K303" s="276"/>
      <c r="L303" s="279" t="s">
        <v>460</v>
      </c>
      <c r="M303" s="276"/>
      <c r="N303" s="279" t="s">
        <v>195</v>
      </c>
      <c r="O303" s="276"/>
      <c r="P303" s="279" t="s">
        <v>195</v>
      </c>
      <c r="Q303" s="276"/>
      <c r="R303" s="279" t="s">
        <v>195</v>
      </c>
      <c r="S303" s="276"/>
      <c r="T303" s="279" t="s">
        <v>195</v>
      </c>
      <c r="U303" s="276"/>
      <c r="V303" s="279" t="s">
        <v>195</v>
      </c>
      <c r="W303" s="276"/>
      <c r="X303" s="279" t="s">
        <v>195</v>
      </c>
      <c r="Y303" s="276"/>
      <c r="Z303" s="279" t="s">
        <v>195</v>
      </c>
      <c r="AA303" s="276"/>
      <c r="AB303" s="279" t="s">
        <v>195</v>
      </c>
      <c r="AC303" s="276"/>
    </row>
    <row r="304" spans="1:29" ht="9.9499999999999993" customHeight="1" x14ac:dyDescent="0.15">
      <c r="A304" s="238" t="s">
        <v>45</v>
      </c>
      <c r="B304" s="248"/>
      <c r="C304" s="247"/>
      <c r="D304" s="258" t="s">
        <v>463</v>
      </c>
      <c r="E304" s="261" t="s">
        <v>444</v>
      </c>
      <c r="F304" s="277" t="s">
        <v>195</v>
      </c>
      <c r="G304" s="278" t="s">
        <v>74</v>
      </c>
      <c r="H304" s="279" t="s">
        <v>195</v>
      </c>
      <c r="I304" s="278" t="s">
        <v>470</v>
      </c>
      <c r="J304" s="275" t="s">
        <v>195</v>
      </c>
      <c r="K304" s="278" t="s">
        <v>72</v>
      </c>
      <c r="L304" s="279" t="s">
        <v>195</v>
      </c>
      <c r="M304" s="278" t="s">
        <v>71</v>
      </c>
      <c r="N304" s="279" t="s">
        <v>195</v>
      </c>
      <c r="O304" s="278" t="s">
        <v>65</v>
      </c>
      <c r="P304" s="279"/>
      <c r="Q304" s="278"/>
      <c r="R304" s="279" t="s">
        <v>195</v>
      </c>
      <c r="S304" s="278" t="s">
        <v>470</v>
      </c>
      <c r="T304" s="279" t="s">
        <v>195</v>
      </c>
      <c r="U304" s="278" t="s">
        <v>72</v>
      </c>
      <c r="V304" s="279" t="s">
        <v>195</v>
      </c>
      <c r="W304" s="278" t="s">
        <v>73</v>
      </c>
      <c r="X304" s="279" t="s">
        <v>195</v>
      </c>
      <c r="Y304" s="278" t="s">
        <v>475</v>
      </c>
      <c r="Z304" s="279" t="s">
        <v>195</v>
      </c>
      <c r="AA304" s="278" t="s">
        <v>67</v>
      </c>
      <c r="AB304" s="279" t="s">
        <v>195</v>
      </c>
      <c r="AC304" s="278" t="s">
        <v>500</v>
      </c>
    </row>
    <row r="305" spans="1:29" ht="9.9499999999999993" customHeight="1" x14ac:dyDescent="0.15">
      <c r="A305" s="238" t="s">
        <v>45</v>
      </c>
      <c r="B305" s="248"/>
      <c r="C305" s="247"/>
      <c r="D305" s="247"/>
      <c r="E305" s="261" t="s">
        <v>443</v>
      </c>
      <c r="F305" s="277" t="s">
        <v>195</v>
      </c>
      <c r="G305" s="262"/>
      <c r="H305" s="277" t="s">
        <v>195</v>
      </c>
      <c r="I305" s="262"/>
      <c r="J305" s="277" t="s">
        <v>195</v>
      </c>
      <c r="K305" s="262"/>
      <c r="L305" s="277" t="s">
        <v>195</v>
      </c>
      <c r="M305" s="265"/>
      <c r="N305" s="277" t="s">
        <v>195</v>
      </c>
      <c r="O305" s="262"/>
      <c r="P305" s="277"/>
      <c r="Q305" s="262"/>
      <c r="R305" s="277" t="s">
        <v>195</v>
      </c>
      <c r="S305" s="262"/>
      <c r="T305" s="277" t="s">
        <v>195</v>
      </c>
      <c r="U305" s="265"/>
      <c r="V305" s="277" t="s">
        <v>195</v>
      </c>
      <c r="W305" s="262"/>
      <c r="X305" s="277" t="s">
        <v>195</v>
      </c>
      <c r="Y305" s="262"/>
      <c r="Z305" s="277" t="s">
        <v>195</v>
      </c>
      <c r="AA305" s="262"/>
      <c r="AB305" s="277" t="s">
        <v>195</v>
      </c>
      <c r="AC305" s="262"/>
    </row>
    <row r="306" spans="1:29" ht="9.9499999999999993" customHeight="1" x14ac:dyDescent="0.15">
      <c r="A306" s="238" t="s">
        <v>45</v>
      </c>
      <c r="B306" s="248"/>
      <c r="C306" s="244"/>
      <c r="D306" s="244"/>
      <c r="E306" s="261" t="s">
        <v>6</v>
      </c>
      <c r="F306" s="277" t="s">
        <v>195</v>
      </c>
      <c r="G306" s="276"/>
      <c r="H306" s="277" t="s">
        <v>195</v>
      </c>
      <c r="I306" s="276"/>
      <c r="J306" s="277" t="s">
        <v>195</v>
      </c>
      <c r="K306" s="276"/>
      <c r="L306" s="277" t="s">
        <v>195</v>
      </c>
      <c r="M306" s="276"/>
      <c r="N306" s="277" t="s">
        <v>195</v>
      </c>
      <c r="O306" s="276"/>
      <c r="P306" s="277"/>
      <c r="Q306" s="276"/>
      <c r="R306" s="277" t="s">
        <v>195</v>
      </c>
      <c r="S306" s="276"/>
      <c r="T306" s="277" t="s">
        <v>195</v>
      </c>
      <c r="U306" s="276"/>
      <c r="V306" s="277" t="s">
        <v>195</v>
      </c>
      <c r="W306" s="276"/>
      <c r="X306" s="277" t="s">
        <v>195</v>
      </c>
      <c r="Y306" s="276"/>
      <c r="Z306" s="277" t="s">
        <v>195</v>
      </c>
      <c r="AA306" s="276"/>
      <c r="AB306" s="277" t="s">
        <v>195</v>
      </c>
      <c r="AC306" s="276"/>
    </row>
    <row r="307" spans="1:29" ht="9.9499999999999993" customHeight="1" x14ac:dyDescent="0.15">
      <c r="A307" s="238" t="s">
        <v>45</v>
      </c>
      <c r="B307" s="248"/>
      <c r="C307" s="259" t="s">
        <v>448</v>
      </c>
      <c r="D307" s="242"/>
      <c r="E307" s="261" t="s">
        <v>444</v>
      </c>
      <c r="F307" s="277">
        <v>43</v>
      </c>
      <c r="G307" s="278" t="s">
        <v>74</v>
      </c>
      <c r="H307" s="277">
        <v>67</v>
      </c>
      <c r="I307" s="278" t="s">
        <v>470</v>
      </c>
      <c r="J307" s="277">
        <v>4.3</v>
      </c>
      <c r="K307" s="278" t="s">
        <v>72</v>
      </c>
      <c r="L307" s="277">
        <v>45</v>
      </c>
      <c r="M307" s="278" t="s">
        <v>71</v>
      </c>
      <c r="N307" s="277">
        <v>47</v>
      </c>
      <c r="O307" s="278" t="s">
        <v>65</v>
      </c>
      <c r="P307" s="277">
        <v>44</v>
      </c>
      <c r="Q307" s="278" t="s">
        <v>77</v>
      </c>
      <c r="R307" s="277">
        <v>4.2</v>
      </c>
      <c r="S307" s="278" t="s">
        <v>470</v>
      </c>
      <c r="T307" s="277">
        <v>22</v>
      </c>
      <c r="U307" s="278" t="s">
        <v>72</v>
      </c>
      <c r="V307" s="277" t="s">
        <v>195</v>
      </c>
      <c r="W307" s="278" t="s">
        <v>73</v>
      </c>
      <c r="X307" s="277" t="s">
        <v>195</v>
      </c>
      <c r="Y307" s="278" t="s">
        <v>475</v>
      </c>
      <c r="Z307" s="277" t="s">
        <v>195</v>
      </c>
      <c r="AA307" s="278" t="s">
        <v>67</v>
      </c>
      <c r="AB307" s="277">
        <v>1.5</v>
      </c>
      <c r="AC307" s="278" t="s">
        <v>500</v>
      </c>
    </row>
    <row r="308" spans="1:29" ht="9.9499999999999993" customHeight="1" x14ac:dyDescent="0.15">
      <c r="A308" s="238" t="s">
        <v>45</v>
      </c>
      <c r="B308" s="248"/>
      <c r="C308" s="248"/>
      <c r="D308" s="249"/>
      <c r="E308" s="261" t="s">
        <v>443</v>
      </c>
      <c r="F308" s="277">
        <v>37</v>
      </c>
      <c r="G308" s="262"/>
      <c r="H308" s="277">
        <v>61</v>
      </c>
      <c r="I308" s="262"/>
      <c r="J308" s="277">
        <v>45</v>
      </c>
      <c r="K308" s="262"/>
      <c r="L308" s="277">
        <v>52</v>
      </c>
      <c r="M308" s="265"/>
      <c r="N308" s="277">
        <v>45</v>
      </c>
      <c r="O308" s="262"/>
      <c r="P308" s="277">
        <v>39</v>
      </c>
      <c r="Q308" s="262"/>
      <c r="R308" s="277">
        <v>42</v>
      </c>
      <c r="S308" s="262"/>
      <c r="T308" s="277">
        <v>230</v>
      </c>
      <c r="U308" s="265"/>
      <c r="V308" s="277">
        <v>18</v>
      </c>
      <c r="W308" s="262"/>
      <c r="X308" s="277">
        <v>14</v>
      </c>
      <c r="Y308" s="262"/>
      <c r="Z308" s="277">
        <v>14</v>
      </c>
      <c r="AA308" s="262"/>
      <c r="AB308" s="277">
        <v>16</v>
      </c>
      <c r="AC308" s="262"/>
    </row>
    <row r="309" spans="1:29" ht="9.9499999999999993" customHeight="1" x14ac:dyDescent="0.15">
      <c r="A309" s="238" t="s">
        <v>45</v>
      </c>
      <c r="B309" s="248"/>
      <c r="C309" s="245"/>
      <c r="D309" s="246"/>
      <c r="E309" s="261" t="s">
        <v>6</v>
      </c>
      <c r="F309" s="279">
        <v>41.3</v>
      </c>
      <c r="G309" s="276"/>
      <c r="H309" s="277">
        <v>67.7</v>
      </c>
      <c r="I309" s="276"/>
      <c r="J309" s="277">
        <v>49.3</v>
      </c>
      <c r="K309" s="276"/>
      <c r="L309" s="277">
        <v>56.5</v>
      </c>
      <c r="M309" s="276"/>
      <c r="N309" s="277">
        <v>49.7</v>
      </c>
      <c r="O309" s="276"/>
      <c r="P309" s="277">
        <v>43.4</v>
      </c>
      <c r="Q309" s="276"/>
      <c r="R309" s="277">
        <v>46.2</v>
      </c>
      <c r="S309" s="276"/>
      <c r="T309" s="277">
        <v>252</v>
      </c>
      <c r="U309" s="276"/>
      <c r="V309" s="277">
        <v>18</v>
      </c>
      <c r="W309" s="276"/>
      <c r="X309" s="277">
        <v>14</v>
      </c>
      <c r="Y309" s="276"/>
      <c r="Z309" s="277">
        <v>14</v>
      </c>
      <c r="AA309" s="276"/>
      <c r="AB309" s="277">
        <v>17.5</v>
      </c>
      <c r="AC309" s="276"/>
    </row>
    <row r="310" spans="1:29" ht="9.9499999999999993" customHeight="1" x14ac:dyDescent="0.15">
      <c r="A310" s="238" t="s">
        <v>45</v>
      </c>
      <c r="B310" s="248"/>
      <c r="C310" s="259" t="s">
        <v>80</v>
      </c>
      <c r="D310" s="242"/>
      <c r="E310" s="261" t="s">
        <v>444</v>
      </c>
      <c r="F310" s="271">
        <v>29</v>
      </c>
      <c r="G310" s="278" t="s">
        <v>74</v>
      </c>
      <c r="H310" s="277">
        <v>37</v>
      </c>
      <c r="I310" s="278" t="s">
        <v>470</v>
      </c>
      <c r="J310" s="277">
        <v>29</v>
      </c>
      <c r="K310" s="278" t="s">
        <v>72</v>
      </c>
      <c r="L310" s="277">
        <v>30</v>
      </c>
      <c r="M310" s="278" t="s">
        <v>71</v>
      </c>
      <c r="N310" s="277">
        <v>29</v>
      </c>
      <c r="O310" s="278" t="s">
        <v>65</v>
      </c>
      <c r="P310" s="277">
        <v>26</v>
      </c>
      <c r="Q310" s="278" t="s">
        <v>77</v>
      </c>
      <c r="R310" s="277">
        <v>25</v>
      </c>
      <c r="S310" s="278" t="s">
        <v>470</v>
      </c>
      <c r="T310" s="277">
        <v>3.9</v>
      </c>
      <c r="U310" s="278" t="s">
        <v>72</v>
      </c>
      <c r="V310" s="277">
        <v>11</v>
      </c>
      <c r="W310" s="278" t="s">
        <v>73</v>
      </c>
      <c r="X310" s="277">
        <v>8.3000000000000007</v>
      </c>
      <c r="Y310" s="278" t="s">
        <v>475</v>
      </c>
      <c r="Z310" s="277">
        <v>8.5</v>
      </c>
      <c r="AA310" s="278" t="s">
        <v>475</v>
      </c>
      <c r="AB310" s="277">
        <v>13</v>
      </c>
      <c r="AC310" s="278" t="s">
        <v>500</v>
      </c>
    </row>
    <row r="311" spans="1:29" ht="9.9499999999999993" customHeight="1" x14ac:dyDescent="0.15">
      <c r="A311" s="238" t="s">
        <v>45</v>
      </c>
      <c r="B311" s="248"/>
      <c r="C311" s="248"/>
      <c r="D311" s="249"/>
      <c r="E311" s="261" t="s">
        <v>443</v>
      </c>
      <c r="F311" s="277">
        <v>290</v>
      </c>
      <c r="G311" s="262"/>
      <c r="H311" s="277">
        <v>370</v>
      </c>
      <c r="I311" s="262"/>
      <c r="J311" s="277">
        <v>270</v>
      </c>
      <c r="K311" s="262"/>
      <c r="L311" s="277">
        <v>310</v>
      </c>
      <c r="M311" s="265"/>
      <c r="N311" s="277">
        <v>310</v>
      </c>
      <c r="O311" s="262"/>
      <c r="P311" s="277">
        <v>260</v>
      </c>
      <c r="Q311" s="262"/>
      <c r="R311" s="277">
        <v>270</v>
      </c>
      <c r="S311" s="262"/>
      <c r="T311" s="277">
        <v>39</v>
      </c>
      <c r="U311" s="265"/>
      <c r="V311" s="277">
        <v>130</v>
      </c>
      <c r="W311" s="262"/>
      <c r="X311" s="277">
        <v>98</v>
      </c>
      <c r="Y311" s="262"/>
      <c r="Z311" s="277">
        <v>96</v>
      </c>
      <c r="AA311" s="262"/>
      <c r="AB311" s="277">
        <v>130</v>
      </c>
      <c r="AC311" s="262"/>
    </row>
    <row r="312" spans="1:29" ht="9.9499999999999993" customHeight="1" x14ac:dyDescent="0.15">
      <c r="A312" s="238" t="s">
        <v>45</v>
      </c>
      <c r="B312" s="245"/>
      <c r="C312" s="245"/>
      <c r="D312" s="246"/>
      <c r="E312" s="261" t="s">
        <v>6</v>
      </c>
      <c r="F312" s="277">
        <v>319</v>
      </c>
      <c r="G312" s="276"/>
      <c r="H312" s="279">
        <v>407</v>
      </c>
      <c r="I312" s="276"/>
      <c r="J312" s="279">
        <v>299</v>
      </c>
      <c r="K312" s="276"/>
      <c r="L312" s="279">
        <v>340</v>
      </c>
      <c r="M312" s="276"/>
      <c r="N312" s="279">
        <v>339</v>
      </c>
      <c r="O312" s="276"/>
      <c r="P312" s="279">
        <v>286</v>
      </c>
      <c r="Q312" s="276"/>
      <c r="R312" s="279">
        <v>295</v>
      </c>
      <c r="S312" s="276"/>
      <c r="T312" s="277">
        <v>42.9</v>
      </c>
      <c r="U312" s="276"/>
      <c r="V312" s="279">
        <v>141</v>
      </c>
      <c r="W312" s="276"/>
      <c r="X312" s="279">
        <v>106.3</v>
      </c>
      <c r="Y312" s="276"/>
      <c r="Z312" s="279">
        <v>104.5</v>
      </c>
      <c r="AA312" s="276"/>
      <c r="AB312" s="279">
        <v>143</v>
      </c>
      <c r="AC312" s="276"/>
    </row>
    <row r="313" spans="1:29" ht="9.9499999999999993" customHeight="1" x14ac:dyDescent="0.15">
      <c r="A313" s="238" t="s">
        <v>45</v>
      </c>
      <c r="B313" s="259" t="s">
        <v>56</v>
      </c>
      <c r="C313" s="259" t="s">
        <v>267</v>
      </c>
      <c r="D313" s="242"/>
      <c r="E313" s="261" t="s">
        <v>444</v>
      </c>
      <c r="F313" s="277" t="s">
        <v>195</v>
      </c>
      <c r="G313" s="278" t="s">
        <v>69</v>
      </c>
      <c r="H313" s="279" t="s">
        <v>195</v>
      </c>
      <c r="I313" s="278" t="s">
        <v>75</v>
      </c>
      <c r="J313" s="279" t="s">
        <v>195</v>
      </c>
      <c r="K313" s="278" t="s">
        <v>74</v>
      </c>
      <c r="L313" s="279" t="s">
        <v>195</v>
      </c>
      <c r="M313" s="278" t="s">
        <v>76</v>
      </c>
      <c r="N313" s="279" t="s">
        <v>195</v>
      </c>
      <c r="O313" s="278" t="s">
        <v>475</v>
      </c>
      <c r="P313" s="279" t="s">
        <v>195</v>
      </c>
      <c r="Q313" s="278" t="s">
        <v>68</v>
      </c>
      <c r="R313" s="279" t="s">
        <v>195</v>
      </c>
      <c r="S313" s="278" t="s">
        <v>65</v>
      </c>
      <c r="T313" s="279" t="s">
        <v>195</v>
      </c>
      <c r="U313" s="278" t="s">
        <v>66</v>
      </c>
      <c r="V313" s="279" t="s">
        <v>195</v>
      </c>
      <c r="W313" s="278" t="s">
        <v>71</v>
      </c>
      <c r="X313" s="279" t="s">
        <v>195</v>
      </c>
      <c r="Y313" s="278" t="s">
        <v>72</v>
      </c>
      <c r="Z313" s="279" t="s">
        <v>195</v>
      </c>
      <c r="AA313" s="278" t="s">
        <v>74</v>
      </c>
      <c r="AB313" s="279" t="s">
        <v>195</v>
      </c>
      <c r="AC313" s="278" t="s">
        <v>495</v>
      </c>
    </row>
    <row r="314" spans="1:29" ht="9.9499999999999993" customHeight="1" x14ac:dyDescent="0.15">
      <c r="A314" s="238" t="s">
        <v>45</v>
      </c>
      <c r="B314" s="248"/>
      <c r="C314" s="248"/>
      <c r="D314" s="249"/>
      <c r="E314" s="261" t="s">
        <v>443</v>
      </c>
      <c r="F314" s="277" t="s">
        <v>195</v>
      </c>
      <c r="G314" s="262"/>
      <c r="H314" s="277" t="s">
        <v>195</v>
      </c>
      <c r="I314" s="262"/>
      <c r="J314" s="277" t="s">
        <v>195</v>
      </c>
      <c r="K314" s="262"/>
      <c r="L314" s="277" t="s">
        <v>195</v>
      </c>
      <c r="M314" s="265"/>
      <c r="N314" s="277" t="s">
        <v>195</v>
      </c>
      <c r="O314" s="262"/>
      <c r="P314" s="277" t="s">
        <v>195</v>
      </c>
      <c r="Q314" s="262"/>
      <c r="R314" s="277" t="s">
        <v>195</v>
      </c>
      <c r="S314" s="262"/>
      <c r="T314" s="277" t="s">
        <v>195</v>
      </c>
      <c r="U314" s="265"/>
      <c r="V314" s="277" t="s">
        <v>195</v>
      </c>
      <c r="W314" s="262"/>
      <c r="X314" s="277" t="s">
        <v>195</v>
      </c>
      <c r="Y314" s="262"/>
      <c r="Z314" s="277" t="s">
        <v>195</v>
      </c>
      <c r="AA314" s="262"/>
      <c r="AB314" s="277" t="s">
        <v>195</v>
      </c>
      <c r="AC314" s="262"/>
    </row>
    <row r="315" spans="1:29" ht="9.9499999999999993" customHeight="1" x14ac:dyDescent="0.15">
      <c r="A315" s="238" t="s">
        <v>45</v>
      </c>
      <c r="B315" s="248"/>
      <c r="C315" s="245"/>
      <c r="D315" s="246"/>
      <c r="E315" s="261" t="s">
        <v>6</v>
      </c>
      <c r="F315" s="277" t="s">
        <v>195</v>
      </c>
      <c r="G315" s="276"/>
      <c r="H315" s="279" t="s">
        <v>195</v>
      </c>
      <c r="I315" s="276"/>
      <c r="J315" s="279" t="s">
        <v>195</v>
      </c>
      <c r="K315" s="276"/>
      <c r="L315" s="279" t="s">
        <v>195</v>
      </c>
      <c r="M315" s="276"/>
      <c r="N315" s="279" t="s">
        <v>195</v>
      </c>
      <c r="O315" s="276"/>
      <c r="P315" s="279" t="s">
        <v>195</v>
      </c>
      <c r="Q315" s="276"/>
      <c r="R315" s="279" t="s">
        <v>195</v>
      </c>
      <c r="S315" s="276"/>
      <c r="T315" s="277" t="s">
        <v>195</v>
      </c>
      <c r="U315" s="276"/>
      <c r="V315" s="279" t="s">
        <v>195</v>
      </c>
      <c r="W315" s="276"/>
      <c r="X315" s="279" t="s">
        <v>195</v>
      </c>
      <c r="Y315" s="276"/>
      <c r="Z315" s="279" t="s">
        <v>195</v>
      </c>
      <c r="AA315" s="276"/>
      <c r="AB315" s="279" t="s">
        <v>195</v>
      </c>
      <c r="AC315" s="276"/>
    </row>
    <row r="316" spans="1:29" ht="9.9499999999999993" customHeight="1" x14ac:dyDescent="0.15">
      <c r="A316" s="238" t="s">
        <v>45</v>
      </c>
      <c r="B316" s="248"/>
      <c r="C316" s="259" t="s">
        <v>81</v>
      </c>
      <c r="D316" s="242"/>
      <c r="E316" s="261" t="s">
        <v>444</v>
      </c>
      <c r="F316" s="277">
        <v>15</v>
      </c>
      <c r="G316" s="278" t="s">
        <v>69</v>
      </c>
      <c r="H316" s="279">
        <v>11</v>
      </c>
      <c r="I316" s="278" t="s">
        <v>75</v>
      </c>
      <c r="J316" s="279">
        <v>10</v>
      </c>
      <c r="K316" s="278" t="s">
        <v>74</v>
      </c>
      <c r="L316" s="279">
        <v>9</v>
      </c>
      <c r="M316" s="278" t="s">
        <v>76</v>
      </c>
      <c r="N316" s="279">
        <v>13</v>
      </c>
      <c r="O316" s="278" t="s">
        <v>475</v>
      </c>
      <c r="P316" s="279">
        <v>15</v>
      </c>
      <c r="Q316" s="278" t="s">
        <v>68</v>
      </c>
      <c r="R316" s="279">
        <v>8.4</v>
      </c>
      <c r="S316" s="278" t="s">
        <v>65</v>
      </c>
      <c r="T316" s="279">
        <v>10</v>
      </c>
      <c r="U316" s="278" t="s">
        <v>66</v>
      </c>
      <c r="V316" s="279">
        <v>8.3000000000000007</v>
      </c>
      <c r="W316" s="278" t="s">
        <v>71</v>
      </c>
      <c r="X316" s="279">
        <v>6.8</v>
      </c>
      <c r="Y316" s="278" t="s">
        <v>72</v>
      </c>
      <c r="Z316" s="279">
        <v>8.4</v>
      </c>
      <c r="AA316" s="278" t="s">
        <v>74</v>
      </c>
      <c r="AB316" s="279">
        <v>4.8</v>
      </c>
      <c r="AC316" s="278" t="s">
        <v>495</v>
      </c>
    </row>
    <row r="317" spans="1:29" ht="9.9499999999999993" customHeight="1" x14ac:dyDescent="0.15">
      <c r="A317" s="238" t="s">
        <v>45</v>
      </c>
      <c r="B317" s="248"/>
      <c r="C317" s="248"/>
      <c r="D317" s="249"/>
      <c r="E317" s="261" t="s">
        <v>443</v>
      </c>
      <c r="F317" s="277">
        <v>150</v>
      </c>
      <c r="G317" s="262"/>
      <c r="H317" s="277">
        <v>100</v>
      </c>
      <c r="I317" s="262"/>
      <c r="J317" s="277">
        <v>100</v>
      </c>
      <c r="K317" s="262"/>
      <c r="L317" s="277">
        <v>96</v>
      </c>
      <c r="M317" s="265"/>
      <c r="N317" s="277">
        <v>140</v>
      </c>
      <c r="O317" s="262"/>
      <c r="P317" s="277">
        <v>170</v>
      </c>
      <c r="Q317" s="262"/>
      <c r="R317" s="277">
        <v>100</v>
      </c>
      <c r="S317" s="262"/>
      <c r="T317" s="277">
        <v>120</v>
      </c>
      <c r="U317" s="265"/>
      <c r="V317" s="277">
        <v>100</v>
      </c>
      <c r="W317" s="262"/>
      <c r="X317" s="277">
        <v>90</v>
      </c>
      <c r="Y317" s="262"/>
      <c r="Z317" s="277">
        <v>87</v>
      </c>
      <c r="AA317" s="262"/>
      <c r="AB317" s="277">
        <v>67</v>
      </c>
      <c r="AC317" s="262"/>
    </row>
    <row r="318" spans="1:29" ht="9.9499999999999993" customHeight="1" x14ac:dyDescent="0.15">
      <c r="A318" s="238" t="s">
        <v>45</v>
      </c>
      <c r="B318" s="248"/>
      <c r="C318" s="245"/>
      <c r="D318" s="246"/>
      <c r="E318" s="261" t="s">
        <v>6</v>
      </c>
      <c r="F318" s="277">
        <v>165</v>
      </c>
      <c r="G318" s="276"/>
      <c r="H318" s="279" t="s">
        <v>471</v>
      </c>
      <c r="I318" s="276"/>
      <c r="J318" s="279">
        <v>110</v>
      </c>
      <c r="K318" s="276"/>
      <c r="L318" s="279">
        <v>104.6</v>
      </c>
      <c r="M318" s="276"/>
      <c r="N318" s="279">
        <v>153</v>
      </c>
      <c r="O318" s="276"/>
      <c r="P318" s="279">
        <v>185</v>
      </c>
      <c r="Q318" s="276"/>
      <c r="R318" s="279">
        <v>108.4</v>
      </c>
      <c r="S318" s="276"/>
      <c r="T318" s="279">
        <v>130</v>
      </c>
      <c r="U318" s="276"/>
      <c r="V318" s="279">
        <v>108.3</v>
      </c>
      <c r="W318" s="276"/>
      <c r="X318" s="279">
        <v>96.8</v>
      </c>
      <c r="Y318" s="276"/>
      <c r="Z318" s="279">
        <v>95.4</v>
      </c>
      <c r="AA318" s="276"/>
      <c r="AB318" s="279">
        <v>71.8</v>
      </c>
      <c r="AC318" s="276"/>
    </row>
    <row r="319" spans="1:29" ht="9.9499999999999993" customHeight="1" x14ac:dyDescent="0.15">
      <c r="A319" s="238" t="s">
        <v>45</v>
      </c>
      <c r="B319" s="248"/>
      <c r="C319" s="259" t="s">
        <v>53</v>
      </c>
      <c r="D319" s="242"/>
      <c r="E319" s="261" t="s">
        <v>444</v>
      </c>
      <c r="F319" s="277" t="s">
        <v>195</v>
      </c>
      <c r="G319" s="278" t="s">
        <v>69</v>
      </c>
      <c r="H319" s="279" t="s">
        <v>195</v>
      </c>
      <c r="I319" s="278" t="s">
        <v>75</v>
      </c>
      <c r="J319" s="275" t="s">
        <v>195</v>
      </c>
      <c r="K319" s="278" t="s">
        <v>74</v>
      </c>
      <c r="L319" s="279" t="s">
        <v>195</v>
      </c>
      <c r="M319" s="278" t="s">
        <v>76</v>
      </c>
      <c r="N319" s="279" t="s">
        <v>195</v>
      </c>
      <c r="O319" s="278" t="s">
        <v>475</v>
      </c>
      <c r="P319" s="279" t="s">
        <v>195</v>
      </c>
      <c r="Q319" s="278" t="s">
        <v>68</v>
      </c>
      <c r="R319" s="279" t="s">
        <v>195</v>
      </c>
      <c r="S319" s="278" t="s">
        <v>65</v>
      </c>
      <c r="T319" s="279" t="s">
        <v>195</v>
      </c>
      <c r="U319" s="278" t="s">
        <v>66</v>
      </c>
      <c r="V319" s="279" t="s">
        <v>195</v>
      </c>
      <c r="W319" s="278" t="s">
        <v>71</v>
      </c>
      <c r="X319" s="279" t="s">
        <v>195</v>
      </c>
      <c r="Y319" s="278" t="s">
        <v>72</v>
      </c>
      <c r="Z319" s="279" t="s">
        <v>195</v>
      </c>
      <c r="AA319" s="278" t="s">
        <v>74</v>
      </c>
      <c r="AB319" s="279" t="s">
        <v>195</v>
      </c>
      <c r="AC319" s="278" t="s">
        <v>495</v>
      </c>
    </row>
    <row r="320" spans="1:29" ht="9.9499999999999993" customHeight="1" x14ac:dyDescent="0.15">
      <c r="A320" s="238" t="s">
        <v>45</v>
      </c>
      <c r="B320" s="248"/>
      <c r="C320" s="248"/>
      <c r="D320" s="249"/>
      <c r="E320" s="261" t="s">
        <v>443</v>
      </c>
      <c r="F320" s="277" t="s">
        <v>195</v>
      </c>
      <c r="G320" s="262"/>
      <c r="H320" s="277" t="s">
        <v>195</v>
      </c>
      <c r="I320" s="262"/>
      <c r="J320" s="277" t="s">
        <v>195</v>
      </c>
      <c r="K320" s="262"/>
      <c r="L320" s="277" t="s">
        <v>195</v>
      </c>
      <c r="M320" s="265"/>
      <c r="N320" s="277" t="s">
        <v>195</v>
      </c>
      <c r="O320" s="262"/>
      <c r="P320" s="277" t="s">
        <v>195</v>
      </c>
      <c r="Q320" s="262"/>
      <c r="R320" s="277" t="s">
        <v>195</v>
      </c>
      <c r="S320" s="262"/>
      <c r="T320" s="277" t="s">
        <v>195</v>
      </c>
      <c r="U320" s="265"/>
      <c r="V320" s="277" t="s">
        <v>195</v>
      </c>
      <c r="W320" s="262"/>
      <c r="X320" s="277" t="s">
        <v>195</v>
      </c>
      <c r="Y320" s="262"/>
      <c r="Z320" s="277" t="s">
        <v>195</v>
      </c>
      <c r="AA320" s="262"/>
      <c r="AB320" s="277" t="s">
        <v>195</v>
      </c>
      <c r="AC320" s="262"/>
    </row>
    <row r="321" spans="1:29" ht="9.9499999999999993" customHeight="1" x14ac:dyDescent="0.15">
      <c r="A321" s="238" t="s">
        <v>45</v>
      </c>
      <c r="B321" s="245"/>
      <c r="C321" s="245"/>
      <c r="D321" s="246"/>
      <c r="E321" s="261" t="s">
        <v>6</v>
      </c>
      <c r="F321" s="277" t="s">
        <v>195</v>
      </c>
      <c r="G321" s="276"/>
      <c r="H321" s="277" t="s">
        <v>195</v>
      </c>
      <c r="I321" s="276"/>
      <c r="J321" s="277" t="s">
        <v>195</v>
      </c>
      <c r="K321" s="276"/>
      <c r="L321" s="277" t="s">
        <v>195</v>
      </c>
      <c r="M321" s="276"/>
      <c r="N321" s="277" t="s">
        <v>195</v>
      </c>
      <c r="O321" s="276"/>
      <c r="P321" s="277" t="s">
        <v>195</v>
      </c>
      <c r="Q321" s="276"/>
      <c r="R321" s="277" t="s">
        <v>195</v>
      </c>
      <c r="S321" s="276"/>
      <c r="T321" s="277" t="s">
        <v>195</v>
      </c>
      <c r="U321" s="276"/>
      <c r="V321" s="277" t="s">
        <v>195</v>
      </c>
      <c r="W321" s="276"/>
      <c r="X321" s="277" t="s">
        <v>195</v>
      </c>
      <c r="Y321" s="276"/>
      <c r="Z321" s="277" t="s">
        <v>195</v>
      </c>
      <c r="AA321" s="276"/>
      <c r="AB321" s="277" t="s">
        <v>195</v>
      </c>
      <c r="AC321" s="276"/>
    </row>
    <row r="322" spans="1:29" ht="9.9499999999999993" customHeight="1" x14ac:dyDescent="0.15">
      <c r="A322" s="238" t="s">
        <v>45</v>
      </c>
      <c r="B322" s="259" t="s">
        <v>472</v>
      </c>
      <c r="C322" s="259" t="s">
        <v>268</v>
      </c>
      <c r="D322" s="242"/>
      <c r="E322" s="261" t="s">
        <v>444</v>
      </c>
      <c r="F322" s="277" t="s">
        <v>195</v>
      </c>
      <c r="G322" s="278" t="s">
        <v>69</v>
      </c>
      <c r="H322" s="277" t="s">
        <v>195</v>
      </c>
      <c r="I322" s="278" t="s">
        <v>75</v>
      </c>
      <c r="J322" s="277" t="s">
        <v>195</v>
      </c>
      <c r="K322" s="278" t="s">
        <v>74</v>
      </c>
      <c r="L322" s="277" t="s">
        <v>195</v>
      </c>
      <c r="M322" s="278" t="s">
        <v>77</v>
      </c>
      <c r="N322" s="277" t="s">
        <v>195</v>
      </c>
      <c r="O322" s="278" t="s">
        <v>475</v>
      </c>
      <c r="P322" s="277" t="s">
        <v>195</v>
      </c>
      <c r="Q322" s="278" t="s">
        <v>68</v>
      </c>
      <c r="R322" s="277" t="s">
        <v>195</v>
      </c>
      <c r="S322" s="278" t="s">
        <v>65</v>
      </c>
      <c r="T322" s="277" t="s">
        <v>195</v>
      </c>
      <c r="U322" s="278" t="s">
        <v>495</v>
      </c>
      <c r="V322" s="277" t="s">
        <v>195</v>
      </c>
      <c r="W322" s="278" t="s">
        <v>71</v>
      </c>
      <c r="X322" s="277" t="s">
        <v>195</v>
      </c>
      <c r="Y322" s="278" t="s">
        <v>72</v>
      </c>
      <c r="Z322" s="277" t="s">
        <v>195</v>
      </c>
      <c r="AA322" s="278" t="s">
        <v>380</v>
      </c>
      <c r="AB322" s="277" t="s">
        <v>195</v>
      </c>
      <c r="AC322" s="278" t="s">
        <v>495</v>
      </c>
    </row>
    <row r="323" spans="1:29" ht="9.9499999999999993" customHeight="1" x14ac:dyDescent="0.15">
      <c r="A323" s="238" t="s">
        <v>45</v>
      </c>
      <c r="B323" s="248"/>
      <c r="C323" s="248"/>
      <c r="D323" s="249"/>
      <c r="E323" s="261" t="s">
        <v>443</v>
      </c>
      <c r="F323" s="277" t="s">
        <v>195</v>
      </c>
      <c r="G323" s="262"/>
      <c r="H323" s="277" t="s">
        <v>195</v>
      </c>
      <c r="I323" s="262"/>
      <c r="J323" s="277" t="s">
        <v>195</v>
      </c>
      <c r="K323" s="262"/>
      <c r="L323" s="277" t="s">
        <v>195</v>
      </c>
      <c r="M323" s="265"/>
      <c r="N323" s="277" t="s">
        <v>195</v>
      </c>
      <c r="O323" s="262"/>
      <c r="P323" s="277" t="s">
        <v>195</v>
      </c>
      <c r="Q323" s="262"/>
      <c r="R323" s="277" t="s">
        <v>195</v>
      </c>
      <c r="S323" s="262"/>
      <c r="T323" s="277" t="s">
        <v>195</v>
      </c>
      <c r="U323" s="265"/>
      <c r="V323" s="277" t="s">
        <v>195</v>
      </c>
      <c r="W323" s="262"/>
      <c r="X323" s="277" t="s">
        <v>195</v>
      </c>
      <c r="Y323" s="262"/>
      <c r="Z323" s="277" t="s">
        <v>195</v>
      </c>
      <c r="AA323" s="262"/>
      <c r="AB323" s="277" t="s">
        <v>195</v>
      </c>
      <c r="AC323" s="262"/>
    </row>
    <row r="324" spans="1:29" ht="9.9499999999999993" customHeight="1" x14ac:dyDescent="0.15">
      <c r="A324" s="238" t="s">
        <v>45</v>
      </c>
      <c r="B324" s="248"/>
      <c r="C324" s="245"/>
      <c r="D324" s="246"/>
      <c r="E324" s="261" t="s">
        <v>6</v>
      </c>
      <c r="F324" s="279" t="s">
        <v>195</v>
      </c>
      <c r="G324" s="276"/>
      <c r="H324" s="277" t="s">
        <v>195</v>
      </c>
      <c r="I324" s="276"/>
      <c r="J324" s="277" t="s">
        <v>195</v>
      </c>
      <c r="K324" s="276"/>
      <c r="L324" s="277" t="s">
        <v>195</v>
      </c>
      <c r="M324" s="276"/>
      <c r="N324" s="277" t="s">
        <v>195</v>
      </c>
      <c r="O324" s="276"/>
      <c r="P324" s="277" t="s">
        <v>195</v>
      </c>
      <c r="Q324" s="276"/>
      <c r="R324" s="277" t="s">
        <v>195</v>
      </c>
      <c r="S324" s="276"/>
      <c r="T324" s="277" t="s">
        <v>195</v>
      </c>
      <c r="U324" s="276"/>
      <c r="V324" s="277" t="s">
        <v>195</v>
      </c>
      <c r="W324" s="276"/>
      <c r="X324" s="277" t="s">
        <v>195</v>
      </c>
      <c r="Y324" s="276"/>
      <c r="Z324" s="277" t="s">
        <v>195</v>
      </c>
      <c r="AA324" s="276"/>
      <c r="AB324" s="277" t="s">
        <v>195</v>
      </c>
      <c r="AC324" s="276"/>
    </row>
    <row r="325" spans="1:29" ht="9.9499999999999993" customHeight="1" x14ac:dyDescent="0.15">
      <c r="A325" s="238" t="s">
        <v>45</v>
      </c>
      <c r="B325" s="248"/>
      <c r="C325" s="259" t="s">
        <v>53</v>
      </c>
      <c r="D325" s="242"/>
      <c r="E325" s="261" t="s">
        <v>444</v>
      </c>
      <c r="F325" s="271" t="s">
        <v>195</v>
      </c>
      <c r="G325" s="278" t="s">
        <v>69</v>
      </c>
      <c r="H325" s="277" t="s">
        <v>195</v>
      </c>
      <c r="I325" s="278" t="s">
        <v>75</v>
      </c>
      <c r="J325" s="277" t="s">
        <v>195</v>
      </c>
      <c r="K325" s="278" t="s">
        <v>74</v>
      </c>
      <c r="L325" s="277" t="s">
        <v>195</v>
      </c>
      <c r="M325" s="278" t="s">
        <v>77</v>
      </c>
      <c r="N325" s="277" t="s">
        <v>195</v>
      </c>
      <c r="O325" s="278" t="s">
        <v>475</v>
      </c>
      <c r="P325" s="277" t="s">
        <v>195</v>
      </c>
      <c r="Q325" s="278" t="s">
        <v>68</v>
      </c>
      <c r="R325" s="277" t="s">
        <v>195</v>
      </c>
      <c r="S325" s="278" t="s">
        <v>65</v>
      </c>
      <c r="T325" s="277" t="s">
        <v>195</v>
      </c>
      <c r="U325" s="278" t="s">
        <v>495</v>
      </c>
      <c r="V325" s="277" t="s">
        <v>195</v>
      </c>
      <c r="W325" s="278" t="s">
        <v>71</v>
      </c>
      <c r="X325" s="277" t="s">
        <v>195</v>
      </c>
      <c r="Y325" s="278" t="s">
        <v>72</v>
      </c>
      <c r="Z325" s="277" t="s">
        <v>195</v>
      </c>
      <c r="AA325" s="278" t="s">
        <v>380</v>
      </c>
      <c r="AB325" s="277" t="s">
        <v>195</v>
      </c>
      <c r="AC325" s="278" t="s">
        <v>495</v>
      </c>
    </row>
    <row r="326" spans="1:29" ht="9.9499999999999993" customHeight="1" x14ac:dyDescent="0.15">
      <c r="A326" s="238" t="s">
        <v>45</v>
      </c>
      <c r="B326" s="248"/>
      <c r="C326" s="248"/>
      <c r="D326" s="249"/>
      <c r="E326" s="261" t="s">
        <v>443</v>
      </c>
      <c r="F326" s="277">
        <v>7</v>
      </c>
      <c r="G326" s="262"/>
      <c r="H326" s="277">
        <v>7.6</v>
      </c>
      <c r="I326" s="262"/>
      <c r="J326" s="277">
        <v>8.1999999999999993</v>
      </c>
      <c r="K326" s="262"/>
      <c r="L326" s="277">
        <v>8</v>
      </c>
      <c r="M326" s="265"/>
      <c r="N326" s="277">
        <v>64</v>
      </c>
      <c r="O326" s="262"/>
      <c r="P326" s="277">
        <v>55</v>
      </c>
      <c r="Q326" s="262"/>
      <c r="R326" s="277">
        <v>3.5</v>
      </c>
      <c r="S326" s="262"/>
      <c r="T326" s="277" t="s">
        <v>195</v>
      </c>
      <c r="U326" s="265"/>
      <c r="V326" s="277">
        <v>57</v>
      </c>
      <c r="W326" s="262"/>
      <c r="X326" s="277">
        <v>7.3</v>
      </c>
      <c r="Y326" s="262"/>
      <c r="Z326" s="277">
        <v>6.4</v>
      </c>
      <c r="AA326" s="262"/>
      <c r="AB326" s="277">
        <v>7.1</v>
      </c>
      <c r="AC326" s="262"/>
    </row>
    <row r="327" spans="1:29" ht="9.9499999999999993" customHeight="1" x14ac:dyDescent="0.15">
      <c r="A327" s="238" t="s">
        <v>45</v>
      </c>
      <c r="B327" s="245"/>
      <c r="C327" s="245"/>
      <c r="D327" s="246"/>
      <c r="E327" s="261" t="s">
        <v>6</v>
      </c>
      <c r="F327" s="277">
        <v>7</v>
      </c>
      <c r="G327" s="276"/>
      <c r="H327" s="279">
        <v>7.6</v>
      </c>
      <c r="I327" s="276"/>
      <c r="J327" s="279">
        <v>8.1999999999999993</v>
      </c>
      <c r="K327" s="276"/>
      <c r="L327" s="279">
        <v>8</v>
      </c>
      <c r="M327" s="276"/>
      <c r="N327" s="279">
        <v>6.4</v>
      </c>
      <c r="O327" s="276"/>
      <c r="P327" s="279">
        <v>5.5</v>
      </c>
      <c r="Q327" s="276"/>
      <c r="R327" s="279">
        <v>3.5</v>
      </c>
      <c r="S327" s="276"/>
      <c r="T327" s="277" t="s">
        <v>195</v>
      </c>
      <c r="U327" s="276"/>
      <c r="V327" s="279">
        <v>5.7</v>
      </c>
      <c r="W327" s="276"/>
      <c r="X327" s="279">
        <v>7.3</v>
      </c>
      <c r="Y327" s="276"/>
      <c r="Z327" s="279">
        <v>6.4</v>
      </c>
      <c r="AA327" s="276"/>
      <c r="AB327" s="279">
        <v>7.1</v>
      </c>
      <c r="AC327" s="276"/>
    </row>
    <row r="328" spans="1:29" ht="9.9499999999999993" customHeight="1" x14ac:dyDescent="0.15">
      <c r="A328" s="238" t="s">
        <v>45</v>
      </c>
      <c r="B328" s="259" t="s">
        <v>469</v>
      </c>
      <c r="C328" s="259" t="s">
        <v>268</v>
      </c>
      <c r="D328" s="242"/>
      <c r="E328" s="261" t="s">
        <v>444</v>
      </c>
      <c r="F328" s="277" t="s">
        <v>195</v>
      </c>
      <c r="G328" s="278" t="s">
        <v>69</v>
      </c>
      <c r="H328" s="279" t="s">
        <v>195</v>
      </c>
      <c r="I328" s="278" t="s">
        <v>75</v>
      </c>
      <c r="J328" s="279" t="s">
        <v>195</v>
      </c>
      <c r="K328" s="278" t="s">
        <v>74</v>
      </c>
      <c r="L328" s="279" t="s">
        <v>195</v>
      </c>
      <c r="M328" s="278" t="s">
        <v>77</v>
      </c>
      <c r="N328" s="279" t="s">
        <v>195</v>
      </c>
      <c r="O328" s="278" t="s">
        <v>475</v>
      </c>
      <c r="P328" s="279" t="s">
        <v>195</v>
      </c>
      <c r="Q328" s="278" t="s">
        <v>68</v>
      </c>
      <c r="R328" s="279" t="s">
        <v>195</v>
      </c>
      <c r="S328" s="278" t="s">
        <v>65</v>
      </c>
      <c r="T328" s="279" t="s">
        <v>195</v>
      </c>
      <c r="U328" s="278" t="s">
        <v>495</v>
      </c>
      <c r="V328" s="279" t="s">
        <v>195</v>
      </c>
      <c r="W328" s="278" t="s">
        <v>71</v>
      </c>
      <c r="X328" s="279" t="s">
        <v>195</v>
      </c>
      <c r="Y328" s="278" t="s">
        <v>72</v>
      </c>
      <c r="Z328" s="279" t="s">
        <v>195</v>
      </c>
      <c r="AA328" s="278" t="s">
        <v>380</v>
      </c>
      <c r="AB328" s="279" t="s">
        <v>195</v>
      </c>
      <c r="AC328" s="278" t="s">
        <v>495</v>
      </c>
    </row>
    <row r="329" spans="1:29" ht="9.9499999999999993" customHeight="1" x14ac:dyDescent="0.15">
      <c r="A329" s="238" t="s">
        <v>45</v>
      </c>
      <c r="B329" s="248"/>
      <c r="C329" s="248"/>
      <c r="D329" s="249"/>
      <c r="E329" s="261" t="s">
        <v>443</v>
      </c>
      <c r="F329" s="277" t="s">
        <v>195</v>
      </c>
      <c r="G329" s="262"/>
      <c r="H329" s="277" t="s">
        <v>195</v>
      </c>
      <c r="I329" s="262"/>
      <c r="J329" s="277" t="s">
        <v>195</v>
      </c>
      <c r="K329" s="262"/>
      <c r="L329" s="277" t="s">
        <v>195</v>
      </c>
      <c r="M329" s="265"/>
      <c r="N329" s="277" t="s">
        <v>195</v>
      </c>
      <c r="O329" s="262"/>
      <c r="P329" s="277" t="s">
        <v>195</v>
      </c>
      <c r="Q329" s="262"/>
      <c r="R329" s="277" t="s">
        <v>195</v>
      </c>
      <c r="S329" s="262"/>
      <c r="T329" s="277" t="s">
        <v>195</v>
      </c>
      <c r="U329" s="265"/>
      <c r="V329" s="277" t="s">
        <v>195</v>
      </c>
      <c r="W329" s="262"/>
      <c r="X329" s="277" t="s">
        <v>195</v>
      </c>
      <c r="Y329" s="262"/>
      <c r="Z329" s="277" t="s">
        <v>195</v>
      </c>
      <c r="AA329" s="262"/>
      <c r="AB329" s="277" t="s">
        <v>195</v>
      </c>
      <c r="AC329" s="262"/>
    </row>
    <row r="330" spans="1:29" ht="9.9499999999999993" customHeight="1" x14ac:dyDescent="0.15">
      <c r="A330" s="238" t="s">
        <v>45</v>
      </c>
      <c r="B330" s="248"/>
      <c r="C330" s="245"/>
      <c r="D330" s="246"/>
      <c r="E330" s="261" t="s">
        <v>6</v>
      </c>
      <c r="F330" s="277" t="s">
        <v>195</v>
      </c>
      <c r="G330" s="276"/>
      <c r="H330" s="279" t="s">
        <v>195</v>
      </c>
      <c r="I330" s="276"/>
      <c r="J330" s="279" t="s">
        <v>195</v>
      </c>
      <c r="K330" s="276"/>
      <c r="L330" s="279" t="s">
        <v>195</v>
      </c>
      <c r="M330" s="276"/>
      <c r="N330" s="279" t="s">
        <v>195</v>
      </c>
      <c r="O330" s="276"/>
      <c r="P330" s="279" t="s">
        <v>195</v>
      </c>
      <c r="Q330" s="276"/>
      <c r="R330" s="279" t="s">
        <v>195</v>
      </c>
      <c r="S330" s="276"/>
      <c r="T330" s="277" t="s">
        <v>195</v>
      </c>
      <c r="U330" s="276"/>
      <c r="V330" s="279" t="s">
        <v>195</v>
      </c>
      <c r="W330" s="276"/>
      <c r="X330" s="279" t="s">
        <v>195</v>
      </c>
      <c r="Y330" s="276"/>
      <c r="Z330" s="279" t="s">
        <v>195</v>
      </c>
      <c r="AA330" s="276"/>
      <c r="AB330" s="279" t="s">
        <v>195</v>
      </c>
      <c r="AC330" s="276"/>
    </row>
    <row r="331" spans="1:29" ht="9.9499999999999993" customHeight="1" x14ac:dyDescent="0.15">
      <c r="A331" s="238" t="s">
        <v>45</v>
      </c>
      <c r="B331" s="248"/>
      <c r="C331" s="259" t="s">
        <v>53</v>
      </c>
      <c r="D331" s="242"/>
      <c r="E331" s="261" t="s">
        <v>444</v>
      </c>
      <c r="F331" s="277" t="s">
        <v>195</v>
      </c>
      <c r="G331" s="278" t="s">
        <v>69</v>
      </c>
      <c r="H331" s="279" t="s">
        <v>195</v>
      </c>
      <c r="I331" s="278" t="s">
        <v>75</v>
      </c>
      <c r="J331" s="279" t="s">
        <v>195</v>
      </c>
      <c r="K331" s="278" t="s">
        <v>74</v>
      </c>
      <c r="L331" s="279" t="s">
        <v>195</v>
      </c>
      <c r="M331" s="278" t="s">
        <v>77</v>
      </c>
      <c r="N331" s="279" t="s">
        <v>195</v>
      </c>
      <c r="O331" s="278" t="s">
        <v>475</v>
      </c>
      <c r="P331" s="279" t="s">
        <v>195</v>
      </c>
      <c r="Q331" s="278" t="s">
        <v>68</v>
      </c>
      <c r="R331" s="279" t="s">
        <v>195</v>
      </c>
      <c r="S331" s="278" t="s">
        <v>65</v>
      </c>
      <c r="T331" s="279" t="s">
        <v>195</v>
      </c>
      <c r="U331" s="278" t="s">
        <v>495</v>
      </c>
      <c r="V331" s="279" t="s">
        <v>195</v>
      </c>
      <c r="W331" s="278" t="s">
        <v>71</v>
      </c>
      <c r="X331" s="279" t="s">
        <v>195</v>
      </c>
      <c r="Y331" s="278" t="s">
        <v>72</v>
      </c>
      <c r="Z331" s="279" t="s">
        <v>195</v>
      </c>
      <c r="AA331" s="278" t="s">
        <v>380</v>
      </c>
      <c r="AB331" s="279" t="s">
        <v>195</v>
      </c>
      <c r="AC331" s="278" t="s">
        <v>495</v>
      </c>
    </row>
    <row r="332" spans="1:29" ht="9.9499999999999993" customHeight="1" x14ac:dyDescent="0.15">
      <c r="A332" s="238" t="s">
        <v>45</v>
      </c>
      <c r="B332" s="248"/>
      <c r="C332" s="248"/>
      <c r="D332" s="249"/>
      <c r="E332" s="261" t="s">
        <v>443</v>
      </c>
      <c r="F332" s="277" t="s">
        <v>195</v>
      </c>
      <c r="G332" s="262"/>
      <c r="H332" s="277" t="s">
        <v>195</v>
      </c>
      <c r="I332" s="262"/>
      <c r="J332" s="277" t="s">
        <v>195</v>
      </c>
      <c r="K332" s="262"/>
      <c r="L332" s="277" t="s">
        <v>195</v>
      </c>
      <c r="M332" s="265"/>
      <c r="N332" s="277" t="s">
        <v>195</v>
      </c>
      <c r="O332" s="262"/>
      <c r="P332" s="277" t="s">
        <v>195</v>
      </c>
      <c r="Q332" s="262"/>
      <c r="R332" s="277" t="s">
        <v>195</v>
      </c>
      <c r="S332" s="262"/>
      <c r="T332" s="277">
        <v>47</v>
      </c>
      <c r="U332" s="265"/>
      <c r="V332" s="277" t="s">
        <v>195</v>
      </c>
      <c r="W332" s="262"/>
      <c r="X332" s="277" t="s">
        <v>195</v>
      </c>
      <c r="Y332" s="262"/>
      <c r="Z332" s="277" t="s">
        <v>195</v>
      </c>
      <c r="AA332" s="262"/>
      <c r="AB332" s="277" t="s">
        <v>195</v>
      </c>
      <c r="AC332" s="262"/>
    </row>
    <row r="333" spans="1:29" ht="9.9499999999999993" customHeight="1" x14ac:dyDescent="0.15">
      <c r="A333" s="238" t="s">
        <v>45</v>
      </c>
      <c r="B333" s="245"/>
      <c r="C333" s="245"/>
      <c r="D333" s="246"/>
      <c r="E333" s="261" t="s">
        <v>6</v>
      </c>
      <c r="F333" s="277" t="s">
        <v>195</v>
      </c>
      <c r="G333" s="278"/>
      <c r="H333" s="279" t="s">
        <v>195</v>
      </c>
      <c r="I333" s="278"/>
      <c r="J333" s="279" t="s">
        <v>195</v>
      </c>
      <c r="K333" s="278"/>
      <c r="L333" s="279" t="s">
        <v>195</v>
      </c>
      <c r="M333" s="278"/>
      <c r="N333" s="279" t="s">
        <v>195</v>
      </c>
      <c r="O333" s="278"/>
      <c r="P333" s="279" t="s">
        <v>195</v>
      </c>
      <c r="Q333" s="278"/>
      <c r="R333" s="279" t="s">
        <v>195</v>
      </c>
      <c r="S333" s="278"/>
      <c r="T333" s="277">
        <v>4.7</v>
      </c>
      <c r="U333" s="278"/>
      <c r="V333" s="279" t="s">
        <v>195</v>
      </c>
      <c r="W333" s="278"/>
      <c r="X333" s="279" t="s">
        <v>195</v>
      </c>
      <c r="Y333" s="278"/>
      <c r="Z333" s="279" t="s">
        <v>195</v>
      </c>
      <c r="AA333" s="278"/>
      <c r="AB333" s="279" t="s">
        <v>195</v>
      </c>
      <c r="AC333" s="278"/>
    </row>
    <row r="334" spans="1:29" ht="9.9499999999999993" customHeight="1" x14ac:dyDescent="0.15">
      <c r="B334" s="239" t="s">
        <v>196</v>
      </c>
    </row>
    <row r="335" spans="1:29" ht="9.9499999999999993" customHeight="1" x14ac:dyDescent="0.15">
      <c r="B335" s="239" t="s">
        <v>78</v>
      </c>
    </row>
    <row r="337" spans="2:9" ht="9.9499999999999993" customHeight="1" x14ac:dyDescent="0.15">
      <c r="B337" s="239" t="s">
        <v>473</v>
      </c>
      <c r="C337" s="254"/>
      <c r="D337" s="254"/>
      <c r="E337" s="254"/>
      <c r="F337" s="255"/>
      <c r="G337" s="256"/>
      <c r="H337" s="256"/>
      <c r="I337" s="256"/>
    </row>
    <row r="338" spans="2:9" ht="9.9499999999999993" customHeight="1" x14ac:dyDescent="0.15">
      <c r="B338" s="260" t="s">
        <v>461</v>
      </c>
      <c r="C338" s="254"/>
      <c r="D338" s="243"/>
      <c r="E338" s="260" t="s">
        <v>46</v>
      </c>
      <c r="F338" s="260" t="s">
        <v>47</v>
      </c>
      <c r="G338" s="260" t="s">
        <v>48</v>
      </c>
      <c r="H338" s="260" t="s">
        <v>49</v>
      </c>
      <c r="I338" s="260" t="s">
        <v>6</v>
      </c>
    </row>
    <row r="339" spans="2:9" ht="9.9499999999999993" customHeight="1" x14ac:dyDescent="0.15">
      <c r="B339" s="260" t="s">
        <v>50</v>
      </c>
      <c r="C339" s="254"/>
      <c r="D339" s="243"/>
      <c r="E339" s="269">
        <v>2453.1</v>
      </c>
      <c r="F339" s="269">
        <v>1469.52</v>
      </c>
      <c r="G339" s="270">
        <v>918.01</v>
      </c>
      <c r="H339" s="270">
        <v>367.18</v>
      </c>
      <c r="I339" s="269">
        <v>5207.8100000000004</v>
      </c>
    </row>
    <row r="340" spans="2:9" ht="9.9499999999999993" customHeight="1" x14ac:dyDescent="0.15">
      <c r="B340" s="260" t="s">
        <v>51</v>
      </c>
      <c r="C340" s="254"/>
      <c r="D340" s="243"/>
      <c r="E340" s="270">
        <v>0.13</v>
      </c>
      <c r="F340" s="270">
        <v>2.0499999999999998</v>
      </c>
      <c r="G340" s="270">
        <v>2.27</v>
      </c>
      <c r="H340" s="270">
        <v>0.98</v>
      </c>
      <c r="I340" s="270">
        <v>5.43</v>
      </c>
    </row>
    <row r="341" spans="2:9" ht="9.9499999999999993" customHeight="1" x14ac:dyDescent="0.15">
      <c r="B341" s="260" t="s">
        <v>52</v>
      </c>
      <c r="C341" s="254"/>
      <c r="D341" s="243"/>
      <c r="E341" s="270">
        <v>18</v>
      </c>
      <c r="F341" s="270">
        <v>11.7</v>
      </c>
      <c r="G341" s="270">
        <v>20.3</v>
      </c>
      <c r="H341" s="270">
        <v>13.4</v>
      </c>
      <c r="I341" s="270">
        <v>63.4</v>
      </c>
    </row>
    <row r="342" spans="2:9" ht="9.9499999999999993" customHeight="1" x14ac:dyDescent="0.15">
      <c r="B342" s="260" t="s">
        <v>449</v>
      </c>
      <c r="C342" s="254"/>
      <c r="D342" s="243"/>
      <c r="E342" s="270">
        <v>72.38</v>
      </c>
      <c r="F342" s="270">
        <v>39.549999999999997</v>
      </c>
      <c r="G342" s="270">
        <v>0</v>
      </c>
      <c r="H342" s="270">
        <v>0</v>
      </c>
      <c r="I342" s="270">
        <v>111.93</v>
      </c>
    </row>
    <row r="343" spans="2:9" ht="9.9499999999999993" customHeight="1" x14ac:dyDescent="0.15">
      <c r="B343" s="260" t="s">
        <v>6</v>
      </c>
      <c r="C343" s="254"/>
      <c r="D343" s="243"/>
      <c r="E343" s="269">
        <v>2543.61</v>
      </c>
      <c r="F343" s="269">
        <v>1522.82</v>
      </c>
      <c r="G343" s="270">
        <v>940.58</v>
      </c>
      <c r="H343" s="270">
        <v>381.56</v>
      </c>
      <c r="I343" s="269">
        <v>5388.57</v>
      </c>
    </row>
  </sheetData>
  <phoneticPr fontId="2"/>
  <pageMargins left="0.75" right="0.75" top="1" bottom="1" header="0" footer="0"/>
  <pageSetup paperSize="8" orientation="portrait" verticalDpi="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28"/>
  <sheetViews>
    <sheetView zoomScale="75" zoomScaleNormal="75" workbookViewId="0"/>
  </sheetViews>
  <sheetFormatPr defaultColWidth="5.75" defaultRowHeight="12" x14ac:dyDescent="0.15"/>
  <cols>
    <col min="1" max="1" width="4.625" style="16" customWidth="1"/>
    <col min="2" max="4" width="4.875" style="1" customWidth="1"/>
    <col min="5" max="6" width="4.625" style="1" customWidth="1"/>
    <col min="7" max="7" width="4.625" style="16" customWidth="1"/>
    <col min="8" max="10" width="4.875" style="1" customWidth="1"/>
    <col min="11" max="12" width="4.625" style="1" customWidth="1"/>
    <col min="13" max="13" width="4.625" style="16" customWidth="1"/>
    <col min="14" max="16" width="4.875" style="1" customWidth="1"/>
    <col min="17" max="18" width="4.625" style="1" customWidth="1"/>
    <col min="19" max="19" width="4.625" style="16" customWidth="1"/>
    <col min="20" max="22" width="4.875" style="1" customWidth="1"/>
    <col min="23" max="24" width="4.625" style="1" customWidth="1"/>
    <col min="25" max="25" width="4.625" style="16" customWidth="1"/>
    <col min="26" max="28" width="4.875" style="1" customWidth="1"/>
    <col min="29" max="30" width="4.625" style="1" customWidth="1"/>
    <col min="31" max="31" width="4.625" style="16" customWidth="1"/>
    <col min="32" max="34" width="4.875" style="1" customWidth="1"/>
    <col min="35" max="36" width="4.625" style="1" customWidth="1"/>
    <col min="37" max="37" width="4.625" style="16" customWidth="1"/>
    <col min="38" max="40" width="4.875" style="1" customWidth="1"/>
    <col min="41" max="42" width="4.625" style="1" customWidth="1"/>
    <col min="43" max="43" width="4.625" style="16" customWidth="1"/>
    <col min="44" max="46" width="4.875" style="1" customWidth="1"/>
    <col min="47" max="48" width="4.625" style="1" customWidth="1"/>
    <col min="49" max="49" width="4.625" style="16" customWidth="1"/>
    <col min="50" max="52" width="4.875" style="1" customWidth="1"/>
    <col min="53" max="54" width="4.625" style="1" customWidth="1"/>
    <col min="55" max="55" width="4.625" style="16" customWidth="1"/>
    <col min="56" max="58" width="4.875" style="1" customWidth="1"/>
    <col min="59" max="60" width="4.625" style="1" customWidth="1"/>
    <col min="61" max="61" width="4.625" style="16" customWidth="1"/>
    <col min="62" max="64" width="4.875" style="1" customWidth="1"/>
    <col min="65" max="66" width="4.625" style="1" customWidth="1"/>
    <col min="67" max="67" width="4.625" style="16" customWidth="1"/>
    <col min="68" max="70" width="4.875" style="1" customWidth="1"/>
    <col min="71" max="81" width="4.625" style="1" customWidth="1"/>
    <col min="82" max="16384" width="5.75" style="1"/>
  </cols>
  <sheetData>
    <row r="1" spans="1:72" ht="12" customHeight="1" x14ac:dyDescent="0.15">
      <c r="A1" s="49"/>
      <c r="G1" s="49"/>
      <c r="M1" s="49"/>
      <c r="S1" s="49"/>
      <c r="Y1" s="49"/>
      <c r="AE1" s="49"/>
      <c r="AK1" s="49"/>
      <c r="AQ1" s="49"/>
      <c r="AW1" s="49"/>
      <c r="BC1" s="49"/>
      <c r="BI1" s="49"/>
      <c r="BO1" s="49"/>
    </row>
    <row r="2" spans="1:72" ht="12" customHeight="1" x14ac:dyDescent="0.15">
      <c r="A2" s="49"/>
      <c r="B2" s="1" t="s">
        <v>196</v>
      </c>
      <c r="G2" s="49"/>
      <c r="H2" s="1" t="s">
        <v>196</v>
      </c>
      <c r="M2" s="49"/>
      <c r="N2" s="1" t="s">
        <v>196</v>
      </c>
      <c r="S2" s="49"/>
      <c r="T2" s="1" t="s">
        <v>196</v>
      </c>
      <c r="Y2" s="49"/>
      <c r="Z2" s="1" t="s">
        <v>196</v>
      </c>
      <c r="AE2" s="49"/>
      <c r="AF2" s="1" t="s">
        <v>196</v>
      </c>
      <c r="AK2" s="49"/>
      <c r="AL2" s="1" t="s">
        <v>196</v>
      </c>
      <c r="AQ2" s="49"/>
      <c r="AR2" s="1" t="s">
        <v>196</v>
      </c>
      <c r="AW2" s="49"/>
      <c r="AX2" s="1" t="s">
        <v>196</v>
      </c>
      <c r="BC2" s="49"/>
      <c r="BD2" s="1" t="s">
        <v>196</v>
      </c>
      <c r="BI2" s="49"/>
      <c r="BJ2" s="1" t="s">
        <v>196</v>
      </c>
      <c r="BO2" s="49"/>
      <c r="BP2" s="1" t="s">
        <v>196</v>
      </c>
    </row>
    <row r="3" spans="1:72" ht="12" customHeight="1" x14ac:dyDescent="0.15">
      <c r="A3" s="49"/>
      <c r="B3" s="1" t="s">
        <v>78</v>
      </c>
      <c r="G3" s="49"/>
      <c r="H3" s="1" t="s">
        <v>78</v>
      </c>
      <c r="M3" s="49"/>
      <c r="N3" s="1" t="s">
        <v>78</v>
      </c>
      <c r="S3" s="49"/>
      <c r="T3" s="1" t="s">
        <v>78</v>
      </c>
      <c r="Y3" s="49"/>
      <c r="Z3" s="1" t="s">
        <v>78</v>
      </c>
      <c r="AE3" s="49"/>
      <c r="AF3" s="1" t="s">
        <v>78</v>
      </c>
      <c r="AK3" s="49"/>
      <c r="AL3" s="1" t="s">
        <v>78</v>
      </c>
      <c r="AQ3" s="49"/>
      <c r="AR3" s="1" t="s">
        <v>78</v>
      </c>
      <c r="AW3" s="49"/>
      <c r="AX3" s="1" t="s">
        <v>78</v>
      </c>
      <c r="BC3" s="49"/>
      <c r="BD3" s="1" t="s">
        <v>78</v>
      </c>
      <c r="BI3" s="49"/>
      <c r="BJ3" s="1" t="s">
        <v>78</v>
      </c>
      <c r="BO3" s="49"/>
      <c r="BP3" s="1" t="s">
        <v>78</v>
      </c>
    </row>
    <row r="4" spans="1:72" ht="12" customHeight="1" x14ac:dyDescent="0.15">
      <c r="A4" s="49"/>
      <c r="G4" s="49"/>
      <c r="M4" s="49"/>
      <c r="S4" s="49"/>
      <c r="Y4" s="49"/>
      <c r="AE4" s="49"/>
      <c r="AK4" s="49"/>
      <c r="AQ4" s="49"/>
      <c r="AW4" s="49"/>
      <c r="BC4" s="49"/>
      <c r="BI4" s="49"/>
      <c r="BO4" s="49"/>
    </row>
    <row r="5" spans="1:72" ht="12" customHeight="1" x14ac:dyDescent="0.15">
      <c r="A5" s="49"/>
      <c r="B5" s="1" t="s">
        <v>218</v>
      </c>
      <c r="C5" s="10"/>
      <c r="D5" s="20"/>
      <c r="E5" s="10"/>
      <c r="F5" s="10"/>
      <c r="G5" s="49"/>
      <c r="H5" s="1" t="s">
        <v>218</v>
      </c>
      <c r="I5" s="10"/>
      <c r="J5" s="20"/>
      <c r="K5" s="10"/>
      <c r="L5" s="1" t="s">
        <v>217</v>
      </c>
      <c r="M5" s="49"/>
      <c r="N5" s="1" t="s">
        <v>218</v>
      </c>
      <c r="O5" s="10"/>
      <c r="P5" s="20"/>
      <c r="Q5" s="10"/>
      <c r="S5" s="49"/>
      <c r="T5" s="1" t="s">
        <v>218</v>
      </c>
      <c r="U5" s="10"/>
      <c r="V5" s="20"/>
      <c r="Y5" s="49"/>
      <c r="Z5" s="1" t="s">
        <v>218</v>
      </c>
      <c r="AA5" s="10"/>
      <c r="AB5" s="20"/>
      <c r="AE5" s="49"/>
      <c r="AF5" s="1" t="s">
        <v>218</v>
      </c>
      <c r="AG5" s="10"/>
      <c r="AH5" s="20"/>
      <c r="AK5" s="49"/>
      <c r="AL5" s="1" t="s">
        <v>218</v>
      </c>
      <c r="AM5" s="10"/>
      <c r="AN5" s="20"/>
      <c r="AQ5" s="49"/>
      <c r="AR5" s="1" t="s">
        <v>218</v>
      </c>
      <c r="AS5" s="10"/>
      <c r="AT5" s="20"/>
      <c r="AW5" s="49"/>
      <c r="AX5" s="1" t="s">
        <v>218</v>
      </c>
      <c r="AY5" s="10"/>
      <c r="AZ5" s="20"/>
      <c r="BC5" s="49"/>
      <c r="BD5" s="1" t="s">
        <v>218</v>
      </c>
      <c r="BE5" s="10"/>
      <c r="BF5" s="20"/>
      <c r="BI5" s="49"/>
      <c r="BJ5" s="1" t="s">
        <v>218</v>
      </c>
      <c r="BK5" s="10"/>
      <c r="BL5" s="20"/>
      <c r="BO5" s="49"/>
      <c r="BP5" s="1" t="s">
        <v>218</v>
      </c>
      <c r="BQ5" s="10"/>
      <c r="BR5" s="20"/>
    </row>
    <row r="6" spans="1:72" ht="12" customHeight="1" x14ac:dyDescent="0.15">
      <c r="A6" s="49" t="s">
        <v>197</v>
      </c>
      <c r="B6" s="21" t="s">
        <v>54</v>
      </c>
      <c r="C6" s="22" t="s">
        <v>62</v>
      </c>
      <c r="D6" s="23" t="s">
        <v>83</v>
      </c>
      <c r="G6" s="49" t="s">
        <v>197</v>
      </c>
      <c r="H6" s="21" t="s">
        <v>54</v>
      </c>
      <c r="I6" s="22" t="s">
        <v>62</v>
      </c>
      <c r="J6" s="23" t="s">
        <v>83</v>
      </c>
      <c r="M6" s="49" t="s">
        <v>197</v>
      </c>
      <c r="N6" s="21" t="s">
        <v>54</v>
      </c>
      <c r="O6" s="22" t="s">
        <v>62</v>
      </c>
      <c r="P6" s="23" t="s">
        <v>83</v>
      </c>
      <c r="S6" s="49" t="s">
        <v>197</v>
      </c>
      <c r="T6" s="21" t="s">
        <v>54</v>
      </c>
      <c r="U6" s="22" t="s">
        <v>62</v>
      </c>
      <c r="V6" s="23" t="s">
        <v>83</v>
      </c>
      <c r="Y6" s="49" t="s">
        <v>197</v>
      </c>
      <c r="Z6" s="21" t="s">
        <v>54</v>
      </c>
      <c r="AA6" s="22" t="s">
        <v>62</v>
      </c>
      <c r="AB6" s="23" t="s">
        <v>83</v>
      </c>
      <c r="AE6" s="49" t="s">
        <v>197</v>
      </c>
      <c r="AF6" s="21" t="s">
        <v>54</v>
      </c>
      <c r="AG6" s="22" t="s">
        <v>62</v>
      </c>
      <c r="AH6" s="23" t="s">
        <v>83</v>
      </c>
      <c r="AK6" s="49" t="s">
        <v>197</v>
      </c>
      <c r="AL6" s="21" t="s">
        <v>54</v>
      </c>
      <c r="AM6" s="22" t="s">
        <v>62</v>
      </c>
      <c r="AN6" s="23" t="s">
        <v>83</v>
      </c>
      <c r="AQ6" s="49" t="s">
        <v>197</v>
      </c>
      <c r="AR6" s="21" t="s">
        <v>54</v>
      </c>
      <c r="AS6" s="22" t="s">
        <v>62</v>
      </c>
      <c r="AT6" s="23" t="s">
        <v>83</v>
      </c>
      <c r="AW6" s="49" t="s">
        <v>197</v>
      </c>
      <c r="AX6" s="21" t="s">
        <v>54</v>
      </c>
      <c r="AY6" s="22" t="s">
        <v>62</v>
      </c>
      <c r="AZ6" s="23" t="s">
        <v>83</v>
      </c>
      <c r="BC6" s="49" t="s">
        <v>197</v>
      </c>
      <c r="BD6" s="21" t="s">
        <v>54</v>
      </c>
      <c r="BE6" s="22" t="s">
        <v>62</v>
      </c>
      <c r="BF6" s="23" t="s">
        <v>83</v>
      </c>
      <c r="BG6" s="24">
        <v>180</v>
      </c>
      <c r="BH6" s="29" t="s">
        <v>87</v>
      </c>
      <c r="BI6" s="49" t="s">
        <v>197</v>
      </c>
      <c r="BJ6" s="21" t="s">
        <v>54</v>
      </c>
      <c r="BK6" s="22" t="s">
        <v>62</v>
      </c>
      <c r="BL6" s="23" t="s">
        <v>83</v>
      </c>
      <c r="BM6" s="24">
        <v>210</v>
      </c>
      <c r="BN6" s="29" t="s">
        <v>130</v>
      </c>
      <c r="BO6" s="49" t="s">
        <v>197</v>
      </c>
      <c r="BP6" s="21" t="s">
        <v>54</v>
      </c>
      <c r="BQ6" s="22" t="s">
        <v>62</v>
      </c>
      <c r="BR6" s="23" t="s">
        <v>83</v>
      </c>
      <c r="BS6" s="24">
        <v>280</v>
      </c>
      <c r="BT6" s="29" t="s">
        <v>88</v>
      </c>
    </row>
    <row r="7" spans="1:72" ht="12" customHeight="1" x14ac:dyDescent="0.15">
      <c r="A7" s="49" t="s">
        <v>197</v>
      </c>
      <c r="B7" s="21" t="s">
        <v>54</v>
      </c>
      <c r="C7" s="22" t="s">
        <v>62</v>
      </c>
      <c r="D7" s="23" t="s">
        <v>84</v>
      </c>
      <c r="G7" s="49" t="s">
        <v>197</v>
      </c>
      <c r="H7" s="21" t="s">
        <v>54</v>
      </c>
      <c r="I7" s="22" t="s">
        <v>62</v>
      </c>
      <c r="J7" s="23" t="s">
        <v>84</v>
      </c>
      <c r="M7" s="49" t="s">
        <v>197</v>
      </c>
      <c r="N7" s="21" t="s">
        <v>54</v>
      </c>
      <c r="O7" s="22" t="s">
        <v>62</v>
      </c>
      <c r="P7" s="23" t="s">
        <v>84</v>
      </c>
      <c r="S7" s="49" t="s">
        <v>197</v>
      </c>
      <c r="T7" s="21" t="s">
        <v>54</v>
      </c>
      <c r="U7" s="22" t="s">
        <v>62</v>
      </c>
      <c r="V7" s="23" t="s">
        <v>84</v>
      </c>
      <c r="Y7" s="49" t="s">
        <v>197</v>
      </c>
      <c r="Z7" s="21" t="s">
        <v>54</v>
      </c>
      <c r="AA7" s="22" t="s">
        <v>62</v>
      </c>
      <c r="AB7" s="23" t="s">
        <v>84</v>
      </c>
      <c r="AE7" s="49" t="s">
        <v>197</v>
      </c>
      <c r="AF7" s="21" t="s">
        <v>54</v>
      </c>
      <c r="AG7" s="22" t="s">
        <v>62</v>
      </c>
      <c r="AH7" s="23" t="s">
        <v>84</v>
      </c>
      <c r="AK7" s="49" t="s">
        <v>197</v>
      </c>
      <c r="AL7" s="21" t="s">
        <v>54</v>
      </c>
      <c r="AM7" s="22" t="s">
        <v>62</v>
      </c>
      <c r="AN7" s="23" t="s">
        <v>84</v>
      </c>
      <c r="AQ7" s="49" t="s">
        <v>197</v>
      </c>
      <c r="AR7" s="21" t="s">
        <v>54</v>
      </c>
      <c r="AS7" s="22" t="s">
        <v>62</v>
      </c>
      <c r="AT7" s="23" t="s">
        <v>84</v>
      </c>
      <c r="AW7" s="49" t="s">
        <v>197</v>
      </c>
      <c r="AX7" s="21" t="s">
        <v>54</v>
      </c>
      <c r="AY7" s="22" t="s">
        <v>62</v>
      </c>
      <c r="AZ7" s="23" t="s">
        <v>84</v>
      </c>
      <c r="BC7" s="49" t="s">
        <v>197</v>
      </c>
      <c r="BD7" s="21" t="s">
        <v>54</v>
      </c>
      <c r="BE7" s="22" t="s">
        <v>62</v>
      </c>
      <c r="BF7" s="23" t="s">
        <v>84</v>
      </c>
      <c r="BG7" s="24">
        <v>260</v>
      </c>
      <c r="BH7" s="34" t="s">
        <v>87</v>
      </c>
      <c r="BI7" s="49" t="s">
        <v>197</v>
      </c>
      <c r="BJ7" s="21" t="s">
        <v>54</v>
      </c>
      <c r="BK7" s="22" t="s">
        <v>62</v>
      </c>
      <c r="BL7" s="23" t="s">
        <v>84</v>
      </c>
      <c r="BM7" s="24">
        <v>290</v>
      </c>
      <c r="BN7" s="34" t="s">
        <v>130</v>
      </c>
      <c r="BO7" s="49" t="s">
        <v>197</v>
      </c>
      <c r="BP7" s="21" t="s">
        <v>54</v>
      </c>
      <c r="BQ7" s="22" t="s">
        <v>62</v>
      </c>
      <c r="BR7" s="23" t="s">
        <v>84</v>
      </c>
      <c r="BS7" s="24">
        <v>380</v>
      </c>
      <c r="BT7" s="34" t="s">
        <v>88</v>
      </c>
    </row>
    <row r="8" spans="1:72" ht="12" customHeight="1" x14ac:dyDescent="0.15">
      <c r="A8" s="49" t="s">
        <v>197</v>
      </c>
      <c r="B8" s="21" t="s">
        <v>54</v>
      </c>
      <c r="C8" s="22" t="s">
        <v>62</v>
      </c>
      <c r="D8" s="23" t="s">
        <v>6</v>
      </c>
      <c r="G8" s="49" t="s">
        <v>197</v>
      </c>
      <c r="H8" s="21" t="s">
        <v>54</v>
      </c>
      <c r="I8" s="22" t="s">
        <v>62</v>
      </c>
      <c r="J8" s="23" t="s">
        <v>6</v>
      </c>
      <c r="M8" s="49" t="s">
        <v>197</v>
      </c>
      <c r="N8" s="21" t="s">
        <v>54</v>
      </c>
      <c r="O8" s="22" t="s">
        <v>62</v>
      </c>
      <c r="P8" s="23" t="s">
        <v>6</v>
      </c>
      <c r="S8" s="49" t="s">
        <v>197</v>
      </c>
      <c r="T8" s="21" t="s">
        <v>54</v>
      </c>
      <c r="U8" s="22" t="s">
        <v>62</v>
      </c>
      <c r="V8" s="23" t="s">
        <v>6</v>
      </c>
      <c r="Y8" s="49" t="s">
        <v>197</v>
      </c>
      <c r="Z8" s="21" t="s">
        <v>54</v>
      </c>
      <c r="AA8" s="22" t="s">
        <v>62</v>
      </c>
      <c r="AB8" s="23" t="s">
        <v>6</v>
      </c>
      <c r="AE8" s="49" t="s">
        <v>197</v>
      </c>
      <c r="AF8" s="21" t="s">
        <v>54</v>
      </c>
      <c r="AG8" s="22" t="s">
        <v>62</v>
      </c>
      <c r="AH8" s="23" t="s">
        <v>6</v>
      </c>
      <c r="AK8" s="49" t="s">
        <v>197</v>
      </c>
      <c r="AL8" s="21" t="s">
        <v>54</v>
      </c>
      <c r="AM8" s="22" t="s">
        <v>62</v>
      </c>
      <c r="AN8" s="23" t="s">
        <v>6</v>
      </c>
      <c r="AQ8" s="49" t="s">
        <v>197</v>
      </c>
      <c r="AR8" s="21" t="s">
        <v>54</v>
      </c>
      <c r="AS8" s="22" t="s">
        <v>62</v>
      </c>
      <c r="AT8" s="23" t="s">
        <v>6</v>
      </c>
      <c r="AW8" s="49" t="s">
        <v>197</v>
      </c>
      <c r="AX8" s="21" t="s">
        <v>54</v>
      </c>
      <c r="AY8" s="22" t="s">
        <v>62</v>
      </c>
      <c r="AZ8" s="23" t="s">
        <v>6</v>
      </c>
      <c r="BC8" s="49" t="s">
        <v>197</v>
      </c>
      <c r="BD8" s="21" t="s">
        <v>54</v>
      </c>
      <c r="BE8" s="22" t="s">
        <v>62</v>
      </c>
      <c r="BF8" s="23" t="s">
        <v>6</v>
      </c>
      <c r="BG8" s="24">
        <v>440</v>
      </c>
      <c r="BH8" s="35" t="s">
        <v>87</v>
      </c>
      <c r="BI8" s="49" t="s">
        <v>197</v>
      </c>
      <c r="BJ8" s="21" t="s">
        <v>54</v>
      </c>
      <c r="BK8" s="22" t="s">
        <v>62</v>
      </c>
      <c r="BL8" s="23" t="s">
        <v>6</v>
      </c>
      <c r="BM8" s="24">
        <v>500</v>
      </c>
      <c r="BN8" s="35" t="s">
        <v>130</v>
      </c>
      <c r="BO8" s="49" t="s">
        <v>197</v>
      </c>
      <c r="BP8" s="21" t="s">
        <v>54</v>
      </c>
      <c r="BQ8" s="22" t="s">
        <v>62</v>
      </c>
      <c r="BR8" s="23" t="s">
        <v>6</v>
      </c>
      <c r="BS8" s="24">
        <v>660</v>
      </c>
      <c r="BT8" s="35" t="s">
        <v>88</v>
      </c>
    </row>
    <row r="9" spans="1:72" ht="12" customHeight="1" x14ac:dyDescent="0.15">
      <c r="A9" s="49" t="s">
        <v>197</v>
      </c>
      <c r="B9" s="21" t="s">
        <v>54</v>
      </c>
      <c r="C9" s="22" t="s">
        <v>79</v>
      </c>
      <c r="D9" s="23" t="s">
        <v>83</v>
      </c>
      <c r="G9" s="49" t="s">
        <v>197</v>
      </c>
      <c r="H9" s="21" t="s">
        <v>54</v>
      </c>
      <c r="I9" s="22" t="s">
        <v>79</v>
      </c>
      <c r="J9" s="23" t="s">
        <v>83</v>
      </c>
      <c r="M9" s="49" t="s">
        <v>197</v>
      </c>
      <c r="N9" s="21" t="s">
        <v>54</v>
      </c>
      <c r="O9" s="22" t="s">
        <v>79</v>
      </c>
      <c r="P9" s="23" t="s">
        <v>83</v>
      </c>
      <c r="S9" s="49" t="s">
        <v>197</v>
      </c>
      <c r="T9" s="21" t="s">
        <v>54</v>
      </c>
      <c r="U9" s="22" t="s">
        <v>79</v>
      </c>
      <c r="V9" s="23" t="s">
        <v>83</v>
      </c>
      <c r="Y9" s="49" t="s">
        <v>197</v>
      </c>
      <c r="Z9" s="21" t="s">
        <v>54</v>
      </c>
      <c r="AA9" s="22" t="s">
        <v>79</v>
      </c>
      <c r="AB9" s="23" t="s">
        <v>83</v>
      </c>
      <c r="AE9" s="49" t="s">
        <v>197</v>
      </c>
      <c r="AF9" s="21" t="s">
        <v>54</v>
      </c>
      <c r="AG9" s="22" t="s">
        <v>79</v>
      </c>
      <c r="AH9" s="23" t="s">
        <v>83</v>
      </c>
      <c r="AK9" s="49" t="s">
        <v>197</v>
      </c>
      <c r="AL9" s="21" t="s">
        <v>54</v>
      </c>
      <c r="AM9" s="22" t="s">
        <v>79</v>
      </c>
      <c r="AN9" s="23" t="s">
        <v>83</v>
      </c>
      <c r="AQ9" s="49" t="s">
        <v>197</v>
      </c>
      <c r="AR9" s="21" t="s">
        <v>54</v>
      </c>
      <c r="AS9" s="22" t="s">
        <v>79</v>
      </c>
      <c r="AT9" s="23" t="s">
        <v>83</v>
      </c>
      <c r="AW9" s="49" t="s">
        <v>197</v>
      </c>
      <c r="AX9" s="21" t="s">
        <v>54</v>
      </c>
      <c r="AY9" s="22" t="s">
        <v>79</v>
      </c>
      <c r="AZ9" s="23" t="s">
        <v>83</v>
      </c>
      <c r="BC9" s="49" t="s">
        <v>197</v>
      </c>
      <c r="BD9" s="21" t="s">
        <v>54</v>
      </c>
      <c r="BE9" s="22" t="s">
        <v>79</v>
      </c>
      <c r="BF9" s="23" t="s">
        <v>83</v>
      </c>
      <c r="BG9" s="24">
        <v>110</v>
      </c>
      <c r="BH9" s="29" t="s">
        <v>87</v>
      </c>
      <c r="BI9" s="49" t="s">
        <v>197</v>
      </c>
      <c r="BJ9" s="21" t="s">
        <v>54</v>
      </c>
      <c r="BK9" s="22" t="s">
        <v>79</v>
      </c>
      <c r="BL9" s="23" t="s">
        <v>83</v>
      </c>
      <c r="BM9" s="23">
        <v>770</v>
      </c>
      <c r="BN9" s="29" t="s">
        <v>130</v>
      </c>
      <c r="BO9" s="49" t="s">
        <v>197</v>
      </c>
      <c r="BP9" s="21" t="s">
        <v>54</v>
      </c>
      <c r="BQ9" s="22" t="s">
        <v>79</v>
      </c>
      <c r="BR9" s="23" t="s">
        <v>83</v>
      </c>
      <c r="BS9" s="24">
        <v>630</v>
      </c>
      <c r="BT9" s="29" t="s">
        <v>88</v>
      </c>
    </row>
    <row r="10" spans="1:72" ht="12" customHeight="1" x14ac:dyDescent="0.15">
      <c r="A10" s="49" t="s">
        <v>197</v>
      </c>
      <c r="B10" s="21" t="s">
        <v>54</v>
      </c>
      <c r="C10" s="22" t="s">
        <v>79</v>
      </c>
      <c r="D10" s="23" t="s">
        <v>84</v>
      </c>
      <c r="G10" s="49" t="s">
        <v>197</v>
      </c>
      <c r="H10" s="21" t="s">
        <v>54</v>
      </c>
      <c r="I10" s="22" t="s">
        <v>79</v>
      </c>
      <c r="J10" s="23" t="s">
        <v>84</v>
      </c>
      <c r="M10" s="49" t="s">
        <v>197</v>
      </c>
      <c r="N10" s="21" t="s">
        <v>54</v>
      </c>
      <c r="O10" s="22" t="s">
        <v>79</v>
      </c>
      <c r="P10" s="23" t="s">
        <v>84</v>
      </c>
      <c r="S10" s="49" t="s">
        <v>197</v>
      </c>
      <c r="T10" s="21" t="s">
        <v>54</v>
      </c>
      <c r="U10" s="22" t="s">
        <v>79</v>
      </c>
      <c r="V10" s="23" t="s">
        <v>84</v>
      </c>
      <c r="Y10" s="49" t="s">
        <v>197</v>
      </c>
      <c r="Z10" s="21" t="s">
        <v>54</v>
      </c>
      <c r="AA10" s="22" t="s">
        <v>79</v>
      </c>
      <c r="AB10" s="23" t="s">
        <v>84</v>
      </c>
      <c r="AE10" s="49" t="s">
        <v>197</v>
      </c>
      <c r="AF10" s="21" t="s">
        <v>54</v>
      </c>
      <c r="AG10" s="22" t="s">
        <v>79</v>
      </c>
      <c r="AH10" s="23" t="s">
        <v>84</v>
      </c>
      <c r="AK10" s="49" t="s">
        <v>197</v>
      </c>
      <c r="AL10" s="21" t="s">
        <v>54</v>
      </c>
      <c r="AM10" s="22" t="s">
        <v>79</v>
      </c>
      <c r="AN10" s="23" t="s">
        <v>84</v>
      </c>
      <c r="AQ10" s="49" t="s">
        <v>197</v>
      </c>
      <c r="AR10" s="21" t="s">
        <v>54</v>
      </c>
      <c r="AS10" s="22" t="s">
        <v>79</v>
      </c>
      <c r="AT10" s="23" t="s">
        <v>84</v>
      </c>
      <c r="AW10" s="49" t="s">
        <v>197</v>
      </c>
      <c r="AX10" s="21" t="s">
        <v>54</v>
      </c>
      <c r="AY10" s="22" t="s">
        <v>79</v>
      </c>
      <c r="AZ10" s="23" t="s">
        <v>84</v>
      </c>
      <c r="BC10" s="49" t="s">
        <v>197</v>
      </c>
      <c r="BD10" s="21" t="s">
        <v>54</v>
      </c>
      <c r="BE10" s="22" t="s">
        <v>79</v>
      </c>
      <c r="BF10" s="23" t="s">
        <v>84</v>
      </c>
      <c r="BG10" s="24">
        <v>140</v>
      </c>
      <c r="BH10" s="34" t="s">
        <v>87</v>
      </c>
      <c r="BI10" s="49" t="s">
        <v>197</v>
      </c>
      <c r="BJ10" s="21" t="s">
        <v>54</v>
      </c>
      <c r="BK10" s="22" t="s">
        <v>79</v>
      </c>
      <c r="BL10" s="23" t="s">
        <v>84</v>
      </c>
      <c r="BM10" s="25">
        <v>1100</v>
      </c>
      <c r="BN10" s="34" t="s">
        <v>130</v>
      </c>
      <c r="BO10" s="49" t="s">
        <v>197</v>
      </c>
      <c r="BP10" s="21" t="s">
        <v>54</v>
      </c>
      <c r="BQ10" s="22" t="s">
        <v>79</v>
      </c>
      <c r="BR10" s="23" t="s">
        <v>84</v>
      </c>
      <c r="BS10" s="24">
        <v>840</v>
      </c>
      <c r="BT10" s="34" t="s">
        <v>88</v>
      </c>
    </row>
    <row r="11" spans="1:72" ht="12" customHeight="1" x14ac:dyDescent="0.15">
      <c r="A11" s="49" t="s">
        <v>197</v>
      </c>
      <c r="B11" s="21" t="s">
        <v>54</v>
      </c>
      <c r="C11" s="22" t="s">
        <v>79</v>
      </c>
      <c r="D11" s="23" t="s">
        <v>6</v>
      </c>
      <c r="G11" s="49" t="s">
        <v>197</v>
      </c>
      <c r="H11" s="21" t="s">
        <v>54</v>
      </c>
      <c r="I11" s="22" t="s">
        <v>79</v>
      </c>
      <c r="J11" s="23" t="s">
        <v>6</v>
      </c>
      <c r="M11" s="49" t="s">
        <v>197</v>
      </c>
      <c r="N11" s="21" t="s">
        <v>54</v>
      </c>
      <c r="O11" s="22" t="s">
        <v>79</v>
      </c>
      <c r="P11" s="23" t="s">
        <v>6</v>
      </c>
      <c r="Q11" s="1">
        <v>6</v>
      </c>
      <c r="S11" s="49" t="s">
        <v>197</v>
      </c>
      <c r="T11" s="21" t="s">
        <v>54</v>
      </c>
      <c r="U11" s="22" t="s">
        <v>79</v>
      </c>
      <c r="V11" s="23" t="s">
        <v>6</v>
      </c>
      <c r="Y11" s="49" t="s">
        <v>197</v>
      </c>
      <c r="Z11" s="21" t="s">
        <v>54</v>
      </c>
      <c r="AA11" s="22" t="s">
        <v>79</v>
      </c>
      <c r="AB11" s="23" t="s">
        <v>6</v>
      </c>
      <c r="AE11" s="49" t="s">
        <v>197</v>
      </c>
      <c r="AF11" s="21" t="s">
        <v>54</v>
      </c>
      <c r="AG11" s="22" t="s">
        <v>79</v>
      </c>
      <c r="AH11" s="23" t="s">
        <v>6</v>
      </c>
      <c r="AK11" s="49" t="s">
        <v>197</v>
      </c>
      <c r="AL11" s="21" t="s">
        <v>54</v>
      </c>
      <c r="AM11" s="22" t="s">
        <v>79</v>
      </c>
      <c r="AN11" s="23" t="s">
        <v>6</v>
      </c>
      <c r="AQ11" s="49" t="s">
        <v>197</v>
      </c>
      <c r="AR11" s="21" t="s">
        <v>54</v>
      </c>
      <c r="AS11" s="22" t="s">
        <v>79</v>
      </c>
      <c r="AT11" s="23" t="s">
        <v>6</v>
      </c>
      <c r="AW11" s="49" t="s">
        <v>197</v>
      </c>
      <c r="AX11" s="21" t="s">
        <v>54</v>
      </c>
      <c r="AY11" s="22" t="s">
        <v>79</v>
      </c>
      <c r="AZ11" s="23" t="s">
        <v>6</v>
      </c>
      <c r="BC11" s="49" t="s">
        <v>197</v>
      </c>
      <c r="BD11" s="21" t="s">
        <v>54</v>
      </c>
      <c r="BE11" s="22" t="s">
        <v>79</v>
      </c>
      <c r="BF11" s="23" t="s">
        <v>6</v>
      </c>
      <c r="BG11" s="24">
        <v>250</v>
      </c>
      <c r="BH11" s="35" t="s">
        <v>87</v>
      </c>
      <c r="BI11" s="49" t="s">
        <v>197</v>
      </c>
      <c r="BJ11" s="21" t="s">
        <v>54</v>
      </c>
      <c r="BK11" s="22" t="s">
        <v>79</v>
      </c>
      <c r="BL11" s="23" t="s">
        <v>6</v>
      </c>
      <c r="BM11" s="25">
        <v>1870</v>
      </c>
      <c r="BN11" s="35" t="s">
        <v>130</v>
      </c>
      <c r="BO11" s="49" t="s">
        <v>197</v>
      </c>
      <c r="BP11" s="21" t="s">
        <v>54</v>
      </c>
      <c r="BQ11" s="22" t="s">
        <v>79</v>
      </c>
      <c r="BR11" s="23" t="s">
        <v>6</v>
      </c>
      <c r="BS11" s="25">
        <v>1470</v>
      </c>
      <c r="BT11" s="35" t="s">
        <v>88</v>
      </c>
    </row>
    <row r="12" spans="1:72" ht="12" customHeight="1" x14ac:dyDescent="0.15">
      <c r="A12" s="49" t="s">
        <v>197</v>
      </c>
      <c r="B12" s="3" t="s">
        <v>86</v>
      </c>
      <c r="C12" s="11" t="s">
        <v>53</v>
      </c>
      <c r="D12" s="2" t="s">
        <v>83</v>
      </c>
      <c r="G12" s="49" t="s">
        <v>197</v>
      </c>
      <c r="H12" s="3" t="s">
        <v>86</v>
      </c>
      <c r="I12" s="11" t="s">
        <v>53</v>
      </c>
      <c r="J12" s="2" t="s">
        <v>83</v>
      </c>
      <c r="M12" s="49" t="s">
        <v>197</v>
      </c>
      <c r="N12" s="3" t="s">
        <v>86</v>
      </c>
      <c r="O12" s="11" t="s">
        <v>53</v>
      </c>
      <c r="P12" s="2" t="s">
        <v>83</v>
      </c>
      <c r="S12" s="49" t="s">
        <v>197</v>
      </c>
      <c r="T12" s="3" t="s">
        <v>86</v>
      </c>
      <c r="U12" s="11" t="s">
        <v>53</v>
      </c>
      <c r="V12" s="2" t="s">
        <v>83</v>
      </c>
      <c r="Y12" s="49" t="s">
        <v>197</v>
      </c>
      <c r="Z12" s="3" t="s">
        <v>86</v>
      </c>
      <c r="AA12" s="11" t="s">
        <v>53</v>
      </c>
      <c r="AB12" s="2" t="s">
        <v>83</v>
      </c>
      <c r="AE12" s="49" t="s">
        <v>197</v>
      </c>
      <c r="AF12" s="3" t="s">
        <v>86</v>
      </c>
      <c r="AG12" s="11" t="s">
        <v>53</v>
      </c>
      <c r="AH12" s="2" t="s">
        <v>83</v>
      </c>
      <c r="AK12" s="49" t="s">
        <v>197</v>
      </c>
      <c r="AL12" s="3" t="s">
        <v>86</v>
      </c>
      <c r="AM12" s="11" t="s">
        <v>53</v>
      </c>
      <c r="AN12" s="2" t="s">
        <v>83</v>
      </c>
      <c r="AQ12" s="49" t="s">
        <v>197</v>
      </c>
      <c r="AR12" s="3" t="s">
        <v>86</v>
      </c>
      <c r="AS12" s="11" t="s">
        <v>53</v>
      </c>
      <c r="AT12" s="2" t="s">
        <v>83</v>
      </c>
      <c r="AW12" s="49" t="s">
        <v>197</v>
      </c>
      <c r="AX12" s="3" t="s">
        <v>86</v>
      </c>
      <c r="AY12" s="11" t="s">
        <v>53</v>
      </c>
      <c r="AZ12" s="2" t="s">
        <v>83</v>
      </c>
      <c r="BC12" s="49" t="s">
        <v>197</v>
      </c>
      <c r="BD12" s="3" t="s">
        <v>86</v>
      </c>
      <c r="BE12" s="11" t="s">
        <v>53</v>
      </c>
      <c r="BF12" s="2" t="s">
        <v>83</v>
      </c>
      <c r="BG12" s="2" t="s">
        <v>195</v>
      </c>
      <c r="BH12" s="30" t="s">
        <v>87</v>
      </c>
      <c r="BI12" s="49" t="s">
        <v>197</v>
      </c>
      <c r="BJ12" s="3" t="s">
        <v>86</v>
      </c>
      <c r="BK12" s="11" t="s">
        <v>53</v>
      </c>
      <c r="BL12" s="2" t="s">
        <v>83</v>
      </c>
      <c r="BM12" s="2" t="s">
        <v>195</v>
      </c>
      <c r="BN12" s="30" t="s">
        <v>181</v>
      </c>
      <c r="BO12" s="49" t="s">
        <v>197</v>
      </c>
      <c r="BP12" s="3" t="s">
        <v>86</v>
      </c>
      <c r="BQ12" s="11" t="s">
        <v>53</v>
      </c>
      <c r="BR12" s="2" t="s">
        <v>83</v>
      </c>
      <c r="BS12" s="2" t="s">
        <v>195</v>
      </c>
      <c r="BT12" s="30" t="s">
        <v>88</v>
      </c>
    </row>
    <row r="13" spans="1:72" ht="12" customHeight="1" x14ac:dyDescent="0.15">
      <c r="A13" s="49" t="s">
        <v>197</v>
      </c>
      <c r="B13" s="3" t="s">
        <v>86</v>
      </c>
      <c r="C13" s="11" t="s">
        <v>53</v>
      </c>
      <c r="D13" s="2" t="s">
        <v>84</v>
      </c>
      <c r="G13" s="49" t="s">
        <v>197</v>
      </c>
      <c r="H13" s="3" t="s">
        <v>86</v>
      </c>
      <c r="I13" s="11" t="s">
        <v>53</v>
      </c>
      <c r="J13" s="2" t="s">
        <v>84</v>
      </c>
      <c r="M13" s="49" t="s">
        <v>197</v>
      </c>
      <c r="N13" s="3" t="s">
        <v>86</v>
      </c>
      <c r="O13" s="11" t="s">
        <v>53</v>
      </c>
      <c r="P13" s="2" t="s">
        <v>84</v>
      </c>
      <c r="S13" s="49" t="s">
        <v>197</v>
      </c>
      <c r="T13" s="3" t="s">
        <v>86</v>
      </c>
      <c r="U13" s="11" t="s">
        <v>53</v>
      </c>
      <c r="V13" s="2" t="s">
        <v>84</v>
      </c>
      <c r="Y13" s="49" t="s">
        <v>197</v>
      </c>
      <c r="Z13" s="3" t="s">
        <v>86</v>
      </c>
      <c r="AA13" s="11" t="s">
        <v>53</v>
      </c>
      <c r="AB13" s="2" t="s">
        <v>84</v>
      </c>
      <c r="AE13" s="49" t="s">
        <v>197</v>
      </c>
      <c r="AF13" s="3" t="s">
        <v>86</v>
      </c>
      <c r="AG13" s="11" t="s">
        <v>53</v>
      </c>
      <c r="AH13" s="2" t="s">
        <v>84</v>
      </c>
      <c r="AK13" s="49" t="s">
        <v>197</v>
      </c>
      <c r="AL13" s="3" t="s">
        <v>86</v>
      </c>
      <c r="AM13" s="11" t="s">
        <v>53</v>
      </c>
      <c r="AN13" s="2" t="s">
        <v>84</v>
      </c>
      <c r="AQ13" s="49" t="s">
        <v>197</v>
      </c>
      <c r="AR13" s="3" t="s">
        <v>86</v>
      </c>
      <c r="AS13" s="11" t="s">
        <v>53</v>
      </c>
      <c r="AT13" s="2" t="s">
        <v>84</v>
      </c>
      <c r="AW13" s="49" t="s">
        <v>197</v>
      </c>
      <c r="AX13" s="3" t="s">
        <v>86</v>
      </c>
      <c r="AY13" s="11" t="s">
        <v>53</v>
      </c>
      <c r="AZ13" s="2" t="s">
        <v>84</v>
      </c>
      <c r="BC13" s="49" t="s">
        <v>197</v>
      </c>
      <c r="BD13" s="3" t="s">
        <v>86</v>
      </c>
      <c r="BE13" s="11" t="s">
        <v>53</v>
      </c>
      <c r="BF13" s="2" t="s">
        <v>84</v>
      </c>
      <c r="BG13" s="2" t="s">
        <v>195</v>
      </c>
      <c r="BH13" s="34" t="s">
        <v>87</v>
      </c>
      <c r="BI13" s="49" t="s">
        <v>197</v>
      </c>
      <c r="BJ13" s="3" t="s">
        <v>86</v>
      </c>
      <c r="BK13" s="11" t="s">
        <v>53</v>
      </c>
      <c r="BL13" s="2" t="s">
        <v>84</v>
      </c>
      <c r="BM13" s="2" t="s">
        <v>195</v>
      </c>
      <c r="BN13" s="34" t="s">
        <v>181</v>
      </c>
      <c r="BO13" s="49" t="s">
        <v>197</v>
      </c>
      <c r="BP13" s="3" t="s">
        <v>86</v>
      </c>
      <c r="BQ13" s="11" t="s">
        <v>53</v>
      </c>
      <c r="BR13" s="2" t="s">
        <v>84</v>
      </c>
      <c r="BS13" s="2" t="s">
        <v>195</v>
      </c>
      <c r="BT13" s="34" t="s">
        <v>88</v>
      </c>
    </row>
    <row r="14" spans="1:72" ht="12" customHeight="1" x14ac:dyDescent="0.15">
      <c r="A14" s="49" t="s">
        <v>197</v>
      </c>
      <c r="B14" s="3" t="s">
        <v>86</v>
      </c>
      <c r="C14" s="11" t="s">
        <v>53</v>
      </c>
      <c r="D14" s="2" t="s">
        <v>6</v>
      </c>
      <c r="G14" s="49" t="s">
        <v>197</v>
      </c>
      <c r="H14" s="3" t="s">
        <v>86</v>
      </c>
      <c r="I14" s="11" t="s">
        <v>53</v>
      </c>
      <c r="J14" s="2" t="s">
        <v>6</v>
      </c>
      <c r="M14" s="49" t="s">
        <v>197</v>
      </c>
      <c r="N14" s="3" t="s">
        <v>86</v>
      </c>
      <c r="O14" s="11" t="s">
        <v>53</v>
      </c>
      <c r="P14" s="2" t="s">
        <v>6</v>
      </c>
      <c r="S14" s="49" t="s">
        <v>197</v>
      </c>
      <c r="T14" s="3" t="s">
        <v>86</v>
      </c>
      <c r="U14" s="11" t="s">
        <v>53</v>
      </c>
      <c r="V14" s="2" t="s">
        <v>6</v>
      </c>
      <c r="Y14" s="49" t="s">
        <v>197</v>
      </c>
      <c r="Z14" s="3" t="s">
        <v>86</v>
      </c>
      <c r="AA14" s="11" t="s">
        <v>53</v>
      </c>
      <c r="AB14" s="2" t="s">
        <v>6</v>
      </c>
      <c r="AE14" s="49" t="s">
        <v>197</v>
      </c>
      <c r="AF14" s="3" t="s">
        <v>86</v>
      </c>
      <c r="AG14" s="11" t="s">
        <v>53</v>
      </c>
      <c r="AH14" s="2" t="s">
        <v>6</v>
      </c>
      <c r="AK14" s="49" t="s">
        <v>197</v>
      </c>
      <c r="AL14" s="3" t="s">
        <v>86</v>
      </c>
      <c r="AM14" s="11" t="s">
        <v>53</v>
      </c>
      <c r="AN14" s="2" t="s">
        <v>6</v>
      </c>
      <c r="AQ14" s="49" t="s">
        <v>197</v>
      </c>
      <c r="AR14" s="3" t="s">
        <v>86</v>
      </c>
      <c r="AS14" s="11" t="s">
        <v>53</v>
      </c>
      <c r="AT14" s="2" t="s">
        <v>6</v>
      </c>
      <c r="AW14" s="49" t="s">
        <v>197</v>
      </c>
      <c r="AX14" s="3" t="s">
        <v>86</v>
      </c>
      <c r="AY14" s="11" t="s">
        <v>53</v>
      </c>
      <c r="AZ14" s="2" t="s">
        <v>6</v>
      </c>
      <c r="BC14" s="49" t="s">
        <v>197</v>
      </c>
      <c r="BD14" s="3" t="s">
        <v>86</v>
      </c>
      <c r="BE14" s="11" t="s">
        <v>53</v>
      </c>
      <c r="BF14" s="2" t="s">
        <v>6</v>
      </c>
      <c r="BG14" s="2">
        <v>0</v>
      </c>
      <c r="BH14" s="35" t="s">
        <v>87</v>
      </c>
      <c r="BI14" s="49" t="s">
        <v>197</v>
      </c>
      <c r="BJ14" s="3" t="s">
        <v>86</v>
      </c>
      <c r="BK14" s="11" t="s">
        <v>53</v>
      </c>
      <c r="BL14" s="2" t="s">
        <v>6</v>
      </c>
      <c r="BM14" s="2">
        <v>0</v>
      </c>
      <c r="BN14" s="35" t="s">
        <v>181</v>
      </c>
      <c r="BO14" s="49" t="s">
        <v>197</v>
      </c>
      <c r="BP14" s="3" t="s">
        <v>86</v>
      </c>
      <c r="BQ14" s="11" t="s">
        <v>53</v>
      </c>
      <c r="BR14" s="2" t="s">
        <v>6</v>
      </c>
      <c r="BS14" s="2">
        <v>0</v>
      </c>
      <c r="BT14" s="35" t="s">
        <v>88</v>
      </c>
    </row>
    <row r="15" spans="1:72" ht="12" customHeight="1" x14ac:dyDescent="0.15">
      <c r="A15" s="49" t="s">
        <v>21</v>
      </c>
      <c r="B15" s="22" t="s">
        <v>54</v>
      </c>
      <c r="C15" s="22" t="s">
        <v>62</v>
      </c>
      <c r="D15" s="23" t="s">
        <v>83</v>
      </c>
      <c r="E15" s="24">
        <v>160</v>
      </c>
      <c r="F15" s="29" t="s">
        <v>89</v>
      </c>
      <c r="G15" s="49" t="s">
        <v>21</v>
      </c>
      <c r="H15" s="22" t="s">
        <v>54</v>
      </c>
      <c r="I15" s="22" t="s">
        <v>62</v>
      </c>
      <c r="J15" s="23" t="s">
        <v>83</v>
      </c>
      <c r="K15" s="24">
        <v>350</v>
      </c>
      <c r="L15" s="29" t="s">
        <v>90</v>
      </c>
      <c r="M15" s="49" t="s">
        <v>21</v>
      </c>
      <c r="N15" s="22" t="s">
        <v>54</v>
      </c>
      <c r="O15" s="22" t="s">
        <v>62</v>
      </c>
      <c r="P15" s="23" t="s">
        <v>83</v>
      </c>
      <c r="Q15" s="24">
        <v>220</v>
      </c>
      <c r="R15" s="29" t="s">
        <v>91</v>
      </c>
      <c r="S15" s="49" t="s">
        <v>21</v>
      </c>
      <c r="T15" s="22" t="s">
        <v>54</v>
      </c>
      <c r="U15" s="22" t="s">
        <v>62</v>
      </c>
      <c r="V15" s="23" t="s">
        <v>83</v>
      </c>
      <c r="W15" s="24">
        <v>260</v>
      </c>
      <c r="X15" s="29" t="s">
        <v>186</v>
      </c>
      <c r="Y15" s="49" t="s">
        <v>21</v>
      </c>
      <c r="Z15" s="22" t="s">
        <v>54</v>
      </c>
      <c r="AA15" s="22" t="s">
        <v>62</v>
      </c>
      <c r="AB15" s="23" t="s">
        <v>83</v>
      </c>
      <c r="AC15" s="24">
        <v>160</v>
      </c>
      <c r="AD15" s="29" t="s">
        <v>92</v>
      </c>
      <c r="AE15" s="49" t="s">
        <v>21</v>
      </c>
      <c r="AF15" s="22" t="s">
        <v>54</v>
      </c>
      <c r="AG15" s="22" t="s">
        <v>62</v>
      </c>
      <c r="AH15" s="23" t="s">
        <v>83</v>
      </c>
      <c r="AI15" s="24">
        <v>120</v>
      </c>
      <c r="AJ15" s="29" t="s">
        <v>93</v>
      </c>
      <c r="AK15" s="49" t="s">
        <v>21</v>
      </c>
      <c r="AL15" s="22" t="s">
        <v>54</v>
      </c>
      <c r="AM15" s="22" t="s">
        <v>62</v>
      </c>
      <c r="AN15" s="23" t="s">
        <v>83</v>
      </c>
      <c r="AO15" s="23">
        <v>110</v>
      </c>
      <c r="AP15" s="29" t="s">
        <v>94</v>
      </c>
      <c r="AQ15" s="49" t="s">
        <v>21</v>
      </c>
      <c r="AR15" s="22" t="s">
        <v>54</v>
      </c>
      <c r="AS15" s="22" t="s">
        <v>62</v>
      </c>
      <c r="AT15" s="23" t="s">
        <v>83</v>
      </c>
      <c r="AU15" s="24">
        <v>130</v>
      </c>
      <c r="AV15" s="31" t="s">
        <v>244</v>
      </c>
      <c r="AW15" s="49" t="s">
        <v>21</v>
      </c>
      <c r="AX15" s="22" t="s">
        <v>54</v>
      </c>
      <c r="AY15" s="22" t="s">
        <v>62</v>
      </c>
      <c r="AZ15" s="23" t="s">
        <v>83</v>
      </c>
      <c r="BA15" s="24">
        <v>66</v>
      </c>
      <c r="BB15" s="29" t="s">
        <v>95</v>
      </c>
      <c r="BC15" s="49" t="s">
        <v>21</v>
      </c>
      <c r="BD15" s="22" t="s">
        <v>54</v>
      </c>
      <c r="BE15" s="22" t="s">
        <v>62</v>
      </c>
      <c r="BF15" s="23" t="s">
        <v>83</v>
      </c>
      <c r="BG15" s="24">
        <v>22</v>
      </c>
      <c r="BH15" s="29" t="s">
        <v>96</v>
      </c>
      <c r="BI15" s="49" t="s">
        <v>21</v>
      </c>
      <c r="BJ15" s="22" t="s">
        <v>54</v>
      </c>
      <c r="BK15" s="22" t="s">
        <v>62</v>
      </c>
      <c r="BL15" s="23" t="s">
        <v>83</v>
      </c>
      <c r="BM15" s="24">
        <v>23</v>
      </c>
      <c r="BN15" s="29" t="s">
        <v>216</v>
      </c>
      <c r="BO15" s="49" t="s">
        <v>21</v>
      </c>
      <c r="BP15" s="22" t="s">
        <v>54</v>
      </c>
      <c r="BQ15" s="22" t="s">
        <v>62</v>
      </c>
      <c r="BR15" s="23" t="s">
        <v>83</v>
      </c>
      <c r="BS15" s="24">
        <v>52</v>
      </c>
      <c r="BT15" s="29" t="s">
        <v>98</v>
      </c>
    </row>
    <row r="16" spans="1:72" ht="12" customHeight="1" x14ac:dyDescent="0.15">
      <c r="A16" s="49" t="s">
        <v>21</v>
      </c>
      <c r="B16" s="22" t="s">
        <v>54</v>
      </c>
      <c r="C16" s="19" t="s">
        <v>62</v>
      </c>
      <c r="D16" s="23" t="s">
        <v>84</v>
      </c>
      <c r="E16" s="24">
        <v>270</v>
      </c>
      <c r="F16" s="34" t="s">
        <v>89</v>
      </c>
      <c r="G16" s="49" t="s">
        <v>21</v>
      </c>
      <c r="H16" s="22" t="s">
        <v>54</v>
      </c>
      <c r="I16" s="19" t="s">
        <v>62</v>
      </c>
      <c r="J16" s="23" t="s">
        <v>84</v>
      </c>
      <c r="K16" s="24">
        <v>530</v>
      </c>
      <c r="L16" s="34" t="s">
        <v>90</v>
      </c>
      <c r="M16" s="49" t="s">
        <v>21</v>
      </c>
      <c r="N16" s="22" t="s">
        <v>54</v>
      </c>
      <c r="O16" s="19" t="s">
        <v>62</v>
      </c>
      <c r="P16" s="23" t="s">
        <v>84</v>
      </c>
      <c r="Q16" s="24">
        <v>340</v>
      </c>
      <c r="R16" s="34" t="s">
        <v>91</v>
      </c>
      <c r="S16" s="49" t="s">
        <v>21</v>
      </c>
      <c r="T16" s="22" t="s">
        <v>54</v>
      </c>
      <c r="U16" s="19" t="s">
        <v>62</v>
      </c>
      <c r="V16" s="23" t="s">
        <v>84</v>
      </c>
      <c r="W16" s="24">
        <v>400</v>
      </c>
      <c r="X16" s="34" t="s">
        <v>186</v>
      </c>
      <c r="Y16" s="49" t="s">
        <v>21</v>
      </c>
      <c r="Z16" s="22" t="s">
        <v>54</v>
      </c>
      <c r="AA16" s="19" t="s">
        <v>62</v>
      </c>
      <c r="AB16" s="23" t="s">
        <v>84</v>
      </c>
      <c r="AC16" s="24">
        <v>260</v>
      </c>
      <c r="AD16" s="34" t="s">
        <v>92</v>
      </c>
      <c r="AE16" s="49" t="s">
        <v>21</v>
      </c>
      <c r="AF16" s="22" t="s">
        <v>54</v>
      </c>
      <c r="AG16" s="19" t="s">
        <v>62</v>
      </c>
      <c r="AH16" s="23" t="s">
        <v>84</v>
      </c>
      <c r="AI16" s="24">
        <v>200</v>
      </c>
      <c r="AJ16" s="34" t="s">
        <v>93</v>
      </c>
      <c r="AK16" s="49" t="s">
        <v>21</v>
      </c>
      <c r="AL16" s="22" t="s">
        <v>54</v>
      </c>
      <c r="AM16" s="19" t="s">
        <v>62</v>
      </c>
      <c r="AN16" s="23" t="s">
        <v>84</v>
      </c>
      <c r="AO16" s="24">
        <v>180</v>
      </c>
      <c r="AP16" s="34" t="s">
        <v>94</v>
      </c>
      <c r="AQ16" s="49" t="s">
        <v>21</v>
      </c>
      <c r="AR16" s="22" t="s">
        <v>54</v>
      </c>
      <c r="AS16" s="19" t="s">
        <v>62</v>
      </c>
      <c r="AT16" s="23" t="s">
        <v>84</v>
      </c>
      <c r="AU16" s="24">
        <v>230</v>
      </c>
      <c r="AV16" s="34" t="s">
        <v>212</v>
      </c>
      <c r="AW16" s="49" t="s">
        <v>21</v>
      </c>
      <c r="AX16" s="22" t="s">
        <v>54</v>
      </c>
      <c r="AY16" s="19" t="s">
        <v>62</v>
      </c>
      <c r="AZ16" s="23" t="s">
        <v>84</v>
      </c>
      <c r="BA16" s="23">
        <v>110</v>
      </c>
      <c r="BB16" s="34" t="s">
        <v>95</v>
      </c>
      <c r="BC16" s="49" t="s">
        <v>21</v>
      </c>
      <c r="BD16" s="22" t="s">
        <v>54</v>
      </c>
      <c r="BE16" s="19" t="s">
        <v>62</v>
      </c>
      <c r="BF16" s="23" t="s">
        <v>84</v>
      </c>
      <c r="BG16" s="24">
        <v>42</v>
      </c>
      <c r="BH16" s="34" t="s">
        <v>96</v>
      </c>
      <c r="BI16" s="49" t="s">
        <v>21</v>
      </c>
      <c r="BJ16" s="22" t="s">
        <v>54</v>
      </c>
      <c r="BK16" s="19" t="s">
        <v>62</v>
      </c>
      <c r="BL16" s="23" t="s">
        <v>84</v>
      </c>
      <c r="BM16" s="24">
        <v>44</v>
      </c>
      <c r="BN16" s="34" t="s">
        <v>119</v>
      </c>
      <c r="BO16" s="49" t="s">
        <v>21</v>
      </c>
      <c r="BP16" s="22" t="s">
        <v>54</v>
      </c>
      <c r="BQ16" s="19" t="s">
        <v>62</v>
      </c>
      <c r="BR16" s="23" t="s">
        <v>84</v>
      </c>
      <c r="BS16" s="24">
        <v>93</v>
      </c>
      <c r="BT16" s="34" t="s">
        <v>98</v>
      </c>
    </row>
    <row r="17" spans="1:72" ht="12" customHeight="1" x14ac:dyDescent="0.15">
      <c r="A17" s="49" t="s">
        <v>21</v>
      </c>
      <c r="B17" s="22" t="s">
        <v>54</v>
      </c>
      <c r="C17" s="19" t="s">
        <v>62</v>
      </c>
      <c r="D17" s="23" t="s">
        <v>6</v>
      </c>
      <c r="E17" s="24">
        <v>430</v>
      </c>
      <c r="F17" s="35" t="s">
        <v>89</v>
      </c>
      <c r="G17" s="49" t="s">
        <v>21</v>
      </c>
      <c r="H17" s="22" t="s">
        <v>54</v>
      </c>
      <c r="I17" s="19" t="s">
        <v>62</v>
      </c>
      <c r="J17" s="23" t="s">
        <v>6</v>
      </c>
      <c r="K17" s="24">
        <v>880</v>
      </c>
      <c r="L17" s="35" t="s">
        <v>90</v>
      </c>
      <c r="M17" s="49" t="s">
        <v>21</v>
      </c>
      <c r="N17" s="22" t="s">
        <v>54</v>
      </c>
      <c r="O17" s="19" t="s">
        <v>62</v>
      </c>
      <c r="P17" s="23" t="s">
        <v>6</v>
      </c>
      <c r="Q17" s="24">
        <v>560</v>
      </c>
      <c r="R17" s="35" t="s">
        <v>91</v>
      </c>
      <c r="S17" s="49" t="s">
        <v>21</v>
      </c>
      <c r="T17" s="22" t="s">
        <v>54</v>
      </c>
      <c r="U17" s="19" t="s">
        <v>62</v>
      </c>
      <c r="V17" s="23" t="s">
        <v>6</v>
      </c>
      <c r="W17" s="24">
        <v>660</v>
      </c>
      <c r="X17" s="35" t="s">
        <v>186</v>
      </c>
      <c r="Y17" s="49" t="s">
        <v>21</v>
      </c>
      <c r="Z17" s="22" t="s">
        <v>54</v>
      </c>
      <c r="AA17" s="19" t="s">
        <v>62</v>
      </c>
      <c r="AB17" s="23" t="s">
        <v>6</v>
      </c>
      <c r="AC17" s="24">
        <v>420</v>
      </c>
      <c r="AD17" s="35" t="s">
        <v>92</v>
      </c>
      <c r="AE17" s="49" t="s">
        <v>21</v>
      </c>
      <c r="AF17" s="22" t="s">
        <v>54</v>
      </c>
      <c r="AG17" s="19" t="s">
        <v>62</v>
      </c>
      <c r="AH17" s="23" t="s">
        <v>6</v>
      </c>
      <c r="AI17" s="24">
        <v>320</v>
      </c>
      <c r="AJ17" s="35" t="s">
        <v>93</v>
      </c>
      <c r="AK17" s="49" t="s">
        <v>21</v>
      </c>
      <c r="AL17" s="22" t="s">
        <v>54</v>
      </c>
      <c r="AM17" s="19" t="s">
        <v>62</v>
      </c>
      <c r="AN17" s="23" t="s">
        <v>6</v>
      </c>
      <c r="AO17" s="24">
        <v>290</v>
      </c>
      <c r="AP17" s="35" t="s">
        <v>94</v>
      </c>
      <c r="AQ17" s="49" t="s">
        <v>21</v>
      </c>
      <c r="AR17" s="22" t="s">
        <v>54</v>
      </c>
      <c r="AS17" s="19" t="s">
        <v>62</v>
      </c>
      <c r="AT17" s="23" t="s">
        <v>6</v>
      </c>
      <c r="AU17" s="24">
        <v>360</v>
      </c>
      <c r="AV17" s="35" t="s">
        <v>212</v>
      </c>
      <c r="AW17" s="49" t="s">
        <v>21</v>
      </c>
      <c r="AX17" s="22" t="s">
        <v>54</v>
      </c>
      <c r="AY17" s="19" t="s">
        <v>62</v>
      </c>
      <c r="AZ17" s="23" t="s">
        <v>6</v>
      </c>
      <c r="BA17" s="24">
        <v>176</v>
      </c>
      <c r="BB17" s="35" t="s">
        <v>95</v>
      </c>
      <c r="BC17" s="49" t="s">
        <v>21</v>
      </c>
      <c r="BD17" s="22" t="s">
        <v>54</v>
      </c>
      <c r="BE17" s="19" t="s">
        <v>62</v>
      </c>
      <c r="BF17" s="23" t="s">
        <v>6</v>
      </c>
      <c r="BG17" s="24">
        <v>64</v>
      </c>
      <c r="BH17" s="35" t="s">
        <v>96</v>
      </c>
      <c r="BI17" s="49" t="s">
        <v>21</v>
      </c>
      <c r="BJ17" s="22" t="s">
        <v>54</v>
      </c>
      <c r="BK17" s="19" t="s">
        <v>62</v>
      </c>
      <c r="BL17" s="23" t="s">
        <v>6</v>
      </c>
      <c r="BM17" s="24">
        <v>67</v>
      </c>
      <c r="BN17" s="35" t="s">
        <v>119</v>
      </c>
      <c r="BO17" s="49" t="s">
        <v>21</v>
      </c>
      <c r="BP17" s="22" t="s">
        <v>54</v>
      </c>
      <c r="BQ17" s="19" t="s">
        <v>62</v>
      </c>
      <c r="BR17" s="23" t="s">
        <v>6</v>
      </c>
      <c r="BS17" s="24">
        <v>145</v>
      </c>
      <c r="BT17" s="35" t="s">
        <v>98</v>
      </c>
    </row>
    <row r="18" spans="1:72" ht="12" customHeight="1" x14ac:dyDescent="0.15">
      <c r="A18" s="49" t="s">
        <v>21</v>
      </c>
      <c r="B18" s="22" t="s">
        <v>54</v>
      </c>
      <c r="C18" s="22" t="s">
        <v>80</v>
      </c>
      <c r="D18" s="23" t="s">
        <v>83</v>
      </c>
      <c r="E18" s="24">
        <v>780</v>
      </c>
      <c r="F18" s="29" t="s">
        <v>89</v>
      </c>
      <c r="G18" s="49" t="s">
        <v>21</v>
      </c>
      <c r="H18" s="22" t="s">
        <v>54</v>
      </c>
      <c r="I18" s="22" t="s">
        <v>80</v>
      </c>
      <c r="J18" s="23" t="s">
        <v>83</v>
      </c>
      <c r="K18" s="24">
        <v>800</v>
      </c>
      <c r="L18" s="29" t="s">
        <v>90</v>
      </c>
      <c r="M18" s="49" t="s">
        <v>21</v>
      </c>
      <c r="N18" s="22" t="s">
        <v>54</v>
      </c>
      <c r="O18" s="22" t="s">
        <v>80</v>
      </c>
      <c r="P18" s="23" t="s">
        <v>83</v>
      </c>
      <c r="Q18" s="24">
        <v>680</v>
      </c>
      <c r="R18" s="29" t="s">
        <v>91</v>
      </c>
      <c r="S18" s="49" t="s">
        <v>21</v>
      </c>
      <c r="T18" s="22" t="s">
        <v>54</v>
      </c>
      <c r="U18" s="22" t="s">
        <v>80</v>
      </c>
      <c r="V18" s="23" t="s">
        <v>83</v>
      </c>
      <c r="W18" s="24">
        <v>570</v>
      </c>
      <c r="X18" s="29" t="s">
        <v>186</v>
      </c>
      <c r="Y18" s="49" t="s">
        <v>21</v>
      </c>
      <c r="Z18" s="22" t="s">
        <v>54</v>
      </c>
      <c r="AA18" s="22" t="s">
        <v>80</v>
      </c>
      <c r="AB18" s="23" t="s">
        <v>83</v>
      </c>
      <c r="AC18" s="24">
        <v>610</v>
      </c>
      <c r="AD18" s="29" t="s">
        <v>92</v>
      </c>
      <c r="AE18" s="49" t="s">
        <v>21</v>
      </c>
      <c r="AF18" s="22" t="s">
        <v>54</v>
      </c>
      <c r="AG18" s="22" t="s">
        <v>80</v>
      </c>
      <c r="AH18" s="23" t="s">
        <v>83</v>
      </c>
      <c r="AI18" s="24">
        <v>380</v>
      </c>
      <c r="AJ18" s="29" t="s">
        <v>93</v>
      </c>
      <c r="AK18" s="49" t="s">
        <v>21</v>
      </c>
      <c r="AL18" s="22" t="s">
        <v>54</v>
      </c>
      <c r="AM18" s="22" t="s">
        <v>80</v>
      </c>
      <c r="AN18" s="23" t="s">
        <v>83</v>
      </c>
      <c r="AO18" s="24">
        <v>350</v>
      </c>
      <c r="AP18" s="29" t="s">
        <v>94</v>
      </c>
      <c r="AQ18" s="49" t="s">
        <v>21</v>
      </c>
      <c r="AR18" s="22" t="s">
        <v>54</v>
      </c>
      <c r="AS18" s="22" t="s">
        <v>80</v>
      </c>
      <c r="AT18" s="23" t="s">
        <v>83</v>
      </c>
      <c r="AU18" s="24">
        <v>160</v>
      </c>
      <c r="AV18" s="31" t="s">
        <v>212</v>
      </c>
      <c r="AW18" s="49" t="s">
        <v>21</v>
      </c>
      <c r="AX18" s="22" t="s">
        <v>54</v>
      </c>
      <c r="AY18" s="22" t="s">
        <v>80</v>
      </c>
      <c r="AZ18" s="23" t="s">
        <v>83</v>
      </c>
      <c r="BA18" s="24">
        <v>250</v>
      </c>
      <c r="BB18" s="29" t="s">
        <v>95</v>
      </c>
      <c r="BC18" s="49" t="s">
        <v>21</v>
      </c>
      <c r="BD18" s="22" t="s">
        <v>54</v>
      </c>
      <c r="BE18" s="22" t="s">
        <v>80</v>
      </c>
      <c r="BF18" s="23" t="s">
        <v>83</v>
      </c>
      <c r="BG18" s="24">
        <v>68</v>
      </c>
      <c r="BH18" s="29" t="s">
        <v>96</v>
      </c>
      <c r="BI18" s="49" t="s">
        <v>21</v>
      </c>
      <c r="BJ18" s="22" t="s">
        <v>54</v>
      </c>
      <c r="BK18" s="22" t="s">
        <v>80</v>
      </c>
      <c r="BL18" s="23" t="s">
        <v>83</v>
      </c>
      <c r="BM18" s="23">
        <v>100</v>
      </c>
      <c r="BN18" s="29" t="s">
        <v>97</v>
      </c>
      <c r="BO18" s="49" t="s">
        <v>21</v>
      </c>
      <c r="BP18" s="22" t="s">
        <v>54</v>
      </c>
      <c r="BQ18" s="22" t="s">
        <v>80</v>
      </c>
      <c r="BR18" s="23" t="s">
        <v>83</v>
      </c>
      <c r="BS18" s="24">
        <v>200</v>
      </c>
      <c r="BT18" s="29" t="s">
        <v>98</v>
      </c>
    </row>
    <row r="19" spans="1:72" ht="12" customHeight="1" x14ac:dyDescent="0.15">
      <c r="A19" s="49" t="s">
        <v>21</v>
      </c>
      <c r="B19" s="22" t="s">
        <v>54</v>
      </c>
      <c r="C19" s="19" t="s">
        <v>80</v>
      </c>
      <c r="D19" s="23" t="s">
        <v>84</v>
      </c>
      <c r="E19" s="25">
        <v>1100</v>
      </c>
      <c r="F19" s="34" t="s">
        <v>89</v>
      </c>
      <c r="G19" s="49" t="s">
        <v>21</v>
      </c>
      <c r="H19" s="22" t="s">
        <v>54</v>
      </c>
      <c r="I19" s="19" t="s">
        <v>80</v>
      </c>
      <c r="J19" s="23" t="s">
        <v>84</v>
      </c>
      <c r="K19" s="25">
        <v>1200</v>
      </c>
      <c r="L19" s="34" t="s">
        <v>90</v>
      </c>
      <c r="M19" s="49" t="s">
        <v>21</v>
      </c>
      <c r="N19" s="22" t="s">
        <v>54</v>
      </c>
      <c r="O19" s="19" t="s">
        <v>80</v>
      </c>
      <c r="P19" s="23" t="s">
        <v>84</v>
      </c>
      <c r="Q19" s="25">
        <v>1000</v>
      </c>
      <c r="R19" s="34" t="s">
        <v>91</v>
      </c>
      <c r="S19" s="49" t="s">
        <v>21</v>
      </c>
      <c r="T19" s="22" t="s">
        <v>54</v>
      </c>
      <c r="U19" s="19" t="s">
        <v>80</v>
      </c>
      <c r="V19" s="23" t="s">
        <v>84</v>
      </c>
      <c r="W19" s="24">
        <v>900</v>
      </c>
      <c r="X19" s="34" t="s">
        <v>186</v>
      </c>
      <c r="Y19" s="49" t="s">
        <v>21</v>
      </c>
      <c r="Z19" s="22" t="s">
        <v>54</v>
      </c>
      <c r="AA19" s="19" t="s">
        <v>80</v>
      </c>
      <c r="AB19" s="23" t="s">
        <v>84</v>
      </c>
      <c r="AC19" s="24">
        <v>980</v>
      </c>
      <c r="AD19" s="34" t="s">
        <v>92</v>
      </c>
      <c r="AE19" s="49" t="s">
        <v>21</v>
      </c>
      <c r="AF19" s="22" t="s">
        <v>54</v>
      </c>
      <c r="AG19" s="19" t="s">
        <v>80</v>
      </c>
      <c r="AH19" s="23" t="s">
        <v>84</v>
      </c>
      <c r="AI19" s="24">
        <v>650</v>
      </c>
      <c r="AJ19" s="34" t="s">
        <v>93</v>
      </c>
      <c r="AK19" s="49" t="s">
        <v>21</v>
      </c>
      <c r="AL19" s="22" t="s">
        <v>54</v>
      </c>
      <c r="AM19" s="19" t="s">
        <v>80</v>
      </c>
      <c r="AN19" s="23" t="s">
        <v>84</v>
      </c>
      <c r="AO19" s="24">
        <v>600</v>
      </c>
      <c r="AP19" s="34" t="s">
        <v>94</v>
      </c>
      <c r="AQ19" s="49" t="s">
        <v>21</v>
      </c>
      <c r="AR19" s="22" t="s">
        <v>54</v>
      </c>
      <c r="AS19" s="19" t="s">
        <v>80</v>
      </c>
      <c r="AT19" s="23" t="s">
        <v>84</v>
      </c>
      <c r="AU19" s="24">
        <v>280</v>
      </c>
      <c r="AV19" s="34" t="s">
        <v>212</v>
      </c>
      <c r="AW19" s="49" t="s">
        <v>21</v>
      </c>
      <c r="AX19" s="22" t="s">
        <v>54</v>
      </c>
      <c r="AY19" s="19" t="s">
        <v>80</v>
      </c>
      <c r="AZ19" s="23" t="s">
        <v>84</v>
      </c>
      <c r="BA19" s="24">
        <v>430</v>
      </c>
      <c r="BB19" s="34" t="s">
        <v>95</v>
      </c>
      <c r="BC19" s="49" t="s">
        <v>21</v>
      </c>
      <c r="BD19" s="22" t="s">
        <v>54</v>
      </c>
      <c r="BE19" s="19" t="s">
        <v>80</v>
      </c>
      <c r="BF19" s="23" t="s">
        <v>84</v>
      </c>
      <c r="BG19" s="24">
        <v>130</v>
      </c>
      <c r="BH19" s="34" t="s">
        <v>96</v>
      </c>
      <c r="BI19" s="49" t="s">
        <v>21</v>
      </c>
      <c r="BJ19" s="22" t="s">
        <v>54</v>
      </c>
      <c r="BK19" s="19" t="s">
        <v>80</v>
      </c>
      <c r="BL19" s="23" t="s">
        <v>84</v>
      </c>
      <c r="BM19" s="24">
        <v>180</v>
      </c>
      <c r="BN19" s="34" t="s">
        <v>97</v>
      </c>
      <c r="BO19" s="49" t="s">
        <v>21</v>
      </c>
      <c r="BP19" s="22" t="s">
        <v>54</v>
      </c>
      <c r="BQ19" s="19" t="s">
        <v>80</v>
      </c>
      <c r="BR19" s="23" t="s">
        <v>84</v>
      </c>
      <c r="BS19" s="24">
        <v>350</v>
      </c>
      <c r="BT19" s="34" t="s">
        <v>98</v>
      </c>
    </row>
    <row r="20" spans="1:72" ht="12" customHeight="1" x14ac:dyDescent="0.15">
      <c r="A20" s="49" t="s">
        <v>21</v>
      </c>
      <c r="B20" s="22" t="s">
        <v>54</v>
      </c>
      <c r="C20" s="19" t="s">
        <v>80</v>
      </c>
      <c r="D20" s="23" t="s">
        <v>6</v>
      </c>
      <c r="E20" s="25">
        <v>1880</v>
      </c>
      <c r="F20" s="35" t="s">
        <v>89</v>
      </c>
      <c r="G20" s="49" t="s">
        <v>21</v>
      </c>
      <c r="H20" s="22" t="s">
        <v>54</v>
      </c>
      <c r="I20" s="19" t="s">
        <v>80</v>
      </c>
      <c r="J20" s="23" t="s">
        <v>6</v>
      </c>
      <c r="K20" s="25">
        <v>2000</v>
      </c>
      <c r="L20" s="35" t="s">
        <v>90</v>
      </c>
      <c r="M20" s="49" t="s">
        <v>21</v>
      </c>
      <c r="N20" s="22" t="s">
        <v>54</v>
      </c>
      <c r="O20" s="19" t="s">
        <v>80</v>
      </c>
      <c r="P20" s="23" t="s">
        <v>6</v>
      </c>
      <c r="Q20" s="25">
        <v>1680</v>
      </c>
      <c r="R20" s="35" t="s">
        <v>91</v>
      </c>
      <c r="S20" s="49" t="s">
        <v>21</v>
      </c>
      <c r="T20" s="22" t="s">
        <v>54</v>
      </c>
      <c r="U20" s="19" t="s">
        <v>80</v>
      </c>
      <c r="V20" s="23" t="s">
        <v>6</v>
      </c>
      <c r="W20" s="25">
        <v>1470</v>
      </c>
      <c r="X20" s="35" t="s">
        <v>186</v>
      </c>
      <c r="Y20" s="49" t="s">
        <v>21</v>
      </c>
      <c r="Z20" s="22" t="s">
        <v>54</v>
      </c>
      <c r="AA20" s="19" t="s">
        <v>80</v>
      </c>
      <c r="AB20" s="23" t="s">
        <v>6</v>
      </c>
      <c r="AC20" s="25">
        <v>1590</v>
      </c>
      <c r="AD20" s="35" t="s">
        <v>92</v>
      </c>
      <c r="AE20" s="49" t="s">
        <v>21</v>
      </c>
      <c r="AF20" s="22" t="s">
        <v>54</v>
      </c>
      <c r="AG20" s="19" t="s">
        <v>80</v>
      </c>
      <c r="AH20" s="23" t="s">
        <v>6</v>
      </c>
      <c r="AI20" s="25">
        <v>1030</v>
      </c>
      <c r="AJ20" s="35" t="s">
        <v>93</v>
      </c>
      <c r="AK20" s="49" t="s">
        <v>21</v>
      </c>
      <c r="AL20" s="22" t="s">
        <v>54</v>
      </c>
      <c r="AM20" s="19" t="s">
        <v>80</v>
      </c>
      <c r="AN20" s="23" t="s">
        <v>6</v>
      </c>
      <c r="AO20" s="24">
        <v>950</v>
      </c>
      <c r="AP20" s="35" t="s">
        <v>94</v>
      </c>
      <c r="AQ20" s="49" t="s">
        <v>21</v>
      </c>
      <c r="AR20" s="22" t="s">
        <v>54</v>
      </c>
      <c r="AS20" s="19" t="s">
        <v>80</v>
      </c>
      <c r="AT20" s="23" t="s">
        <v>6</v>
      </c>
      <c r="AU20" s="24">
        <v>440</v>
      </c>
      <c r="AV20" s="35" t="s">
        <v>212</v>
      </c>
      <c r="AW20" s="49" t="s">
        <v>21</v>
      </c>
      <c r="AX20" s="22" t="s">
        <v>54</v>
      </c>
      <c r="AY20" s="19" t="s">
        <v>80</v>
      </c>
      <c r="AZ20" s="23" t="s">
        <v>6</v>
      </c>
      <c r="BA20" s="24">
        <v>680</v>
      </c>
      <c r="BB20" s="35" t="s">
        <v>95</v>
      </c>
      <c r="BC20" s="49" t="s">
        <v>21</v>
      </c>
      <c r="BD20" s="22" t="s">
        <v>54</v>
      </c>
      <c r="BE20" s="19" t="s">
        <v>80</v>
      </c>
      <c r="BF20" s="23" t="s">
        <v>6</v>
      </c>
      <c r="BG20" s="24">
        <v>198</v>
      </c>
      <c r="BH20" s="35" t="s">
        <v>96</v>
      </c>
      <c r="BI20" s="49" t="s">
        <v>21</v>
      </c>
      <c r="BJ20" s="22" t="s">
        <v>54</v>
      </c>
      <c r="BK20" s="19" t="s">
        <v>80</v>
      </c>
      <c r="BL20" s="23" t="s">
        <v>6</v>
      </c>
      <c r="BM20" s="24">
        <v>280</v>
      </c>
      <c r="BN20" s="35" t="s">
        <v>97</v>
      </c>
      <c r="BO20" s="49" t="s">
        <v>21</v>
      </c>
      <c r="BP20" s="22" t="s">
        <v>54</v>
      </c>
      <c r="BQ20" s="19" t="s">
        <v>80</v>
      </c>
      <c r="BR20" s="23" t="s">
        <v>6</v>
      </c>
      <c r="BS20" s="24">
        <v>550</v>
      </c>
      <c r="BT20" s="35" t="s">
        <v>98</v>
      </c>
    </row>
    <row r="21" spans="1:72" ht="12" customHeight="1" x14ac:dyDescent="0.15">
      <c r="A21" s="49" t="s">
        <v>21</v>
      </c>
      <c r="B21" s="22" t="s">
        <v>85</v>
      </c>
      <c r="C21" s="22" t="s">
        <v>62</v>
      </c>
      <c r="D21" s="23" t="s">
        <v>83</v>
      </c>
      <c r="E21" s="14"/>
      <c r="F21" s="17"/>
      <c r="G21" s="49" t="s">
        <v>21</v>
      </c>
      <c r="H21" s="22" t="s">
        <v>85</v>
      </c>
      <c r="I21" s="22" t="s">
        <v>62</v>
      </c>
      <c r="J21" s="23" t="s">
        <v>83</v>
      </c>
      <c r="K21" s="17"/>
      <c r="L21" s="17"/>
      <c r="M21" s="49" t="s">
        <v>21</v>
      </c>
      <c r="N21" s="22" t="s">
        <v>85</v>
      </c>
      <c r="O21" s="22" t="s">
        <v>62</v>
      </c>
      <c r="P21" s="23" t="s">
        <v>83</v>
      </c>
      <c r="Q21" s="17"/>
      <c r="R21" s="15"/>
      <c r="S21" s="49" t="s">
        <v>21</v>
      </c>
      <c r="T21" s="22" t="s">
        <v>85</v>
      </c>
      <c r="U21" s="22" t="s">
        <v>62</v>
      </c>
      <c r="V21" s="23" t="s">
        <v>83</v>
      </c>
      <c r="W21" s="24">
        <v>220</v>
      </c>
      <c r="X21" s="29" t="s">
        <v>187</v>
      </c>
      <c r="Y21" s="49" t="s">
        <v>21</v>
      </c>
      <c r="Z21" s="22" t="s">
        <v>85</v>
      </c>
      <c r="AA21" s="22" t="s">
        <v>62</v>
      </c>
      <c r="AB21" s="23" t="s">
        <v>83</v>
      </c>
      <c r="AC21" s="24">
        <v>150</v>
      </c>
      <c r="AD21" s="29" t="s">
        <v>99</v>
      </c>
      <c r="AE21" s="49" t="s">
        <v>21</v>
      </c>
      <c r="AF21" s="22" t="s">
        <v>85</v>
      </c>
      <c r="AG21" s="22" t="s">
        <v>62</v>
      </c>
      <c r="AH21" s="23" t="s">
        <v>83</v>
      </c>
      <c r="AI21" s="24">
        <v>120</v>
      </c>
      <c r="AJ21" s="29" t="s">
        <v>100</v>
      </c>
      <c r="AK21" s="49" t="s">
        <v>21</v>
      </c>
      <c r="AL21" s="22" t="s">
        <v>85</v>
      </c>
      <c r="AM21" s="22" t="s">
        <v>62</v>
      </c>
      <c r="AN21" s="23" t="s">
        <v>83</v>
      </c>
      <c r="AO21" s="24">
        <v>120</v>
      </c>
      <c r="AP21" s="29" t="s">
        <v>101</v>
      </c>
      <c r="AQ21" s="49" t="s">
        <v>21</v>
      </c>
      <c r="AR21" s="22" t="s">
        <v>85</v>
      </c>
      <c r="AS21" s="22" t="s">
        <v>62</v>
      </c>
      <c r="AT21" s="23" t="s">
        <v>83</v>
      </c>
      <c r="AU21" s="24">
        <v>120</v>
      </c>
      <c r="AV21" s="31" t="s">
        <v>246</v>
      </c>
      <c r="AW21" s="49" t="s">
        <v>21</v>
      </c>
      <c r="AX21" s="22" t="s">
        <v>85</v>
      </c>
      <c r="AY21" s="22" t="s">
        <v>62</v>
      </c>
      <c r="AZ21" s="23" t="s">
        <v>83</v>
      </c>
      <c r="BA21" s="24">
        <v>98</v>
      </c>
      <c r="BB21" s="29" t="s">
        <v>102</v>
      </c>
      <c r="BC21" s="49" t="s">
        <v>21</v>
      </c>
      <c r="BD21" s="22" t="s">
        <v>85</v>
      </c>
      <c r="BE21" s="22" t="s">
        <v>62</v>
      </c>
      <c r="BF21" s="23" t="s">
        <v>83</v>
      </c>
      <c r="BG21" s="24">
        <v>32</v>
      </c>
      <c r="BH21" s="29" t="s">
        <v>96</v>
      </c>
      <c r="BI21" s="49" t="s">
        <v>21</v>
      </c>
      <c r="BJ21" s="22" t="s">
        <v>85</v>
      </c>
      <c r="BK21" s="22" t="s">
        <v>62</v>
      </c>
      <c r="BL21" s="23" t="s">
        <v>83</v>
      </c>
      <c r="BM21" s="24">
        <v>37</v>
      </c>
      <c r="BN21" s="29" t="s">
        <v>97</v>
      </c>
      <c r="BO21" s="49" t="s">
        <v>21</v>
      </c>
      <c r="BP21" s="22" t="s">
        <v>85</v>
      </c>
      <c r="BQ21" s="22" t="s">
        <v>62</v>
      </c>
      <c r="BR21" s="23" t="s">
        <v>83</v>
      </c>
      <c r="BS21" s="24">
        <v>62</v>
      </c>
      <c r="BT21" s="29" t="s">
        <v>103</v>
      </c>
    </row>
    <row r="22" spans="1:72" ht="12" customHeight="1" x14ac:dyDescent="0.15">
      <c r="A22" s="49" t="s">
        <v>21</v>
      </c>
      <c r="B22" s="22" t="s">
        <v>85</v>
      </c>
      <c r="C22" s="19" t="s">
        <v>62</v>
      </c>
      <c r="D22" s="23" t="s">
        <v>84</v>
      </c>
      <c r="E22" s="14"/>
      <c r="F22" s="17"/>
      <c r="G22" s="49" t="s">
        <v>21</v>
      </c>
      <c r="H22" s="22" t="s">
        <v>85</v>
      </c>
      <c r="I22" s="19" t="s">
        <v>62</v>
      </c>
      <c r="J22" s="23" t="s">
        <v>84</v>
      </c>
      <c r="K22" s="17"/>
      <c r="L22" s="17"/>
      <c r="M22" s="49" t="s">
        <v>21</v>
      </c>
      <c r="N22" s="22" t="s">
        <v>85</v>
      </c>
      <c r="O22" s="19" t="s">
        <v>62</v>
      </c>
      <c r="P22" s="23" t="s">
        <v>84</v>
      </c>
      <c r="Q22" s="17"/>
      <c r="R22" s="15"/>
      <c r="S22" s="49" t="s">
        <v>21</v>
      </c>
      <c r="T22" s="22" t="s">
        <v>85</v>
      </c>
      <c r="U22" s="19" t="s">
        <v>62</v>
      </c>
      <c r="V22" s="23" t="s">
        <v>84</v>
      </c>
      <c r="W22" s="24">
        <v>340</v>
      </c>
      <c r="X22" s="34" t="s">
        <v>187</v>
      </c>
      <c r="Y22" s="49" t="s">
        <v>21</v>
      </c>
      <c r="Z22" s="22" t="s">
        <v>85</v>
      </c>
      <c r="AA22" s="19" t="s">
        <v>62</v>
      </c>
      <c r="AB22" s="23" t="s">
        <v>84</v>
      </c>
      <c r="AC22" s="24">
        <v>230</v>
      </c>
      <c r="AD22" s="34" t="s">
        <v>99</v>
      </c>
      <c r="AE22" s="49" t="s">
        <v>21</v>
      </c>
      <c r="AF22" s="22" t="s">
        <v>85</v>
      </c>
      <c r="AG22" s="19" t="s">
        <v>62</v>
      </c>
      <c r="AH22" s="23" t="s">
        <v>84</v>
      </c>
      <c r="AI22" s="24">
        <v>190</v>
      </c>
      <c r="AJ22" s="34" t="s">
        <v>100</v>
      </c>
      <c r="AK22" s="49" t="s">
        <v>21</v>
      </c>
      <c r="AL22" s="22" t="s">
        <v>85</v>
      </c>
      <c r="AM22" s="19" t="s">
        <v>62</v>
      </c>
      <c r="AN22" s="23" t="s">
        <v>84</v>
      </c>
      <c r="AO22" s="24">
        <v>200</v>
      </c>
      <c r="AP22" s="34" t="s">
        <v>101</v>
      </c>
      <c r="AQ22" s="49" t="s">
        <v>21</v>
      </c>
      <c r="AR22" s="22" t="s">
        <v>85</v>
      </c>
      <c r="AS22" s="19" t="s">
        <v>62</v>
      </c>
      <c r="AT22" s="23" t="s">
        <v>84</v>
      </c>
      <c r="AU22" s="24">
        <v>210</v>
      </c>
      <c r="AV22" s="34" t="s">
        <v>245</v>
      </c>
      <c r="AW22" s="49" t="s">
        <v>21</v>
      </c>
      <c r="AX22" s="22" t="s">
        <v>85</v>
      </c>
      <c r="AY22" s="19" t="s">
        <v>62</v>
      </c>
      <c r="AZ22" s="23" t="s">
        <v>84</v>
      </c>
      <c r="BA22" s="24">
        <v>170</v>
      </c>
      <c r="BB22" s="34" t="s">
        <v>102</v>
      </c>
      <c r="BC22" s="49" t="s">
        <v>21</v>
      </c>
      <c r="BD22" s="22" t="s">
        <v>85</v>
      </c>
      <c r="BE22" s="19" t="s">
        <v>62</v>
      </c>
      <c r="BF22" s="23" t="s">
        <v>84</v>
      </c>
      <c r="BG22" s="24">
        <v>59</v>
      </c>
      <c r="BH22" s="34" t="s">
        <v>96</v>
      </c>
      <c r="BI22" s="49" t="s">
        <v>21</v>
      </c>
      <c r="BJ22" s="22" t="s">
        <v>85</v>
      </c>
      <c r="BK22" s="19" t="s">
        <v>62</v>
      </c>
      <c r="BL22" s="23" t="s">
        <v>84</v>
      </c>
      <c r="BM22" s="23">
        <v>70</v>
      </c>
      <c r="BN22" s="34" t="s">
        <v>97</v>
      </c>
      <c r="BO22" s="49" t="s">
        <v>21</v>
      </c>
      <c r="BP22" s="22" t="s">
        <v>85</v>
      </c>
      <c r="BQ22" s="19" t="s">
        <v>62</v>
      </c>
      <c r="BR22" s="23" t="s">
        <v>84</v>
      </c>
      <c r="BS22" s="23">
        <v>100</v>
      </c>
      <c r="BT22" s="34" t="s">
        <v>103</v>
      </c>
    </row>
    <row r="23" spans="1:72" ht="12" customHeight="1" x14ac:dyDescent="0.15">
      <c r="A23" s="49" t="s">
        <v>21</v>
      </c>
      <c r="B23" s="22" t="s">
        <v>85</v>
      </c>
      <c r="C23" s="19" t="s">
        <v>62</v>
      </c>
      <c r="D23" s="23" t="s">
        <v>6</v>
      </c>
      <c r="E23" s="14"/>
      <c r="F23" s="17"/>
      <c r="G23" s="49" t="s">
        <v>21</v>
      </c>
      <c r="H23" s="22" t="s">
        <v>85</v>
      </c>
      <c r="I23" s="19" t="s">
        <v>62</v>
      </c>
      <c r="J23" s="23" t="s">
        <v>6</v>
      </c>
      <c r="K23" s="17"/>
      <c r="L23" s="17"/>
      <c r="M23" s="49" t="s">
        <v>21</v>
      </c>
      <c r="N23" s="22" t="s">
        <v>85</v>
      </c>
      <c r="O23" s="19" t="s">
        <v>62</v>
      </c>
      <c r="P23" s="23" t="s">
        <v>6</v>
      </c>
      <c r="Q23" s="17"/>
      <c r="R23" s="15"/>
      <c r="S23" s="49" t="s">
        <v>21</v>
      </c>
      <c r="T23" s="22" t="s">
        <v>85</v>
      </c>
      <c r="U23" s="19" t="s">
        <v>62</v>
      </c>
      <c r="V23" s="23" t="s">
        <v>6</v>
      </c>
      <c r="W23" s="24">
        <v>560</v>
      </c>
      <c r="X23" s="35" t="s">
        <v>187</v>
      </c>
      <c r="Y23" s="49" t="s">
        <v>21</v>
      </c>
      <c r="Z23" s="22" t="s">
        <v>85</v>
      </c>
      <c r="AA23" s="19" t="s">
        <v>62</v>
      </c>
      <c r="AB23" s="23" t="s">
        <v>6</v>
      </c>
      <c r="AC23" s="24">
        <v>380</v>
      </c>
      <c r="AD23" s="35" t="s">
        <v>99</v>
      </c>
      <c r="AE23" s="49" t="s">
        <v>21</v>
      </c>
      <c r="AF23" s="22" t="s">
        <v>85</v>
      </c>
      <c r="AG23" s="19" t="s">
        <v>62</v>
      </c>
      <c r="AH23" s="23" t="s">
        <v>6</v>
      </c>
      <c r="AI23" s="24">
        <v>310</v>
      </c>
      <c r="AJ23" s="35" t="s">
        <v>100</v>
      </c>
      <c r="AK23" s="49" t="s">
        <v>21</v>
      </c>
      <c r="AL23" s="22" t="s">
        <v>85</v>
      </c>
      <c r="AM23" s="19" t="s">
        <v>62</v>
      </c>
      <c r="AN23" s="23" t="s">
        <v>6</v>
      </c>
      <c r="AO23" s="24">
        <v>320</v>
      </c>
      <c r="AP23" s="35" t="s">
        <v>101</v>
      </c>
      <c r="AQ23" s="49" t="s">
        <v>21</v>
      </c>
      <c r="AR23" s="22" t="s">
        <v>85</v>
      </c>
      <c r="AS23" s="19" t="s">
        <v>62</v>
      </c>
      <c r="AT23" s="23" t="s">
        <v>6</v>
      </c>
      <c r="AU23" s="24">
        <v>330</v>
      </c>
      <c r="AV23" s="35" t="s">
        <v>245</v>
      </c>
      <c r="AW23" s="49" t="s">
        <v>21</v>
      </c>
      <c r="AX23" s="22" t="s">
        <v>85</v>
      </c>
      <c r="AY23" s="19" t="s">
        <v>62</v>
      </c>
      <c r="AZ23" s="23" t="s">
        <v>6</v>
      </c>
      <c r="BA23" s="24">
        <v>268</v>
      </c>
      <c r="BB23" s="35" t="s">
        <v>102</v>
      </c>
      <c r="BC23" s="49" t="s">
        <v>21</v>
      </c>
      <c r="BD23" s="22" t="s">
        <v>85</v>
      </c>
      <c r="BE23" s="19" t="s">
        <v>62</v>
      </c>
      <c r="BF23" s="23" t="s">
        <v>6</v>
      </c>
      <c r="BG23" s="24">
        <v>91</v>
      </c>
      <c r="BH23" s="35" t="s">
        <v>96</v>
      </c>
      <c r="BI23" s="49" t="s">
        <v>21</v>
      </c>
      <c r="BJ23" s="22" t="s">
        <v>85</v>
      </c>
      <c r="BK23" s="19" t="s">
        <v>62</v>
      </c>
      <c r="BL23" s="23" t="s">
        <v>6</v>
      </c>
      <c r="BM23" s="23">
        <v>107</v>
      </c>
      <c r="BN23" s="35" t="s">
        <v>97</v>
      </c>
      <c r="BO23" s="49" t="s">
        <v>21</v>
      </c>
      <c r="BP23" s="22" t="s">
        <v>85</v>
      </c>
      <c r="BQ23" s="19" t="s">
        <v>62</v>
      </c>
      <c r="BR23" s="23" t="s">
        <v>6</v>
      </c>
      <c r="BS23" s="24">
        <v>162</v>
      </c>
      <c r="BT23" s="35" t="s">
        <v>103</v>
      </c>
    </row>
    <row r="24" spans="1:72" ht="12" customHeight="1" x14ac:dyDescent="0.15">
      <c r="A24" s="49" t="s">
        <v>21</v>
      </c>
      <c r="B24" s="22" t="s">
        <v>85</v>
      </c>
      <c r="C24" s="22" t="s">
        <v>80</v>
      </c>
      <c r="D24" s="23" t="s">
        <v>83</v>
      </c>
      <c r="E24" s="14"/>
      <c r="F24" s="17"/>
      <c r="G24" s="49" t="s">
        <v>21</v>
      </c>
      <c r="H24" s="22" t="s">
        <v>85</v>
      </c>
      <c r="I24" s="22" t="s">
        <v>80</v>
      </c>
      <c r="J24" s="23" t="s">
        <v>83</v>
      </c>
      <c r="K24" s="17"/>
      <c r="L24" s="17"/>
      <c r="M24" s="49" t="s">
        <v>21</v>
      </c>
      <c r="N24" s="22" t="s">
        <v>85</v>
      </c>
      <c r="O24" s="22" t="s">
        <v>80</v>
      </c>
      <c r="P24" s="23" t="s">
        <v>83</v>
      </c>
      <c r="Q24" s="17"/>
      <c r="R24" s="15"/>
      <c r="S24" s="49" t="s">
        <v>21</v>
      </c>
      <c r="T24" s="22" t="s">
        <v>85</v>
      </c>
      <c r="U24" s="22" t="s">
        <v>80</v>
      </c>
      <c r="V24" s="23" t="s">
        <v>83</v>
      </c>
      <c r="W24" s="24">
        <v>840</v>
      </c>
      <c r="X24" s="29" t="s">
        <v>187</v>
      </c>
      <c r="Y24" s="49" t="s">
        <v>21</v>
      </c>
      <c r="Z24" s="22" t="s">
        <v>85</v>
      </c>
      <c r="AA24" s="22" t="s">
        <v>80</v>
      </c>
      <c r="AB24" s="23" t="s">
        <v>83</v>
      </c>
      <c r="AC24" s="24">
        <v>600</v>
      </c>
      <c r="AD24" s="29" t="s">
        <v>99</v>
      </c>
      <c r="AE24" s="49" t="s">
        <v>21</v>
      </c>
      <c r="AF24" s="22" t="s">
        <v>85</v>
      </c>
      <c r="AG24" s="22" t="s">
        <v>80</v>
      </c>
      <c r="AH24" s="23" t="s">
        <v>83</v>
      </c>
      <c r="AI24" s="24">
        <v>510</v>
      </c>
      <c r="AJ24" s="29" t="s">
        <v>100</v>
      </c>
      <c r="AK24" s="49" t="s">
        <v>21</v>
      </c>
      <c r="AL24" s="22" t="s">
        <v>85</v>
      </c>
      <c r="AM24" s="22" t="s">
        <v>80</v>
      </c>
      <c r="AN24" s="23" t="s">
        <v>83</v>
      </c>
      <c r="AO24" s="24">
        <v>530</v>
      </c>
      <c r="AP24" s="29" t="s">
        <v>101</v>
      </c>
      <c r="AQ24" s="49" t="s">
        <v>21</v>
      </c>
      <c r="AR24" s="22" t="s">
        <v>85</v>
      </c>
      <c r="AS24" s="22" t="s">
        <v>80</v>
      </c>
      <c r="AT24" s="23" t="s">
        <v>83</v>
      </c>
      <c r="AU24" s="24">
        <v>540</v>
      </c>
      <c r="AV24" s="31" t="s">
        <v>245</v>
      </c>
      <c r="AW24" s="49" t="s">
        <v>21</v>
      </c>
      <c r="AX24" s="22" t="s">
        <v>85</v>
      </c>
      <c r="AY24" s="22" t="s">
        <v>80</v>
      </c>
      <c r="AZ24" s="23" t="s">
        <v>83</v>
      </c>
      <c r="BA24" s="24">
        <v>500</v>
      </c>
      <c r="BB24" s="29" t="s">
        <v>102</v>
      </c>
      <c r="BC24" s="49" t="s">
        <v>21</v>
      </c>
      <c r="BD24" s="22" t="s">
        <v>85</v>
      </c>
      <c r="BE24" s="22" t="s">
        <v>80</v>
      </c>
      <c r="BF24" s="23" t="s">
        <v>83</v>
      </c>
      <c r="BG24" s="24">
        <v>180</v>
      </c>
      <c r="BH24" s="29" t="s">
        <v>96</v>
      </c>
      <c r="BI24" s="49" t="s">
        <v>21</v>
      </c>
      <c r="BJ24" s="22" t="s">
        <v>85</v>
      </c>
      <c r="BK24" s="22" t="s">
        <v>80</v>
      </c>
      <c r="BL24" s="23" t="s">
        <v>83</v>
      </c>
      <c r="BM24" s="24">
        <v>220</v>
      </c>
      <c r="BN24" s="29" t="s">
        <v>97</v>
      </c>
      <c r="BO24" s="49" t="s">
        <v>21</v>
      </c>
      <c r="BP24" s="22" t="s">
        <v>85</v>
      </c>
      <c r="BQ24" s="22" t="s">
        <v>80</v>
      </c>
      <c r="BR24" s="23" t="s">
        <v>83</v>
      </c>
      <c r="BS24" s="24">
        <v>280</v>
      </c>
      <c r="BT24" s="29" t="s">
        <v>103</v>
      </c>
    </row>
    <row r="25" spans="1:72" ht="12" customHeight="1" x14ac:dyDescent="0.15">
      <c r="A25" s="49" t="s">
        <v>21</v>
      </c>
      <c r="B25" s="22" t="s">
        <v>85</v>
      </c>
      <c r="C25" s="19" t="s">
        <v>80</v>
      </c>
      <c r="D25" s="23" t="s">
        <v>84</v>
      </c>
      <c r="E25" s="14"/>
      <c r="F25" s="17"/>
      <c r="G25" s="49" t="s">
        <v>21</v>
      </c>
      <c r="H25" s="22" t="s">
        <v>85</v>
      </c>
      <c r="I25" s="19" t="s">
        <v>80</v>
      </c>
      <c r="J25" s="23" t="s">
        <v>84</v>
      </c>
      <c r="K25" s="17"/>
      <c r="L25" s="17"/>
      <c r="M25" s="49" t="s">
        <v>21</v>
      </c>
      <c r="N25" s="22" t="s">
        <v>85</v>
      </c>
      <c r="O25" s="19" t="s">
        <v>80</v>
      </c>
      <c r="P25" s="23" t="s">
        <v>84</v>
      </c>
      <c r="Q25" s="17"/>
      <c r="R25" s="15"/>
      <c r="S25" s="49" t="s">
        <v>21</v>
      </c>
      <c r="T25" s="22" t="s">
        <v>85</v>
      </c>
      <c r="U25" s="19" t="s">
        <v>80</v>
      </c>
      <c r="V25" s="23" t="s">
        <v>84</v>
      </c>
      <c r="W25" s="24">
        <v>1300</v>
      </c>
      <c r="X25" s="34" t="s">
        <v>187</v>
      </c>
      <c r="Y25" s="49" t="s">
        <v>21</v>
      </c>
      <c r="Z25" s="22" t="s">
        <v>85</v>
      </c>
      <c r="AA25" s="19" t="s">
        <v>80</v>
      </c>
      <c r="AB25" s="23" t="s">
        <v>84</v>
      </c>
      <c r="AC25" s="24">
        <v>970</v>
      </c>
      <c r="AD25" s="34" t="s">
        <v>99</v>
      </c>
      <c r="AE25" s="49" t="s">
        <v>21</v>
      </c>
      <c r="AF25" s="22" t="s">
        <v>85</v>
      </c>
      <c r="AG25" s="19" t="s">
        <v>80</v>
      </c>
      <c r="AH25" s="23" t="s">
        <v>84</v>
      </c>
      <c r="AI25" s="24">
        <v>840</v>
      </c>
      <c r="AJ25" s="34" t="s">
        <v>100</v>
      </c>
      <c r="AK25" s="49" t="s">
        <v>21</v>
      </c>
      <c r="AL25" s="22" t="s">
        <v>85</v>
      </c>
      <c r="AM25" s="19" t="s">
        <v>80</v>
      </c>
      <c r="AN25" s="23" t="s">
        <v>84</v>
      </c>
      <c r="AO25" s="24">
        <v>880</v>
      </c>
      <c r="AP25" s="34" t="s">
        <v>101</v>
      </c>
      <c r="AQ25" s="49" t="s">
        <v>21</v>
      </c>
      <c r="AR25" s="22" t="s">
        <v>85</v>
      </c>
      <c r="AS25" s="19" t="s">
        <v>80</v>
      </c>
      <c r="AT25" s="23" t="s">
        <v>84</v>
      </c>
      <c r="AU25" s="24">
        <v>910</v>
      </c>
      <c r="AV25" s="34" t="s">
        <v>245</v>
      </c>
      <c r="AW25" s="49" t="s">
        <v>21</v>
      </c>
      <c r="AX25" s="22" t="s">
        <v>85</v>
      </c>
      <c r="AY25" s="19" t="s">
        <v>80</v>
      </c>
      <c r="AZ25" s="23" t="s">
        <v>84</v>
      </c>
      <c r="BA25" s="24">
        <v>870</v>
      </c>
      <c r="BB25" s="34" t="s">
        <v>102</v>
      </c>
      <c r="BC25" s="49" t="s">
        <v>21</v>
      </c>
      <c r="BD25" s="22" t="s">
        <v>85</v>
      </c>
      <c r="BE25" s="19" t="s">
        <v>80</v>
      </c>
      <c r="BF25" s="23" t="s">
        <v>84</v>
      </c>
      <c r="BG25" s="24">
        <v>330</v>
      </c>
      <c r="BH25" s="34" t="s">
        <v>96</v>
      </c>
      <c r="BI25" s="49" t="s">
        <v>21</v>
      </c>
      <c r="BJ25" s="22" t="s">
        <v>85</v>
      </c>
      <c r="BK25" s="19" t="s">
        <v>80</v>
      </c>
      <c r="BL25" s="23" t="s">
        <v>84</v>
      </c>
      <c r="BM25" s="24">
        <v>400</v>
      </c>
      <c r="BN25" s="34" t="s">
        <v>97</v>
      </c>
      <c r="BO25" s="49" t="s">
        <v>21</v>
      </c>
      <c r="BP25" s="22" t="s">
        <v>85</v>
      </c>
      <c r="BQ25" s="19" t="s">
        <v>80</v>
      </c>
      <c r="BR25" s="23" t="s">
        <v>84</v>
      </c>
      <c r="BS25" s="24">
        <v>560</v>
      </c>
      <c r="BT25" s="34" t="s">
        <v>103</v>
      </c>
    </row>
    <row r="26" spans="1:72" ht="12" customHeight="1" x14ac:dyDescent="0.15">
      <c r="A26" s="49" t="s">
        <v>21</v>
      </c>
      <c r="B26" s="22" t="s">
        <v>85</v>
      </c>
      <c r="C26" s="19" t="s">
        <v>80</v>
      </c>
      <c r="D26" s="23" t="s">
        <v>6</v>
      </c>
      <c r="E26" s="12"/>
      <c r="F26" s="10"/>
      <c r="G26" s="49" t="s">
        <v>21</v>
      </c>
      <c r="H26" s="22" t="s">
        <v>85</v>
      </c>
      <c r="I26" s="19" t="s">
        <v>80</v>
      </c>
      <c r="J26" s="23" t="s">
        <v>6</v>
      </c>
      <c r="K26" s="10"/>
      <c r="L26" s="10"/>
      <c r="M26" s="49" t="s">
        <v>21</v>
      </c>
      <c r="N26" s="22" t="s">
        <v>85</v>
      </c>
      <c r="O26" s="19" t="s">
        <v>80</v>
      </c>
      <c r="P26" s="23" t="s">
        <v>6</v>
      </c>
      <c r="Q26" s="10"/>
      <c r="R26" s="13"/>
      <c r="S26" s="49" t="s">
        <v>21</v>
      </c>
      <c r="T26" s="22" t="s">
        <v>85</v>
      </c>
      <c r="U26" s="19" t="s">
        <v>80</v>
      </c>
      <c r="V26" s="23" t="s">
        <v>6</v>
      </c>
      <c r="W26" s="25">
        <v>2140</v>
      </c>
      <c r="X26" s="35" t="s">
        <v>187</v>
      </c>
      <c r="Y26" s="49" t="s">
        <v>21</v>
      </c>
      <c r="Z26" s="22" t="s">
        <v>85</v>
      </c>
      <c r="AA26" s="19" t="s">
        <v>80</v>
      </c>
      <c r="AB26" s="23" t="s">
        <v>6</v>
      </c>
      <c r="AC26" s="25">
        <v>1570</v>
      </c>
      <c r="AD26" s="35" t="s">
        <v>99</v>
      </c>
      <c r="AE26" s="49" t="s">
        <v>21</v>
      </c>
      <c r="AF26" s="22" t="s">
        <v>85</v>
      </c>
      <c r="AG26" s="19" t="s">
        <v>80</v>
      </c>
      <c r="AH26" s="23" t="s">
        <v>6</v>
      </c>
      <c r="AI26" s="25">
        <v>1350</v>
      </c>
      <c r="AJ26" s="35" t="s">
        <v>100</v>
      </c>
      <c r="AK26" s="49" t="s">
        <v>21</v>
      </c>
      <c r="AL26" s="22" t="s">
        <v>85</v>
      </c>
      <c r="AM26" s="19" t="s">
        <v>80</v>
      </c>
      <c r="AN26" s="23" t="s">
        <v>6</v>
      </c>
      <c r="AO26" s="25">
        <v>1410</v>
      </c>
      <c r="AP26" s="35" t="s">
        <v>101</v>
      </c>
      <c r="AQ26" s="49" t="s">
        <v>21</v>
      </c>
      <c r="AR26" s="22" t="s">
        <v>85</v>
      </c>
      <c r="AS26" s="19" t="s">
        <v>80</v>
      </c>
      <c r="AT26" s="23" t="s">
        <v>6</v>
      </c>
      <c r="AU26" s="25">
        <v>1450</v>
      </c>
      <c r="AV26" s="35" t="s">
        <v>245</v>
      </c>
      <c r="AW26" s="49" t="s">
        <v>21</v>
      </c>
      <c r="AX26" s="22" t="s">
        <v>85</v>
      </c>
      <c r="AY26" s="19" t="s">
        <v>80</v>
      </c>
      <c r="AZ26" s="23" t="s">
        <v>6</v>
      </c>
      <c r="BA26" s="25">
        <v>1370</v>
      </c>
      <c r="BB26" s="35" t="s">
        <v>102</v>
      </c>
      <c r="BC26" s="49" t="s">
        <v>21</v>
      </c>
      <c r="BD26" s="22" t="s">
        <v>85</v>
      </c>
      <c r="BE26" s="19" t="s">
        <v>80</v>
      </c>
      <c r="BF26" s="23" t="s">
        <v>6</v>
      </c>
      <c r="BG26" s="24">
        <v>510</v>
      </c>
      <c r="BH26" s="35" t="s">
        <v>96</v>
      </c>
      <c r="BI26" s="49" t="s">
        <v>21</v>
      </c>
      <c r="BJ26" s="22" t="s">
        <v>85</v>
      </c>
      <c r="BK26" s="19" t="s">
        <v>80</v>
      </c>
      <c r="BL26" s="23" t="s">
        <v>6</v>
      </c>
      <c r="BM26" s="24">
        <v>620</v>
      </c>
      <c r="BN26" s="35" t="s">
        <v>97</v>
      </c>
      <c r="BO26" s="49" t="s">
        <v>21</v>
      </c>
      <c r="BP26" s="22" t="s">
        <v>85</v>
      </c>
      <c r="BQ26" s="19" t="s">
        <v>80</v>
      </c>
      <c r="BR26" s="23" t="s">
        <v>6</v>
      </c>
      <c r="BS26" s="24">
        <v>840</v>
      </c>
      <c r="BT26" s="35" t="s">
        <v>103</v>
      </c>
    </row>
    <row r="27" spans="1:72" ht="12" customHeight="1" x14ac:dyDescent="0.15">
      <c r="A27" s="49" t="s">
        <v>21</v>
      </c>
      <c r="B27" s="11" t="s">
        <v>86</v>
      </c>
      <c r="C27" s="11" t="s">
        <v>53</v>
      </c>
      <c r="D27" s="2" t="s">
        <v>83</v>
      </c>
      <c r="E27" s="2" t="s">
        <v>195</v>
      </c>
      <c r="F27" s="30" t="s">
        <v>104</v>
      </c>
      <c r="G27" s="49" t="s">
        <v>21</v>
      </c>
      <c r="H27" s="11" t="s">
        <v>86</v>
      </c>
      <c r="I27" s="11" t="s">
        <v>53</v>
      </c>
      <c r="J27" s="2" t="s">
        <v>83</v>
      </c>
      <c r="K27" s="5">
        <v>0.99</v>
      </c>
      <c r="L27" s="30" t="s">
        <v>105</v>
      </c>
      <c r="M27" s="49" t="s">
        <v>21</v>
      </c>
      <c r="N27" s="11" t="s">
        <v>86</v>
      </c>
      <c r="O27" s="11" t="s">
        <v>53</v>
      </c>
      <c r="P27" s="2" t="s">
        <v>83</v>
      </c>
      <c r="Q27" s="5">
        <v>2.2999999999999998</v>
      </c>
      <c r="R27" s="30" t="s">
        <v>106</v>
      </c>
      <c r="S27" s="49" t="s">
        <v>21</v>
      </c>
      <c r="T27" s="11" t="s">
        <v>86</v>
      </c>
      <c r="U27" s="11" t="s">
        <v>53</v>
      </c>
      <c r="V27" s="2" t="s">
        <v>83</v>
      </c>
      <c r="W27" s="5">
        <v>2.2000000000000002</v>
      </c>
      <c r="X27" s="30" t="s">
        <v>188</v>
      </c>
      <c r="Y27" s="49" t="s">
        <v>21</v>
      </c>
      <c r="Z27" s="11" t="s">
        <v>86</v>
      </c>
      <c r="AA27" s="11" t="s">
        <v>53</v>
      </c>
      <c r="AB27" s="2" t="s">
        <v>83</v>
      </c>
      <c r="AC27" s="46">
        <v>1.8</v>
      </c>
      <c r="AD27" s="30" t="s">
        <v>107</v>
      </c>
      <c r="AE27" s="49" t="s">
        <v>21</v>
      </c>
      <c r="AF27" s="11" t="s">
        <v>86</v>
      </c>
      <c r="AG27" s="11" t="s">
        <v>53</v>
      </c>
      <c r="AH27" s="2" t="s">
        <v>83</v>
      </c>
      <c r="AI27" s="46">
        <v>7.8</v>
      </c>
      <c r="AJ27" s="30" t="s">
        <v>125</v>
      </c>
      <c r="AK27" s="49" t="s">
        <v>21</v>
      </c>
      <c r="AL27" s="11" t="s">
        <v>86</v>
      </c>
      <c r="AM27" s="11" t="s">
        <v>53</v>
      </c>
      <c r="AN27" s="2" t="s">
        <v>83</v>
      </c>
      <c r="AO27" s="2" t="s">
        <v>195</v>
      </c>
      <c r="AP27" s="30" t="s">
        <v>94</v>
      </c>
      <c r="AQ27" s="49" t="s">
        <v>21</v>
      </c>
      <c r="AR27" s="11" t="s">
        <v>86</v>
      </c>
      <c r="AS27" s="11" t="s">
        <v>53</v>
      </c>
      <c r="AT27" s="2" t="s">
        <v>83</v>
      </c>
      <c r="AU27" s="5">
        <v>2.6</v>
      </c>
      <c r="AV27" s="32" t="s">
        <v>248</v>
      </c>
      <c r="AW27" s="49" t="s">
        <v>21</v>
      </c>
      <c r="AX27" s="11" t="s">
        <v>86</v>
      </c>
      <c r="AY27" s="11" t="s">
        <v>53</v>
      </c>
      <c r="AZ27" s="2" t="s">
        <v>83</v>
      </c>
      <c r="BA27" s="46">
        <v>1.9</v>
      </c>
      <c r="BB27" s="30" t="s">
        <v>108</v>
      </c>
      <c r="BC27" s="49" t="s">
        <v>21</v>
      </c>
      <c r="BD27" s="11" t="s">
        <v>86</v>
      </c>
      <c r="BE27" s="11" t="s">
        <v>53</v>
      </c>
      <c r="BF27" s="2" t="s">
        <v>83</v>
      </c>
      <c r="BG27" s="46">
        <v>1.5</v>
      </c>
      <c r="BH27" s="30" t="s">
        <v>109</v>
      </c>
      <c r="BI27" s="49" t="s">
        <v>21</v>
      </c>
      <c r="BJ27" s="11" t="s">
        <v>86</v>
      </c>
      <c r="BK27" s="11" t="s">
        <v>53</v>
      </c>
      <c r="BL27" s="2" t="s">
        <v>83</v>
      </c>
      <c r="BM27" s="46">
        <v>1.7</v>
      </c>
      <c r="BN27" s="30" t="s">
        <v>110</v>
      </c>
      <c r="BO27" s="49" t="s">
        <v>21</v>
      </c>
      <c r="BP27" s="11" t="s">
        <v>86</v>
      </c>
      <c r="BQ27" s="11" t="s">
        <v>53</v>
      </c>
      <c r="BR27" s="2" t="s">
        <v>83</v>
      </c>
      <c r="BS27" s="5">
        <v>1.3</v>
      </c>
      <c r="BT27" s="30" t="s">
        <v>111</v>
      </c>
    </row>
    <row r="28" spans="1:72" ht="12" customHeight="1" x14ac:dyDescent="0.15">
      <c r="A28" s="49" t="s">
        <v>21</v>
      </c>
      <c r="B28" s="11" t="s">
        <v>86</v>
      </c>
      <c r="C28" s="11" t="s">
        <v>53</v>
      </c>
      <c r="D28" s="2" t="s">
        <v>84</v>
      </c>
      <c r="E28" s="2" t="s">
        <v>195</v>
      </c>
      <c r="F28" s="34" t="s">
        <v>104</v>
      </c>
      <c r="G28" s="49" t="s">
        <v>21</v>
      </c>
      <c r="H28" s="11" t="s">
        <v>86</v>
      </c>
      <c r="I28" s="11" t="s">
        <v>53</v>
      </c>
      <c r="J28" s="2" t="s">
        <v>84</v>
      </c>
      <c r="K28" s="5">
        <v>1.2</v>
      </c>
      <c r="L28" s="34" t="s">
        <v>105</v>
      </c>
      <c r="M28" s="49" t="s">
        <v>21</v>
      </c>
      <c r="N28" s="11" t="s">
        <v>86</v>
      </c>
      <c r="O28" s="11" t="s">
        <v>53</v>
      </c>
      <c r="P28" s="2" t="s">
        <v>84</v>
      </c>
      <c r="Q28" s="5">
        <v>3.6</v>
      </c>
      <c r="R28" s="34" t="s">
        <v>106</v>
      </c>
      <c r="S28" s="49" t="s">
        <v>21</v>
      </c>
      <c r="T28" s="11" t="s">
        <v>86</v>
      </c>
      <c r="U28" s="11" t="s">
        <v>53</v>
      </c>
      <c r="V28" s="2" t="s">
        <v>84</v>
      </c>
      <c r="W28" s="5">
        <v>3.8</v>
      </c>
      <c r="X28" s="34" t="s">
        <v>188</v>
      </c>
      <c r="Y28" s="49" t="s">
        <v>21</v>
      </c>
      <c r="Z28" s="11" t="s">
        <v>86</v>
      </c>
      <c r="AA28" s="11" t="s">
        <v>53</v>
      </c>
      <c r="AB28" s="2" t="s">
        <v>84</v>
      </c>
      <c r="AC28" s="5">
        <v>3.4</v>
      </c>
      <c r="AD28" s="34" t="s">
        <v>107</v>
      </c>
      <c r="AE28" s="49" t="s">
        <v>21</v>
      </c>
      <c r="AF28" s="11" t="s">
        <v>86</v>
      </c>
      <c r="AG28" s="11" t="s">
        <v>53</v>
      </c>
      <c r="AH28" s="2" t="s">
        <v>84</v>
      </c>
      <c r="AI28" s="5">
        <v>2.8</v>
      </c>
      <c r="AJ28" s="34" t="s">
        <v>125</v>
      </c>
      <c r="AK28" s="49" t="s">
        <v>21</v>
      </c>
      <c r="AL28" s="11" t="s">
        <v>86</v>
      </c>
      <c r="AM28" s="11" t="s">
        <v>53</v>
      </c>
      <c r="AN28" s="2" t="s">
        <v>84</v>
      </c>
      <c r="AO28" s="2" t="s">
        <v>195</v>
      </c>
      <c r="AP28" s="34" t="s">
        <v>94</v>
      </c>
      <c r="AQ28" s="49" t="s">
        <v>21</v>
      </c>
      <c r="AR28" s="11" t="s">
        <v>86</v>
      </c>
      <c r="AS28" s="11" t="s">
        <v>53</v>
      </c>
      <c r="AT28" s="2" t="s">
        <v>84</v>
      </c>
      <c r="AU28" s="5">
        <v>4.5999999999999996</v>
      </c>
      <c r="AV28" s="34" t="s">
        <v>247</v>
      </c>
      <c r="AW28" s="49" t="s">
        <v>21</v>
      </c>
      <c r="AX28" s="11" t="s">
        <v>86</v>
      </c>
      <c r="AY28" s="11" t="s">
        <v>53</v>
      </c>
      <c r="AZ28" s="2" t="s">
        <v>84</v>
      </c>
      <c r="BA28" s="5">
        <v>4.0999999999999996</v>
      </c>
      <c r="BB28" s="34" t="s">
        <v>108</v>
      </c>
      <c r="BC28" s="49" t="s">
        <v>21</v>
      </c>
      <c r="BD28" s="11" t="s">
        <v>86</v>
      </c>
      <c r="BE28" s="11" t="s">
        <v>53</v>
      </c>
      <c r="BF28" s="2" t="s">
        <v>84</v>
      </c>
      <c r="BG28" s="5">
        <v>2.9</v>
      </c>
      <c r="BH28" s="34" t="s">
        <v>109</v>
      </c>
      <c r="BI28" s="49" t="s">
        <v>21</v>
      </c>
      <c r="BJ28" s="11" t="s">
        <v>86</v>
      </c>
      <c r="BK28" s="11" t="s">
        <v>53</v>
      </c>
      <c r="BL28" s="2" t="s">
        <v>84</v>
      </c>
      <c r="BM28" s="5">
        <v>3.2</v>
      </c>
      <c r="BN28" s="34" t="s">
        <v>110</v>
      </c>
      <c r="BO28" s="49" t="s">
        <v>21</v>
      </c>
      <c r="BP28" s="11" t="s">
        <v>86</v>
      </c>
      <c r="BQ28" s="11" t="s">
        <v>53</v>
      </c>
      <c r="BR28" s="2" t="s">
        <v>84</v>
      </c>
      <c r="BS28" s="5">
        <v>3.1</v>
      </c>
      <c r="BT28" s="34" t="s">
        <v>111</v>
      </c>
    </row>
    <row r="29" spans="1:72" ht="12" customHeight="1" x14ac:dyDescent="0.15">
      <c r="A29" s="49" t="s">
        <v>21</v>
      </c>
      <c r="B29" s="11" t="s">
        <v>86</v>
      </c>
      <c r="C29" s="11" t="s">
        <v>53</v>
      </c>
      <c r="D29" s="2" t="s">
        <v>6</v>
      </c>
      <c r="E29" s="2" t="s">
        <v>195</v>
      </c>
      <c r="F29" s="35" t="s">
        <v>104</v>
      </c>
      <c r="G29" s="49" t="s">
        <v>21</v>
      </c>
      <c r="H29" s="11" t="s">
        <v>86</v>
      </c>
      <c r="I29" s="11" t="s">
        <v>53</v>
      </c>
      <c r="J29" s="2" t="s">
        <v>6</v>
      </c>
      <c r="K29" s="5">
        <v>2.19</v>
      </c>
      <c r="L29" s="35" t="s">
        <v>105</v>
      </c>
      <c r="M29" s="49" t="s">
        <v>21</v>
      </c>
      <c r="N29" s="11" t="s">
        <v>86</v>
      </c>
      <c r="O29" s="11" t="s">
        <v>53</v>
      </c>
      <c r="P29" s="2" t="s">
        <v>6</v>
      </c>
      <c r="Q29" s="5">
        <v>5.9</v>
      </c>
      <c r="R29" s="35" t="s">
        <v>106</v>
      </c>
      <c r="S29" s="49" t="s">
        <v>21</v>
      </c>
      <c r="T29" s="11" t="s">
        <v>86</v>
      </c>
      <c r="U29" s="11" t="s">
        <v>53</v>
      </c>
      <c r="V29" s="2" t="s">
        <v>6</v>
      </c>
      <c r="W29" s="7">
        <v>6</v>
      </c>
      <c r="X29" s="35" t="s">
        <v>188</v>
      </c>
      <c r="Y29" s="49" t="s">
        <v>21</v>
      </c>
      <c r="Z29" s="11" t="s">
        <v>86</v>
      </c>
      <c r="AA29" s="11" t="s">
        <v>53</v>
      </c>
      <c r="AB29" s="2" t="s">
        <v>6</v>
      </c>
      <c r="AC29" s="5">
        <v>5.2</v>
      </c>
      <c r="AD29" s="35" t="s">
        <v>107</v>
      </c>
      <c r="AE29" s="49" t="s">
        <v>21</v>
      </c>
      <c r="AF29" s="11" t="s">
        <v>86</v>
      </c>
      <c r="AG29" s="11" t="s">
        <v>53</v>
      </c>
      <c r="AH29" s="2" t="s">
        <v>6</v>
      </c>
      <c r="AI29" s="5">
        <v>3.58</v>
      </c>
      <c r="AJ29" s="35" t="s">
        <v>125</v>
      </c>
      <c r="AK29" s="49" t="s">
        <v>21</v>
      </c>
      <c r="AL29" s="11" t="s">
        <v>86</v>
      </c>
      <c r="AM29" s="11" t="s">
        <v>53</v>
      </c>
      <c r="AN29" s="2" t="s">
        <v>6</v>
      </c>
      <c r="AO29" s="2" t="s">
        <v>195</v>
      </c>
      <c r="AP29" s="35" t="s">
        <v>94</v>
      </c>
      <c r="AQ29" s="49" t="s">
        <v>21</v>
      </c>
      <c r="AR29" s="11" t="s">
        <v>86</v>
      </c>
      <c r="AS29" s="11" t="s">
        <v>53</v>
      </c>
      <c r="AT29" s="2" t="s">
        <v>6</v>
      </c>
      <c r="AU29" s="2">
        <v>7.2</v>
      </c>
      <c r="AV29" s="35" t="s">
        <v>247</v>
      </c>
      <c r="AW29" s="49" t="s">
        <v>21</v>
      </c>
      <c r="AX29" s="11" t="s">
        <v>86</v>
      </c>
      <c r="AY29" s="11" t="s">
        <v>53</v>
      </c>
      <c r="AZ29" s="2" t="s">
        <v>6</v>
      </c>
      <c r="BA29" s="5">
        <v>6</v>
      </c>
      <c r="BB29" s="35" t="s">
        <v>108</v>
      </c>
      <c r="BC29" s="49" t="s">
        <v>21</v>
      </c>
      <c r="BD29" s="11" t="s">
        <v>86</v>
      </c>
      <c r="BE29" s="11" t="s">
        <v>53</v>
      </c>
      <c r="BF29" s="2" t="s">
        <v>6</v>
      </c>
      <c r="BG29" s="5">
        <v>4.4000000000000004</v>
      </c>
      <c r="BH29" s="35" t="s">
        <v>109</v>
      </c>
      <c r="BI29" s="49" t="s">
        <v>21</v>
      </c>
      <c r="BJ29" s="11" t="s">
        <v>86</v>
      </c>
      <c r="BK29" s="11" t="s">
        <v>53</v>
      </c>
      <c r="BL29" s="2" t="s">
        <v>6</v>
      </c>
      <c r="BM29" s="5">
        <v>4.9000000000000004</v>
      </c>
      <c r="BN29" s="35" t="s">
        <v>110</v>
      </c>
      <c r="BO29" s="49" t="s">
        <v>21</v>
      </c>
      <c r="BP29" s="11" t="s">
        <v>86</v>
      </c>
      <c r="BQ29" s="11" t="s">
        <v>53</v>
      </c>
      <c r="BR29" s="2" t="s">
        <v>6</v>
      </c>
      <c r="BS29" s="5">
        <v>4.4000000000000004</v>
      </c>
      <c r="BT29" s="35" t="s">
        <v>111</v>
      </c>
    </row>
    <row r="30" spans="1:72" ht="12" customHeight="1" x14ac:dyDescent="0.15">
      <c r="A30" s="49" t="s">
        <v>28</v>
      </c>
      <c r="B30" s="19" t="s">
        <v>54</v>
      </c>
      <c r="C30" s="22" t="s">
        <v>62</v>
      </c>
      <c r="D30" s="23" t="s">
        <v>83</v>
      </c>
      <c r="E30" s="24">
        <v>71</v>
      </c>
      <c r="F30" s="29" t="s">
        <v>112</v>
      </c>
      <c r="G30" s="49" t="s">
        <v>28</v>
      </c>
      <c r="H30" s="19" t="s">
        <v>54</v>
      </c>
      <c r="I30" s="22" t="s">
        <v>62</v>
      </c>
      <c r="J30" s="23" t="s">
        <v>83</v>
      </c>
      <c r="K30" s="24">
        <v>73</v>
      </c>
      <c r="L30" s="29" t="s">
        <v>105</v>
      </c>
      <c r="M30" s="49" t="s">
        <v>28</v>
      </c>
      <c r="N30" s="19" t="s">
        <v>54</v>
      </c>
      <c r="O30" s="22" t="s">
        <v>62</v>
      </c>
      <c r="P30" s="23" t="s">
        <v>83</v>
      </c>
      <c r="Q30" s="24">
        <v>68</v>
      </c>
      <c r="R30" s="29" t="s">
        <v>113</v>
      </c>
      <c r="S30" s="49" t="s">
        <v>28</v>
      </c>
      <c r="T30" s="19" t="s">
        <v>54</v>
      </c>
      <c r="U30" s="22" t="s">
        <v>62</v>
      </c>
      <c r="V30" s="23" t="s">
        <v>83</v>
      </c>
      <c r="W30" s="24">
        <v>91</v>
      </c>
      <c r="X30" s="29" t="s">
        <v>168</v>
      </c>
      <c r="Y30" s="49" t="s">
        <v>28</v>
      </c>
      <c r="Z30" s="19" t="s">
        <v>54</v>
      </c>
      <c r="AA30" s="22" t="s">
        <v>62</v>
      </c>
      <c r="AB30" s="23" t="s">
        <v>83</v>
      </c>
      <c r="AC30" s="24">
        <v>110</v>
      </c>
      <c r="AD30" s="29" t="s">
        <v>169</v>
      </c>
      <c r="AE30" s="49" t="s">
        <v>28</v>
      </c>
      <c r="AF30" s="19" t="s">
        <v>54</v>
      </c>
      <c r="AG30" s="22" t="s">
        <v>62</v>
      </c>
      <c r="AH30" s="23" t="s">
        <v>83</v>
      </c>
      <c r="AI30" s="24">
        <v>67</v>
      </c>
      <c r="AJ30" s="29" t="s">
        <v>114</v>
      </c>
      <c r="AK30" s="49" t="s">
        <v>28</v>
      </c>
      <c r="AL30" s="19" t="s">
        <v>54</v>
      </c>
      <c r="AM30" s="22" t="s">
        <v>62</v>
      </c>
      <c r="AN30" s="23" t="s">
        <v>83</v>
      </c>
      <c r="AO30" s="24">
        <v>85</v>
      </c>
      <c r="AP30" s="29" t="s">
        <v>115</v>
      </c>
      <c r="AQ30" s="49" t="s">
        <v>28</v>
      </c>
      <c r="AR30" s="19" t="s">
        <v>54</v>
      </c>
      <c r="AS30" s="22" t="s">
        <v>62</v>
      </c>
      <c r="AT30" s="23" t="s">
        <v>83</v>
      </c>
      <c r="AU30" s="24">
        <v>35</v>
      </c>
      <c r="AV30" s="29" t="s">
        <v>116</v>
      </c>
      <c r="AW30" s="49" t="s">
        <v>28</v>
      </c>
      <c r="AX30" s="19" t="s">
        <v>54</v>
      </c>
      <c r="AY30" s="22" t="s">
        <v>62</v>
      </c>
      <c r="AZ30" s="23" t="s">
        <v>83</v>
      </c>
      <c r="BA30" s="24">
        <v>29</v>
      </c>
      <c r="BB30" s="29" t="s">
        <v>117</v>
      </c>
      <c r="BC30" s="49" t="s">
        <v>28</v>
      </c>
      <c r="BD30" s="19" t="s">
        <v>54</v>
      </c>
      <c r="BE30" s="22" t="s">
        <v>62</v>
      </c>
      <c r="BF30" s="23" t="s">
        <v>83</v>
      </c>
      <c r="BG30" s="24">
        <v>23</v>
      </c>
      <c r="BH30" s="29" t="s">
        <v>118</v>
      </c>
      <c r="BI30" s="49" t="s">
        <v>28</v>
      </c>
      <c r="BJ30" s="19" t="s">
        <v>54</v>
      </c>
      <c r="BK30" s="22" t="s">
        <v>62</v>
      </c>
      <c r="BL30" s="23" t="s">
        <v>83</v>
      </c>
      <c r="BM30" s="24">
        <v>11</v>
      </c>
      <c r="BN30" s="29" t="s">
        <v>119</v>
      </c>
      <c r="BO30" s="49" t="s">
        <v>28</v>
      </c>
      <c r="BP30" s="19" t="s">
        <v>54</v>
      </c>
      <c r="BQ30" s="22" t="s">
        <v>62</v>
      </c>
      <c r="BR30" s="23" t="s">
        <v>83</v>
      </c>
      <c r="BS30" s="24">
        <v>16</v>
      </c>
      <c r="BT30" s="29" t="s">
        <v>120</v>
      </c>
    </row>
    <row r="31" spans="1:72" ht="12" customHeight="1" x14ac:dyDescent="0.15">
      <c r="A31" s="49" t="s">
        <v>28</v>
      </c>
      <c r="B31" s="19" t="s">
        <v>54</v>
      </c>
      <c r="C31" s="19" t="s">
        <v>62</v>
      </c>
      <c r="D31" s="23" t="s">
        <v>84</v>
      </c>
      <c r="E31" s="24">
        <v>130</v>
      </c>
      <c r="F31" s="34" t="s">
        <v>112</v>
      </c>
      <c r="G31" s="49" t="s">
        <v>28</v>
      </c>
      <c r="H31" s="19" t="s">
        <v>54</v>
      </c>
      <c r="I31" s="19" t="s">
        <v>62</v>
      </c>
      <c r="J31" s="23" t="s">
        <v>84</v>
      </c>
      <c r="K31" s="24">
        <v>140</v>
      </c>
      <c r="L31" s="34" t="s">
        <v>105</v>
      </c>
      <c r="M31" s="49" t="s">
        <v>28</v>
      </c>
      <c r="N31" s="19" t="s">
        <v>54</v>
      </c>
      <c r="O31" s="19" t="s">
        <v>62</v>
      </c>
      <c r="P31" s="23" t="s">
        <v>84</v>
      </c>
      <c r="Q31" s="24">
        <v>140</v>
      </c>
      <c r="R31" s="34" t="s">
        <v>113</v>
      </c>
      <c r="S31" s="49" t="s">
        <v>28</v>
      </c>
      <c r="T31" s="19" t="s">
        <v>54</v>
      </c>
      <c r="U31" s="19" t="s">
        <v>62</v>
      </c>
      <c r="V31" s="23" t="s">
        <v>84</v>
      </c>
      <c r="W31" s="24">
        <v>190</v>
      </c>
      <c r="X31" s="34" t="s">
        <v>168</v>
      </c>
      <c r="Y31" s="49" t="s">
        <v>28</v>
      </c>
      <c r="Z31" s="19" t="s">
        <v>54</v>
      </c>
      <c r="AA31" s="19" t="s">
        <v>62</v>
      </c>
      <c r="AB31" s="23" t="s">
        <v>84</v>
      </c>
      <c r="AC31" s="24">
        <v>250</v>
      </c>
      <c r="AD31" s="34" t="s">
        <v>169</v>
      </c>
      <c r="AE31" s="49" t="s">
        <v>28</v>
      </c>
      <c r="AF31" s="19" t="s">
        <v>54</v>
      </c>
      <c r="AG31" s="19" t="s">
        <v>62</v>
      </c>
      <c r="AH31" s="23" t="s">
        <v>84</v>
      </c>
      <c r="AI31" s="24">
        <v>150</v>
      </c>
      <c r="AJ31" s="34" t="s">
        <v>114</v>
      </c>
      <c r="AK31" s="49" t="s">
        <v>28</v>
      </c>
      <c r="AL31" s="19" t="s">
        <v>54</v>
      </c>
      <c r="AM31" s="19" t="s">
        <v>62</v>
      </c>
      <c r="AN31" s="23" t="s">
        <v>84</v>
      </c>
      <c r="AO31" s="24">
        <v>190</v>
      </c>
      <c r="AP31" s="34" t="s">
        <v>115</v>
      </c>
      <c r="AQ31" s="49" t="s">
        <v>28</v>
      </c>
      <c r="AR31" s="19" t="s">
        <v>54</v>
      </c>
      <c r="AS31" s="19" t="s">
        <v>62</v>
      </c>
      <c r="AT31" s="23" t="s">
        <v>84</v>
      </c>
      <c r="AU31" s="24">
        <v>88</v>
      </c>
      <c r="AV31" s="34" t="s">
        <v>116</v>
      </c>
      <c r="AW31" s="49" t="s">
        <v>28</v>
      </c>
      <c r="AX31" s="19" t="s">
        <v>54</v>
      </c>
      <c r="AY31" s="19" t="s">
        <v>62</v>
      </c>
      <c r="AZ31" s="23" t="s">
        <v>84</v>
      </c>
      <c r="BA31" s="23">
        <v>77</v>
      </c>
      <c r="BB31" s="34" t="s">
        <v>117</v>
      </c>
      <c r="BC31" s="49" t="s">
        <v>28</v>
      </c>
      <c r="BD31" s="19" t="s">
        <v>54</v>
      </c>
      <c r="BE31" s="19" t="s">
        <v>62</v>
      </c>
      <c r="BF31" s="23" t="s">
        <v>84</v>
      </c>
      <c r="BG31" s="24">
        <v>62</v>
      </c>
      <c r="BH31" s="34" t="s">
        <v>118</v>
      </c>
      <c r="BI31" s="49" t="s">
        <v>28</v>
      </c>
      <c r="BJ31" s="19" t="s">
        <v>54</v>
      </c>
      <c r="BK31" s="19" t="s">
        <v>62</v>
      </c>
      <c r="BL31" s="23" t="s">
        <v>84</v>
      </c>
      <c r="BM31" s="24">
        <v>30</v>
      </c>
      <c r="BN31" s="34" t="s">
        <v>119</v>
      </c>
      <c r="BO31" s="49" t="s">
        <v>28</v>
      </c>
      <c r="BP31" s="19" t="s">
        <v>54</v>
      </c>
      <c r="BQ31" s="19" t="s">
        <v>62</v>
      </c>
      <c r="BR31" s="23" t="s">
        <v>84</v>
      </c>
      <c r="BS31" s="24">
        <v>41</v>
      </c>
      <c r="BT31" s="34" t="s">
        <v>120</v>
      </c>
    </row>
    <row r="32" spans="1:72" ht="12" customHeight="1" x14ac:dyDescent="0.15">
      <c r="A32" s="49" t="s">
        <v>28</v>
      </c>
      <c r="B32" s="19" t="s">
        <v>54</v>
      </c>
      <c r="C32" s="19" t="s">
        <v>62</v>
      </c>
      <c r="D32" s="23" t="s">
        <v>6</v>
      </c>
      <c r="E32" s="24">
        <v>201</v>
      </c>
      <c r="F32" s="35" t="s">
        <v>112</v>
      </c>
      <c r="G32" s="49" t="s">
        <v>28</v>
      </c>
      <c r="H32" s="19" t="s">
        <v>54</v>
      </c>
      <c r="I32" s="19" t="s">
        <v>62</v>
      </c>
      <c r="J32" s="23" t="s">
        <v>6</v>
      </c>
      <c r="K32" s="24">
        <v>213</v>
      </c>
      <c r="L32" s="35" t="s">
        <v>105</v>
      </c>
      <c r="M32" s="49" t="s">
        <v>28</v>
      </c>
      <c r="N32" s="19" t="s">
        <v>54</v>
      </c>
      <c r="O32" s="19" t="s">
        <v>62</v>
      </c>
      <c r="P32" s="23" t="s">
        <v>6</v>
      </c>
      <c r="Q32" s="24">
        <v>208</v>
      </c>
      <c r="R32" s="35" t="s">
        <v>113</v>
      </c>
      <c r="S32" s="49" t="s">
        <v>28</v>
      </c>
      <c r="T32" s="19" t="s">
        <v>54</v>
      </c>
      <c r="U32" s="19" t="s">
        <v>62</v>
      </c>
      <c r="V32" s="23" t="s">
        <v>6</v>
      </c>
      <c r="W32" s="24">
        <v>281</v>
      </c>
      <c r="X32" s="35" t="s">
        <v>168</v>
      </c>
      <c r="Y32" s="49" t="s">
        <v>28</v>
      </c>
      <c r="Z32" s="19" t="s">
        <v>54</v>
      </c>
      <c r="AA32" s="19" t="s">
        <v>62</v>
      </c>
      <c r="AB32" s="23" t="s">
        <v>6</v>
      </c>
      <c r="AC32" s="24">
        <v>360</v>
      </c>
      <c r="AD32" s="35" t="s">
        <v>169</v>
      </c>
      <c r="AE32" s="49" t="s">
        <v>28</v>
      </c>
      <c r="AF32" s="19" t="s">
        <v>54</v>
      </c>
      <c r="AG32" s="19" t="s">
        <v>62</v>
      </c>
      <c r="AH32" s="23" t="s">
        <v>6</v>
      </c>
      <c r="AI32" s="24">
        <v>217</v>
      </c>
      <c r="AJ32" s="35" t="s">
        <v>114</v>
      </c>
      <c r="AK32" s="49" t="s">
        <v>28</v>
      </c>
      <c r="AL32" s="19" t="s">
        <v>54</v>
      </c>
      <c r="AM32" s="19" t="s">
        <v>62</v>
      </c>
      <c r="AN32" s="23" t="s">
        <v>6</v>
      </c>
      <c r="AO32" s="24">
        <v>275</v>
      </c>
      <c r="AP32" s="35" t="s">
        <v>115</v>
      </c>
      <c r="AQ32" s="49" t="s">
        <v>28</v>
      </c>
      <c r="AR32" s="19" t="s">
        <v>54</v>
      </c>
      <c r="AS32" s="19" t="s">
        <v>62</v>
      </c>
      <c r="AT32" s="23" t="s">
        <v>6</v>
      </c>
      <c r="AU32" s="24">
        <v>123</v>
      </c>
      <c r="AV32" s="35" t="s">
        <v>116</v>
      </c>
      <c r="AW32" s="49" t="s">
        <v>28</v>
      </c>
      <c r="AX32" s="19" t="s">
        <v>54</v>
      </c>
      <c r="AY32" s="19" t="s">
        <v>62</v>
      </c>
      <c r="AZ32" s="23" t="s">
        <v>6</v>
      </c>
      <c r="BA32" s="23">
        <v>106</v>
      </c>
      <c r="BB32" s="35" t="s">
        <v>117</v>
      </c>
      <c r="BC32" s="49" t="s">
        <v>28</v>
      </c>
      <c r="BD32" s="19" t="s">
        <v>54</v>
      </c>
      <c r="BE32" s="19" t="s">
        <v>62</v>
      </c>
      <c r="BF32" s="23" t="s">
        <v>6</v>
      </c>
      <c r="BG32" s="24">
        <v>85</v>
      </c>
      <c r="BH32" s="35" t="s">
        <v>118</v>
      </c>
      <c r="BI32" s="49" t="s">
        <v>28</v>
      </c>
      <c r="BJ32" s="19" t="s">
        <v>54</v>
      </c>
      <c r="BK32" s="19" t="s">
        <v>62</v>
      </c>
      <c r="BL32" s="23" t="s">
        <v>6</v>
      </c>
      <c r="BM32" s="24">
        <v>41</v>
      </c>
      <c r="BN32" s="35" t="s">
        <v>119</v>
      </c>
      <c r="BO32" s="49" t="s">
        <v>28</v>
      </c>
      <c r="BP32" s="19" t="s">
        <v>54</v>
      </c>
      <c r="BQ32" s="19" t="s">
        <v>62</v>
      </c>
      <c r="BR32" s="23" t="s">
        <v>6</v>
      </c>
      <c r="BS32" s="24">
        <v>57</v>
      </c>
      <c r="BT32" s="35" t="s">
        <v>120</v>
      </c>
    </row>
    <row r="33" spans="1:72" ht="12" customHeight="1" x14ac:dyDescent="0.15">
      <c r="A33" s="49" t="s">
        <v>28</v>
      </c>
      <c r="B33" s="19" t="s">
        <v>54</v>
      </c>
      <c r="C33" s="22" t="s">
        <v>80</v>
      </c>
      <c r="D33" s="23" t="s">
        <v>83</v>
      </c>
      <c r="E33" s="24">
        <v>250</v>
      </c>
      <c r="F33" s="29" t="s">
        <v>112</v>
      </c>
      <c r="G33" s="49" t="s">
        <v>28</v>
      </c>
      <c r="H33" s="19" t="s">
        <v>54</v>
      </c>
      <c r="I33" s="22" t="s">
        <v>80</v>
      </c>
      <c r="J33" s="23" t="s">
        <v>83</v>
      </c>
      <c r="K33" s="24">
        <v>320</v>
      </c>
      <c r="L33" s="29" t="s">
        <v>105</v>
      </c>
      <c r="M33" s="49" t="s">
        <v>28</v>
      </c>
      <c r="N33" s="19" t="s">
        <v>54</v>
      </c>
      <c r="O33" s="22" t="s">
        <v>80</v>
      </c>
      <c r="P33" s="23" t="s">
        <v>83</v>
      </c>
      <c r="Q33" s="24">
        <v>350</v>
      </c>
      <c r="R33" s="29" t="s">
        <v>113</v>
      </c>
      <c r="S33" s="49" t="s">
        <v>28</v>
      </c>
      <c r="T33" s="19" t="s">
        <v>54</v>
      </c>
      <c r="U33" s="22" t="s">
        <v>80</v>
      </c>
      <c r="V33" s="23" t="s">
        <v>83</v>
      </c>
      <c r="W33" s="24">
        <v>280</v>
      </c>
      <c r="X33" s="29" t="s">
        <v>168</v>
      </c>
      <c r="Y33" s="49" t="s">
        <v>28</v>
      </c>
      <c r="Z33" s="19" t="s">
        <v>54</v>
      </c>
      <c r="AA33" s="22" t="s">
        <v>80</v>
      </c>
      <c r="AB33" s="23" t="s">
        <v>83</v>
      </c>
      <c r="AC33" s="24">
        <v>230</v>
      </c>
      <c r="AD33" s="29" t="s">
        <v>169</v>
      </c>
      <c r="AE33" s="49" t="s">
        <v>28</v>
      </c>
      <c r="AF33" s="19" t="s">
        <v>54</v>
      </c>
      <c r="AG33" s="22" t="s">
        <v>80</v>
      </c>
      <c r="AH33" s="23" t="s">
        <v>83</v>
      </c>
      <c r="AI33" s="24">
        <v>150</v>
      </c>
      <c r="AJ33" s="29" t="s">
        <v>114</v>
      </c>
      <c r="AK33" s="49" t="s">
        <v>28</v>
      </c>
      <c r="AL33" s="19" t="s">
        <v>54</v>
      </c>
      <c r="AM33" s="22" t="s">
        <v>80</v>
      </c>
      <c r="AN33" s="23" t="s">
        <v>83</v>
      </c>
      <c r="AO33" s="24">
        <v>210</v>
      </c>
      <c r="AP33" s="29" t="s">
        <v>115</v>
      </c>
      <c r="AQ33" s="49" t="s">
        <v>28</v>
      </c>
      <c r="AR33" s="19" t="s">
        <v>54</v>
      </c>
      <c r="AS33" s="22" t="s">
        <v>80</v>
      </c>
      <c r="AT33" s="23" t="s">
        <v>83</v>
      </c>
      <c r="AU33" s="24">
        <v>120</v>
      </c>
      <c r="AV33" s="29" t="s">
        <v>116</v>
      </c>
      <c r="AW33" s="49" t="s">
        <v>28</v>
      </c>
      <c r="AX33" s="19" t="s">
        <v>54</v>
      </c>
      <c r="AY33" s="22" t="s">
        <v>80</v>
      </c>
      <c r="AZ33" s="23" t="s">
        <v>83</v>
      </c>
      <c r="BA33" s="24">
        <v>96</v>
      </c>
      <c r="BB33" s="29" t="s">
        <v>117</v>
      </c>
      <c r="BC33" s="49" t="s">
        <v>28</v>
      </c>
      <c r="BD33" s="19" t="s">
        <v>54</v>
      </c>
      <c r="BE33" s="22" t="s">
        <v>80</v>
      </c>
      <c r="BF33" s="23" t="s">
        <v>83</v>
      </c>
      <c r="BG33" s="24">
        <v>74</v>
      </c>
      <c r="BH33" s="29" t="s">
        <v>118</v>
      </c>
      <c r="BI33" s="49" t="s">
        <v>28</v>
      </c>
      <c r="BJ33" s="19" t="s">
        <v>54</v>
      </c>
      <c r="BK33" s="22" t="s">
        <v>80</v>
      </c>
      <c r="BL33" s="23" t="s">
        <v>83</v>
      </c>
      <c r="BM33" s="24">
        <v>63</v>
      </c>
      <c r="BN33" s="29" t="s">
        <v>119</v>
      </c>
      <c r="BO33" s="49" t="s">
        <v>28</v>
      </c>
      <c r="BP33" s="19" t="s">
        <v>54</v>
      </c>
      <c r="BQ33" s="22" t="s">
        <v>80</v>
      </c>
      <c r="BR33" s="23" t="s">
        <v>83</v>
      </c>
      <c r="BS33" s="24">
        <v>80</v>
      </c>
      <c r="BT33" s="29" t="s">
        <v>120</v>
      </c>
    </row>
    <row r="34" spans="1:72" ht="12" customHeight="1" x14ac:dyDescent="0.15">
      <c r="A34" s="49" t="s">
        <v>28</v>
      </c>
      <c r="B34" s="19" t="s">
        <v>54</v>
      </c>
      <c r="C34" s="19" t="s">
        <v>80</v>
      </c>
      <c r="D34" s="23" t="s">
        <v>84</v>
      </c>
      <c r="E34" s="24">
        <v>510</v>
      </c>
      <c r="F34" s="34" t="s">
        <v>112</v>
      </c>
      <c r="G34" s="49" t="s">
        <v>28</v>
      </c>
      <c r="H34" s="19" t="s">
        <v>54</v>
      </c>
      <c r="I34" s="19" t="s">
        <v>80</v>
      </c>
      <c r="J34" s="23" t="s">
        <v>84</v>
      </c>
      <c r="K34" s="24">
        <v>610</v>
      </c>
      <c r="L34" s="34" t="s">
        <v>105</v>
      </c>
      <c r="M34" s="49" t="s">
        <v>28</v>
      </c>
      <c r="N34" s="19" t="s">
        <v>54</v>
      </c>
      <c r="O34" s="19" t="s">
        <v>80</v>
      </c>
      <c r="P34" s="23" t="s">
        <v>84</v>
      </c>
      <c r="Q34" s="24">
        <v>750</v>
      </c>
      <c r="R34" s="34" t="s">
        <v>113</v>
      </c>
      <c r="S34" s="49" t="s">
        <v>28</v>
      </c>
      <c r="T34" s="19" t="s">
        <v>54</v>
      </c>
      <c r="U34" s="19" t="s">
        <v>80</v>
      </c>
      <c r="V34" s="23" t="s">
        <v>84</v>
      </c>
      <c r="W34" s="24">
        <v>580</v>
      </c>
      <c r="X34" s="34" t="s">
        <v>168</v>
      </c>
      <c r="Y34" s="49" t="s">
        <v>28</v>
      </c>
      <c r="Z34" s="19" t="s">
        <v>54</v>
      </c>
      <c r="AA34" s="19" t="s">
        <v>80</v>
      </c>
      <c r="AB34" s="23" t="s">
        <v>84</v>
      </c>
      <c r="AC34" s="24">
        <v>490</v>
      </c>
      <c r="AD34" s="34" t="s">
        <v>169</v>
      </c>
      <c r="AE34" s="49" t="s">
        <v>28</v>
      </c>
      <c r="AF34" s="19" t="s">
        <v>54</v>
      </c>
      <c r="AG34" s="19" t="s">
        <v>80</v>
      </c>
      <c r="AH34" s="23" t="s">
        <v>84</v>
      </c>
      <c r="AI34" s="24">
        <v>350</v>
      </c>
      <c r="AJ34" s="34" t="s">
        <v>114</v>
      </c>
      <c r="AK34" s="49" t="s">
        <v>28</v>
      </c>
      <c r="AL34" s="19" t="s">
        <v>54</v>
      </c>
      <c r="AM34" s="19" t="s">
        <v>80</v>
      </c>
      <c r="AN34" s="23" t="s">
        <v>84</v>
      </c>
      <c r="AO34" s="24">
        <v>460</v>
      </c>
      <c r="AP34" s="34" t="s">
        <v>115</v>
      </c>
      <c r="AQ34" s="49" t="s">
        <v>28</v>
      </c>
      <c r="AR34" s="19" t="s">
        <v>54</v>
      </c>
      <c r="AS34" s="19" t="s">
        <v>80</v>
      </c>
      <c r="AT34" s="23" t="s">
        <v>84</v>
      </c>
      <c r="AU34" s="24">
        <v>260</v>
      </c>
      <c r="AV34" s="34" t="s">
        <v>116</v>
      </c>
      <c r="AW34" s="49" t="s">
        <v>28</v>
      </c>
      <c r="AX34" s="19" t="s">
        <v>54</v>
      </c>
      <c r="AY34" s="19" t="s">
        <v>80</v>
      </c>
      <c r="AZ34" s="23" t="s">
        <v>84</v>
      </c>
      <c r="BA34" s="24">
        <v>230</v>
      </c>
      <c r="BB34" s="34" t="s">
        <v>117</v>
      </c>
      <c r="BC34" s="49" t="s">
        <v>28</v>
      </c>
      <c r="BD34" s="19" t="s">
        <v>54</v>
      </c>
      <c r="BE34" s="19" t="s">
        <v>80</v>
      </c>
      <c r="BF34" s="23" t="s">
        <v>84</v>
      </c>
      <c r="BG34" s="24">
        <v>190</v>
      </c>
      <c r="BH34" s="34" t="s">
        <v>118</v>
      </c>
      <c r="BI34" s="49" t="s">
        <v>28</v>
      </c>
      <c r="BJ34" s="19" t="s">
        <v>54</v>
      </c>
      <c r="BK34" s="19" t="s">
        <v>80</v>
      </c>
      <c r="BL34" s="23" t="s">
        <v>84</v>
      </c>
      <c r="BM34" s="24">
        <v>140</v>
      </c>
      <c r="BN34" s="34" t="s">
        <v>119</v>
      </c>
      <c r="BO34" s="49" t="s">
        <v>28</v>
      </c>
      <c r="BP34" s="19" t="s">
        <v>54</v>
      </c>
      <c r="BQ34" s="19" t="s">
        <v>80</v>
      </c>
      <c r="BR34" s="23" t="s">
        <v>84</v>
      </c>
      <c r="BS34" s="24">
        <v>210</v>
      </c>
      <c r="BT34" s="34" t="s">
        <v>120</v>
      </c>
    </row>
    <row r="35" spans="1:72" ht="12" customHeight="1" x14ac:dyDescent="0.15">
      <c r="A35" s="49" t="s">
        <v>28</v>
      </c>
      <c r="B35" s="19" t="s">
        <v>54</v>
      </c>
      <c r="C35" s="19" t="s">
        <v>80</v>
      </c>
      <c r="D35" s="23" t="s">
        <v>6</v>
      </c>
      <c r="E35" s="24">
        <v>760</v>
      </c>
      <c r="F35" s="35" t="s">
        <v>112</v>
      </c>
      <c r="G35" s="49" t="s">
        <v>28</v>
      </c>
      <c r="H35" s="19" t="s">
        <v>54</v>
      </c>
      <c r="I35" s="19" t="s">
        <v>80</v>
      </c>
      <c r="J35" s="23" t="s">
        <v>6</v>
      </c>
      <c r="K35" s="24">
        <v>930</v>
      </c>
      <c r="L35" s="35" t="s">
        <v>105</v>
      </c>
      <c r="M35" s="49" t="s">
        <v>28</v>
      </c>
      <c r="N35" s="19" t="s">
        <v>54</v>
      </c>
      <c r="O35" s="19" t="s">
        <v>80</v>
      </c>
      <c r="P35" s="23" t="s">
        <v>6</v>
      </c>
      <c r="Q35" s="25">
        <v>1100</v>
      </c>
      <c r="R35" s="35" t="s">
        <v>113</v>
      </c>
      <c r="S35" s="49" t="s">
        <v>28</v>
      </c>
      <c r="T35" s="19" t="s">
        <v>54</v>
      </c>
      <c r="U35" s="19" t="s">
        <v>80</v>
      </c>
      <c r="V35" s="23" t="s">
        <v>6</v>
      </c>
      <c r="W35" s="24">
        <v>860</v>
      </c>
      <c r="X35" s="35" t="s">
        <v>168</v>
      </c>
      <c r="Y35" s="49" t="s">
        <v>28</v>
      </c>
      <c r="Z35" s="19" t="s">
        <v>54</v>
      </c>
      <c r="AA35" s="19" t="s">
        <v>80</v>
      </c>
      <c r="AB35" s="23" t="s">
        <v>6</v>
      </c>
      <c r="AC35" s="24">
        <v>720</v>
      </c>
      <c r="AD35" s="35" t="s">
        <v>169</v>
      </c>
      <c r="AE35" s="49" t="s">
        <v>28</v>
      </c>
      <c r="AF35" s="19" t="s">
        <v>54</v>
      </c>
      <c r="AG35" s="19" t="s">
        <v>80</v>
      </c>
      <c r="AH35" s="23" t="s">
        <v>6</v>
      </c>
      <c r="AI35" s="24">
        <v>500</v>
      </c>
      <c r="AJ35" s="35" t="s">
        <v>114</v>
      </c>
      <c r="AK35" s="49" t="s">
        <v>28</v>
      </c>
      <c r="AL35" s="19" t="s">
        <v>54</v>
      </c>
      <c r="AM35" s="19" t="s">
        <v>80</v>
      </c>
      <c r="AN35" s="23" t="s">
        <v>6</v>
      </c>
      <c r="AO35" s="24">
        <v>670</v>
      </c>
      <c r="AP35" s="35" t="s">
        <v>115</v>
      </c>
      <c r="AQ35" s="49" t="s">
        <v>28</v>
      </c>
      <c r="AR35" s="19" t="s">
        <v>54</v>
      </c>
      <c r="AS35" s="19" t="s">
        <v>80</v>
      </c>
      <c r="AT35" s="23" t="s">
        <v>6</v>
      </c>
      <c r="AU35" s="24">
        <v>380</v>
      </c>
      <c r="AV35" s="35" t="s">
        <v>116</v>
      </c>
      <c r="AW35" s="49" t="s">
        <v>28</v>
      </c>
      <c r="AX35" s="19" t="s">
        <v>54</v>
      </c>
      <c r="AY35" s="19" t="s">
        <v>80</v>
      </c>
      <c r="AZ35" s="23" t="s">
        <v>6</v>
      </c>
      <c r="BA35" s="24">
        <v>326</v>
      </c>
      <c r="BB35" s="35" t="s">
        <v>117</v>
      </c>
      <c r="BC35" s="49" t="s">
        <v>28</v>
      </c>
      <c r="BD35" s="19" t="s">
        <v>54</v>
      </c>
      <c r="BE35" s="19" t="s">
        <v>80</v>
      </c>
      <c r="BF35" s="23" t="s">
        <v>6</v>
      </c>
      <c r="BG35" s="24">
        <v>264</v>
      </c>
      <c r="BH35" s="35" t="s">
        <v>118</v>
      </c>
      <c r="BI35" s="49" t="s">
        <v>28</v>
      </c>
      <c r="BJ35" s="19" t="s">
        <v>54</v>
      </c>
      <c r="BK35" s="19" t="s">
        <v>80</v>
      </c>
      <c r="BL35" s="23" t="s">
        <v>6</v>
      </c>
      <c r="BM35" s="24">
        <v>203</v>
      </c>
      <c r="BN35" s="35" t="s">
        <v>119</v>
      </c>
      <c r="BO35" s="49" t="s">
        <v>28</v>
      </c>
      <c r="BP35" s="19" t="s">
        <v>54</v>
      </c>
      <c r="BQ35" s="19" t="s">
        <v>80</v>
      </c>
      <c r="BR35" s="23" t="s">
        <v>6</v>
      </c>
      <c r="BS35" s="24">
        <v>290</v>
      </c>
      <c r="BT35" s="35" t="s">
        <v>120</v>
      </c>
    </row>
    <row r="36" spans="1:72" ht="12" customHeight="1" x14ac:dyDescent="0.15">
      <c r="A36" s="49" t="s">
        <v>28</v>
      </c>
      <c r="B36" s="19" t="s">
        <v>85</v>
      </c>
      <c r="C36" s="22" t="s">
        <v>62</v>
      </c>
      <c r="D36" s="23" t="s">
        <v>83</v>
      </c>
      <c r="E36" s="24">
        <v>140</v>
      </c>
      <c r="F36" s="29" t="s">
        <v>121</v>
      </c>
      <c r="G36" s="49" t="s">
        <v>28</v>
      </c>
      <c r="H36" s="19" t="s">
        <v>85</v>
      </c>
      <c r="I36" s="22" t="s">
        <v>62</v>
      </c>
      <c r="J36" s="23" t="s">
        <v>83</v>
      </c>
      <c r="K36" s="24">
        <v>160</v>
      </c>
      <c r="L36" s="29" t="s">
        <v>122</v>
      </c>
      <c r="M36" s="49" t="s">
        <v>28</v>
      </c>
      <c r="N36" s="19" t="s">
        <v>85</v>
      </c>
      <c r="O36" s="22" t="s">
        <v>62</v>
      </c>
      <c r="P36" s="23" t="s">
        <v>83</v>
      </c>
      <c r="Q36" s="24">
        <v>120</v>
      </c>
      <c r="R36" s="29" t="s">
        <v>123</v>
      </c>
      <c r="S36" s="49" t="s">
        <v>28</v>
      </c>
      <c r="T36" s="19" t="s">
        <v>85</v>
      </c>
      <c r="U36" s="22" t="s">
        <v>62</v>
      </c>
      <c r="V36" s="23" t="s">
        <v>83</v>
      </c>
      <c r="W36" s="24">
        <v>100</v>
      </c>
      <c r="X36" s="29" t="s">
        <v>189</v>
      </c>
      <c r="Y36" s="49" t="s">
        <v>28</v>
      </c>
      <c r="Z36" s="19" t="s">
        <v>85</v>
      </c>
      <c r="AA36" s="22" t="s">
        <v>62</v>
      </c>
      <c r="AB36" s="23" t="s">
        <v>83</v>
      </c>
      <c r="AC36" s="24">
        <v>130</v>
      </c>
      <c r="AD36" s="29" t="s">
        <v>124</v>
      </c>
      <c r="AE36" s="49" t="s">
        <v>28</v>
      </c>
      <c r="AF36" s="19" t="s">
        <v>85</v>
      </c>
      <c r="AG36" s="22" t="s">
        <v>62</v>
      </c>
      <c r="AH36" s="23" t="s">
        <v>83</v>
      </c>
      <c r="AI36" s="24">
        <v>75</v>
      </c>
      <c r="AJ36" s="29" t="s">
        <v>125</v>
      </c>
      <c r="AK36" s="49" t="s">
        <v>28</v>
      </c>
      <c r="AL36" s="19" t="s">
        <v>85</v>
      </c>
      <c r="AM36" s="22" t="s">
        <v>62</v>
      </c>
      <c r="AN36" s="23" t="s">
        <v>83</v>
      </c>
      <c r="AO36" s="24">
        <v>37</v>
      </c>
      <c r="AP36" s="29" t="s">
        <v>126</v>
      </c>
      <c r="AQ36" s="49" t="s">
        <v>28</v>
      </c>
      <c r="AR36" s="19" t="s">
        <v>85</v>
      </c>
      <c r="AS36" s="22" t="s">
        <v>62</v>
      </c>
      <c r="AT36" s="23" t="s">
        <v>83</v>
      </c>
      <c r="AU36" s="24">
        <v>190</v>
      </c>
      <c r="AV36" s="29" t="s">
        <v>127</v>
      </c>
      <c r="AW36" s="49" t="s">
        <v>28</v>
      </c>
      <c r="AX36" s="19" t="s">
        <v>85</v>
      </c>
      <c r="AY36" s="22" t="s">
        <v>62</v>
      </c>
      <c r="AZ36" s="23" t="s">
        <v>83</v>
      </c>
      <c r="BA36" s="24">
        <v>46</v>
      </c>
      <c r="BB36" s="29" t="s">
        <v>128</v>
      </c>
      <c r="BC36" s="49" t="s">
        <v>28</v>
      </c>
      <c r="BD36" s="19" t="s">
        <v>85</v>
      </c>
      <c r="BE36" s="22" t="s">
        <v>62</v>
      </c>
      <c r="BF36" s="23" t="s">
        <v>83</v>
      </c>
      <c r="BG36" s="24">
        <v>19</v>
      </c>
      <c r="BH36" s="29" t="s">
        <v>129</v>
      </c>
      <c r="BI36" s="49" t="s">
        <v>28</v>
      </c>
      <c r="BJ36" s="19" t="s">
        <v>85</v>
      </c>
      <c r="BK36" s="22" t="s">
        <v>62</v>
      </c>
      <c r="BL36" s="23" t="s">
        <v>83</v>
      </c>
      <c r="BM36" s="24">
        <v>13</v>
      </c>
      <c r="BN36" s="29" t="s">
        <v>130</v>
      </c>
      <c r="BO36" s="49" t="s">
        <v>28</v>
      </c>
      <c r="BP36" s="19" t="s">
        <v>85</v>
      </c>
      <c r="BQ36" s="22" t="s">
        <v>62</v>
      </c>
      <c r="BR36" s="23" t="s">
        <v>83</v>
      </c>
      <c r="BS36" s="24">
        <v>18</v>
      </c>
      <c r="BT36" s="29" t="s">
        <v>131</v>
      </c>
    </row>
    <row r="37" spans="1:72" ht="12" customHeight="1" x14ac:dyDescent="0.15">
      <c r="A37" s="49" t="s">
        <v>28</v>
      </c>
      <c r="B37" s="19" t="s">
        <v>85</v>
      </c>
      <c r="C37" s="19" t="s">
        <v>62</v>
      </c>
      <c r="D37" s="23" t="s">
        <v>84</v>
      </c>
      <c r="E37" s="24">
        <v>260</v>
      </c>
      <c r="F37" s="34" t="s">
        <v>121</v>
      </c>
      <c r="G37" s="49" t="s">
        <v>28</v>
      </c>
      <c r="H37" s="19" t="s">
        <v>85</v>
      </c>
      <c r="I37" s="19" t="s">
        <v>62</v>
      </c>
      <c r="J37" s="23" t="s">
        <v>84</v>
      </c>
      <c r="K37" s="24">
        <v>320</v>
      </c>
      <c r="L37" s="34" t="s">
        <v>122</v>
      </c>
      <c r="M37" s="49" t="s">
        <v>28</v>
      </c>
      <c r="N37" s="19" t="s">
        <v>85</v>
      </c>
      <c r="O37" s="19" t="s">
        <v>62</v>
      </c>
      <c r="P37" s="23" t="s">
        <v>84</v>
      </c>
      <c r="Q37" s="24">
        <v>260</v>
      </c>
      <c r="R37" s="34" t="s">
        <v>123</v>
      </c>
      <c r="S37" s="49" t="s">
        <v>28</v>
      </c>
      <c r="T37" s="19" t="s">
        <v>85</v>
      </c>
      <c r="U37" s="19" t="s">
        <v>62</v>
      </c>
      <c r="V37" s="23" t="s">
        <v>84</v>
      </c>
      <c r="W37" s="24">
        <v>230</v>
      </c>
      <c r="X37" s="34" t="s">
        <v>189</v>
      </c>
      <c r="Y37" s="49" t="s">
        <v>28</v>
      </c>
      <c r="Z37" s="19" t="s">
        <v>85</v>
      </c>
      <c r="AA37" s="19" t="s">
        <v>62</v>
      </c>
      <c r="AB37" s="23" t="s">
        <v>84</v>
      </c>
      <c r="AC37" s="24">
        <v>280</v>
      </c>
      <c r="AD37" s="34" t="s">
        <v>124</v>
      </c>
      <c r="AE37" s="49" t="s">
        <v>28</v>
      </c>
      <c r="AF37" s="19" t="s">
        <v>85</v>
      </c>
      <c r="AG37" s="19" t="s">
        <v>62</v>
      </c>
      <c r="AH37" s="23" t="s">
        <v>84</v>
      </c>
      <c r="AI37" s="24">
        <v>160</v>
      </c>
      <c r="AJ37" s="34" t="s">
        <v>125</v>
      </c>
      <c r="AK37" s="49" t="s">
        <v>28</v>
      </c>
      <c r="AL37" s="19" t="s">
        <v>85</v>
      </c>
      <c r="AM37" s="19" t="s">
        <v>62</v>
      </c>
      <c r="AN37" s="23" t="s">
        <v>84</v>
      </c>
      <c r="AO37" s="24">
        <v>89</v>
      </c>
      <c r="AP37" s="34" t="s">
        <v>126</v>
      </c>
      <c r="AQ37" s="49" t="s">
        <v>28</v>
      </c>
      <c r="AR37" s="19" t="s">
        <v>85</v>
      </c>
      <c r="AS37" s="19" t="s">
        <v>62</v>
      </c>
      <c r="AT37" s="23" t="s">
        <v>84</v>
      </c>
      <c r="AU37" s="26">
        <v>440</v>
      </c>
      <c r="AV37" s="34" t="s">
        <v>127</v>
      </c>
      <c r="AW37" s="49" t="s">
        <v>28</v>
      </c>
      <c r="AX37" s="19" t="s">
        <v>85</v>
      </c>
      <c r="AY37" s="19" t="s">
        <v>62</v>
      </c>
      <c r="AZ37" s="23" t="s">
        <v>84</v>
      </c>
      <c r="BA37" s="24">
        <v>120</v>
      </c>
      <c r="BB37" s="34" t="s">
        <v>128</v>
      </c>
      <c r="BC37" s="49" t="s">
        <v>28</v>
      </c>
      <c r="BD37" s="19" t="s">
        <v>85</v>
      </c>
      <c r="BE37" s="19" t="s">
        <v>62</v>
      </c>
      <c r="BF37" s="23" t="s">
        <v>84</v>
      </c>
      <c r="BG37" s="24">
        <v>54</v>
      </c>
      <c r="BH37" s="34" t="s">
        <v>129</v>
      </c>
      <c r="BI37" s="49" t="s">
        <v>28</v>
      </c>
      <c r="BJ37" s="19" t="s">
        <v>85</v>
      </c>
      <c r="BK37" s="19" t="s">
        <v>62</v>
      </c>
      <c r="BL37" s="23" t="s">
        <v>84</v>
      </c>
      <c r="BM37" s="24">
        <v>36</v>
      </c>
      <c r="BN37" s="34" t="s">
        <v>130</v>
      </c>
      <c r="BO37" s="49" t="s">
        <v>28</v>
      </c>
      <c r="BP37" s="19" t="s">
        <v>85</v>
      </c>
      <c r="BQ37" s="19" t="s">
        <v>62</v>
      </c>
      <c r="BR37" s="23" t="s">
        <v>84</v>
      </c>
      <c r="BS37" s="24">
        <v>40</v>
      </c>
      <c r="BT37" s="34" t="s">
        <v>131</v>
      </c>
    </row>
    <row r="38" spans="1:72" ht="12" customHeight="1" x14ac:dyDescent="0.15">
      <c r="A38" s="49" t="s">
        <v>28</v>
      </c>
      <c r="B38" s="19" t="s">
        <v>85</v>
      </c>
      <c r="C38" s="19" t="s">
        <v>62</v>
      </c>
      <c r="D38" s="23" t="s">
        <v>6</v>
      </c>
      <c r="E38" s="24">
        <v>400</v>
      </c>
      <c r="F38" s="35" t="s">
        <v>121</v>
      </c>
      <c r="G38" s="49" t="s">
        <v>28</v>
      </c>
      <c r="H38" s="19" t="s">
        <v>85</v>
      </c>
      <c r="I38" s="19" t="s">
        <v>62</v>
      </c>
      <c r="J38" s="23" t="s">
        <v>6</v>
      </c>
      <c r="K38" s="24">
        <v>480</v>
      </c>
      <c r="L38" s="35" t="s">
        <v>122</v>
      </c>
      <c r="M38" s="49" t="s">
        <v>28</v>
      </c>
      <c r="N38" s="19" t="s">
        <v>85</v>
      </c>
      <c r="O38" s="19" t="s">
        <v>62</v>
      </c>
      <c r="P38" s="23" t="s">
        <v>6</v>
      </c>
      <c r="Q38" s="24">
        <v>380</v>
      </c>
      <c r="R38" s="35" t="s">
        <v>123</v>
      </c>
      <c r="S38" s="49" t="s">
        <v>28</v>
      </c>
      <c r="T38" s="19" t="s">
        <v>85</v>
      </c>
      <c r="U38" s="19" t="s">
        <v>62</v>
      </c>
      <c r="V38" s="23" t="s">
        <v>6</v>
      </c>
      <c r="W38" s="24">
        <v>330</v>
      </c>
      <c r="X38" s="35" t="s">
        <v>189</v>
      </c>
      <c r="Y38" s="49" t="s">
        <v>28</v>
      </c>
      <c r="Z38" s="19" t="s">
        <v>85</v>
      </c>
      <c r="AA38" s="19" t="s">
        <v>62</v>
      </c>
      <c r="AB38" s="23" t="s">
        <v>6</v>
      </c>
      <c r="AC38" s="24">
        <v>410</v>
      </c>
      <c r="AD38" s="35" t="s">
        <v>124</v>
      </c>
      <c r="AE38" s="49" t="s">
        <v>28</v>
      </c>
      <c r="AF38" s="19" t="s">
        <v>85</v>
      </c>
      <c r="AG38" s="19" t="s">
        <v>62</v>
      </c>
      <c r="AH38" s="23" t="s">
        <v>6</v>
      </c>
      <c r="AI38" s="24">
        <v>235</v>
      </c>
      <c r="AJ38" s="35" t="s">
        <v>125</v>
      </c>
      <c r="AK38" s="49" t="s">
        <v>28</v>
      </c>
      <c r="AL38" s="19" t="s">
        <v>85</v>
      </c>
      <c r="AM38" s="19" t="s">
        <v>62</v>
      </c>
      <c r="AN38" s="23" t="s">
        <v>6</v>
      </c>
      <c r="AO38" s="24">
        <v>126</v>
      </c>
      <c r="AP38" s="35" t="s">
        <v>126</v>
      </c>
      <c r="AQ38" s="49" t="s">
        <v>28</v>
      </c>
      <c r="AR38" s="19" t="s">
        <v>85</v>
      </c>
      <c r="AS38" s="19" t="s">
        <v>62</v>
      </c>
      <c r="AT38" s="23" t="s">
        <v>6</v>
      </c>
      <c r="AU38" s="24">
        <v>630</v>
      </c>
      <c r="AV38" s="35" t="s">
        <v>127</v>
      </c>
      <c r="AW38" s="49" t="s">
        <v>28</v>
      </c>
      <c r="AX38" s="19" t="s">
        <v>85</v>
      </c>
      <c r="AY38" s="19" t="s">
        <v>62</v>
      </c>
      <c r="AZ38" s="23" t="s">
        <v>6</v>
      </c>
      <c r="BA38" s="24">
        <v>166</v>
      </c>
      <c r="BB38" s="35" t="s">
        <v>128</v>
      </c>
      <c r="BC38" s="49" t="s">
        <v>28</v>
      </c>
      <c r="BD38" s="19" t="s">
        <v>85</v>
      </c>
      <c r="BE38" s="19" t="s">
        <v>62</v>
      </c>
      <c r="BF38" s="23" t="s">
        <v>6</v>
      </c>
      <c r="BG38" s="24">
        <v>73</v>
      </c>
      <c r="BH38" s="35" t="s">
        <v>129</v>
      </c>
      <c r="BI38" s="49" t="s">
        <v>28</v>
      </c>
      <c r="BJ38" s="19" t="s">
        <v>85</v>
      </c>
      <c r="BK38" s="19" t="s">
        <v>62</v>
      </c>
      <c r="BL38" s="23" t="s">
        <v>6</v>
      </c>
      <c r="BM38" s="24">
        <v>49</v>
      </c>
      <c r="BN38" s="35" t="s">
        <v>130</v>
      </c>
      <c r="BO38" s="49" t="s">
        <v>28</v>
      </c>
      <c r="BP38" s="19" t="s">
        <v>85</v>
      </c>
      <c r="BQ38" s="19" t="s">
        <v>62</v>
      </c>
      <c r="BR38" s="23" t="s">
        <v>6</v>
      </c>
      <c r="BS38" s="24">
        <v>58</v>
      </c>
      <c r="BT38" s="35" t="s">
        <v>131</v>
      </c>
    </row>
    <row r="39" spans="1:72" ht="12" customHeight="1" x14ac:dyDescent="0.15">
      <c r="A39" s="49" t="s">
        <v>28</v>
      </c>
      <c r="B39" s="19" t="s">
        <v>85</v>
      </c>
      <c r="C39" s="22" t="s">
        <v>80</v>
      </c>
      <c r="D39" s="23" t="s">
        <v>83</v>
      </c>
      <c r="E39" s="24">
        <v>530</v>
      </c>
      <c r="F39" s="29" t="s">
        <v>121</v>
      </c>
      <c r="G39" s="49" t="s">
        <v>28</v>
      </c>
      <c r="H39" s="19" t="s">
        <v>85</v>
      </c>
      <c r="I39" s="22" t="s">
        <v>80</v>
      </c>
      <c r="J39" s="23" t="s">
        <v>83</v>
      </c>
      <c r="K39" s="24">
        <v>560</v>
      </c>
      <c r="L39" s="29" t="s">
        <v>122</v>
      </c>
      <c r="M39" s="49" t="s">
        <v>28</v>
      </c>
      <c r="N39" s="19" t="s">
        <v>85</v>
      </c>
      <c r="O39" s="22" t="s">
        <v>80</v>
      </c>
      <c r="P39" s="23" t="s">
        <v>83</v>
      </c>
      <c r="Q39" s="24">
        <v>420</v>
      </c>
      <c r="R39" s="29" t="s">
        <v>123</v>
      </c>
      <c r="S39" s="49" t="s">
        <v>28</v>
      </c>
      <c r="T39" s="19" t="s">
        <v>85</v>
      </c>
      <c r="U39" s="22" t="s">
        <v>80</v>
      </c>
      <c r="V39" s="23" t="s">
        <v>83</v>
      </c>
      <c r="W39" s="24">
        <v>340</v>
      </c>
      <c r="X39" s="29" t="s">
        <v>189</v>
      </c>
      <c r="Y39" s="49" t="s">
        <v>28</v>
      </c>
      <c r="Z39" s="19" t="s">
        <v>85</v>
      </c>
      <c r="AA39" s="22" t="s">
        <v>80</v>
      </c>
      <c r="AB39" s="23" t="s">
        <v>83</v>
      </c>
      <c r="AC39" s="24">
        <v>390</v>
      </c>
      <c r="AD39" s="29" t="s">
        <v>124</v>
      </c>
      <c r="AE39" s="49" t="s">
        <v>28</v>
      </c>
      <c r="AF39" s="19" t="s">
        <v>85</v>
      </c>
      <c r="AG39" s="22" t="s">
        <v>80</v>
      </c>
      <c r="AH39" s="23" t="s">
        <v>83</v>
      </c>
      <c r="AI39" s="24">
        <v>240</v>
      </c>
      <c r="AJ39" s="29" t="s">
        <v>125</v>
      </c>
      <c r="AK39" s="49" t="s">
        <v>28</v>
      </c>
      <c r="AL39" s="19" t="s">
        <v>85</v>
      </c>
      <c r="AM39" s="22" t="s">
        <v>80</v>
      </c>
      <c r="AN39" s="23" t="s">
        <v>83</v>
      </c>
      <c r="AO39" s="24">
        <v>170</v>
      </c>
      <c r="AP39" s="29" t="s">
        <v>126</v>
      </c>
      <c r="AQ39" s="49" t="s">
        <v>28</v>
      </c>
      <c r="AR39" s="19" t="s">
        <v>85</v>
      </c>
      <c r="AS39" s="22" t="s">
        <v>80</v>
      </c>
      <c r="AT39" s="23" t="s">
        <v>83</v>
      </c>
      <c r="AU39" s="24">
        <v>330</v>
      </c>
      <c r="AV39" s="29" t="s">
        <v>127</v>
      </c>
      <c r="AW39" s="49" t="s">
        <v>28</v>
      </c>
      <c r="AX39" s="19" t="s">
        <v>85</v>
      </c>
      <c r="AY39" s="22" t="s">
        <v>80</v>
      </c>
      <c r="AZ39" s="23" t="s">
        <v>83</v>
      </c>
      <c r="BA39" s="24">
        <v>190</v>
      </c>
      <c r="BB39" s="29" t="s">
        <v>128</v>
      </c>
      <c r="BC39" s="49" t="s">
        <v>28</v>
      </c>
      <c r="BD39" s="19" t="s">
        <v>85</v>
      </c>
      <c r="BE39" s="22" t="s">
        <v>80</v>
      </c>
      <c r="BF39" s="23" t="s">
        <v>83</v>
      </c>
      <c r="BG39" s="24">
        <v>110</v>
      </c>
      <c r="BH39" s="29" t="s">
        <v>129</v>
      </c>
      <c r="BI39" s="49" t="s">
        <v>28</v>
      </c>
      <c r="BJ39" s="19" t="s">
        <v>85</v>
      </c>
      <c r="BK39" s="22" t="s">
        <v>80</v>
      </c>
      <c r="BL39" s="23" t="s">
        <v>83</v>
      </c>
      <c r="BM39" s="24">
        <v>82</v>
      </c>
      <c r="BN39" s="29" t="s">
        <v>130</v>
      </c>
      <c r="BO39" s="49" t="s">
        <v>28</v>
      </c>
      <c r="BP39" s="19" t="s">
        <v>85</v>
      </c>
      <c r="BQ39" s="22" t="s">
        <v>80</v>
      </c>
      <c r="BR39" s="23" t="s">
        <v>83</v>
      </c>
      <c r="BS39" s="24">
        <v>100</v>
      </c>
      <c r="BT39" s="29" t="s">
        <v>131</v>
      </c>
    </row>
    <row r="40" spans="1:72" ht="12" customHeight="1" x14ac:dyDescent="0.15">
      <c r="A40" s="49" t="s">
        <v>28</v>
      </c>
      <c r="B40" s="19" t="s">
        <v>85</v>
      </c>
      <c r="C40" s="19" t="s">
        <v>80</v>
      </c>
      <c r="D40" s="23" t="s">
        <v>84</v>
      </c>
      <c r="E40" s="25">
        <v>1000</v>
      </c>
      <c r="F40" s="34" t="s">
        <v>121</v>
      </c>
      <c r="G40" s="49" t="s">
        <v>28</v>
      </c>
      <c r="H40" s="19" t="s">
        <v>85</v>
      </c>
      <c r="I40" s="19" t="s">
        <v>80</v>
      </c>
      <c r="J40" s="23" t="s">
        <v>84</v>
      </c>
      <c r="K40" s="25">
        <v>1200</v>
      </c>
      <c r="L40" s="34" t="s">
        <v>122</v>
      </c>
      <c r="M40" s="49" t="s">
        <v>28</v>
      </c>
      <c r="N40" s="19" t="s">
        <v>85</v>
      </c>
      <c r="O40" s="19" t="s">
        <v>80</v>
      </c>
      <c r="P40" s="23" t="s">
        <v>84</v>
      </c>
      <c r="Q40" s="24">
        <v>850</v>
      </c>
      <c r="R40" s="34" t="s">
        <v>123</v>
      </c>
      <c r="S40" s="49" t="s">
        <v>28</v>
      </c>
      <c r="T40" s="19" t="s">
        <v>85</v>
      </c>
      <c r="U40" s="19" t="s">
        <v>80</v>
      </c>
      <c r="V40" s="23" t="s">
        <v>84</v>
      </c>
      <c r="W40" s="24">
        <v>750</v>
      </c>
      <c r="X40" s="34" t="s">
        <v>189</v>
      </c>
      <c r="Y40" s="49" t="s">
        <v>28</v>
      </c>
      <c r="Z40" s="19" t="s">
        <v>85</v>
      </c>
      <c r="AA40" s="19" t="s">
        <v>80</v>
      </c>
      <c r="AB40" s="23" t="s">
        <v>84</v>
      </c>
      <c r="AC40" s="24">
        <v>830</v>
      </c>
      <c r="AD40" s="34" t="s">
        <v>124</v>
      </c>
      <c r="AE40" s="49" t="s">
        <v>28</v>
      </c>
      <c r="AF40" s="19" t="s">
        <v>85</v>
      </c>
      <c r="AG40" s="19" t="s">
        <v>80</v>
      </c>
      <c r="AH40" s="23" t="s">
        <v>84</v>
      </c>
      <c r="AI40" s="24">
        <v>520</v>
      </c>
      <c r="AJ40" s="34" t="s">
        <v>125</v>
      </c>
      <c r="AK40" s="49" t="s">
        <v>28</v>
      </c>
      <c r="AL40" s="19" t="s">
        <v>85</v>
      </c>
      <c r="AM40" s="19" t="s">
        <v>80</v>
      </c>
      <c r="AN40" s="23" t="s">
        <v>84</v>
      </c>
      <c r="AO40" s="24">
        <v>410</v>
      </c>
      <c r="AP40" s="34" t="s">
        <v>126</v>
      </c>
      <c r="AQ40" s="49" t="s">
        <v>28</v>
      </c>
      <c r="AR40" s="19" t="s">
        <v>85</v>
      </c>
      <c r="AS40" s="19" t="s">
        <v>80</v>
      </c>
      <c r="AT40" s="23" t="s">
        <v>84</v>
      </c>
      <c r="AU40" s="24">
        <v>790</v>
      </c>
      <c r="AV40" s="34" t="s">
        <v>127</v>
      </c>
      <c r="AW40" s="49" t="s">
        <v>28</v>
      </c>
      <c r="AX40" s="19" t="s">
        <v>85</v>
      </c>
      <c r="AY40" s="19" t="s">
        <v>80</v>
      </c>
      <c r="AZ40" s="23" t="s">
        <v>84</v>
      </c>
      <c r="BA40" s="24">
        <v>460</v>
      </c>
      <c r="BB40" s="34" t="s">
        <v>128</v>
      </c>
      <c r="BC40" s="49" t="s">
        <v>28</v>
      </c>
      <c r="BD40" s="19" t="s">
        <v>85</v>
      </c>
      <c r="BE40" s="19" t="s">
        <v>80</v>
      </c>
      <c r="BF40" s="23" t="s">
        <v>84</v>
      </c>
      <c r="BG40" s="24">
        <v>260</v>
      </c>
      <c r="BH40" s="34" t="s">
        <v>129</v>
      </c>
      <c r="BI40" s="49" t="s">
        <v>28</v>
      </c>
      <c r="BJ40" s="19" t="s">
        <v>85</v>
      </c>
      <c r="BK40" s="19" t="s">
        <v>80</v>
      </c>
      <c r="BL40" s="23" t="s">
        <v>84</v>
      </c>
      <c r="BM40" s="24">
        <v>230</v>
      </c>
      <c r="BN40" s="34" t="s">
        <v>130</v>
      </c>
      <c r="BO40" s="49" t="s">
        <v>28</v>
      </c>
      <c r="BP40" s="19" t="s">
        <v>85</v>
      </c>
      <c r="BQ40" s="19" t="s">
        <v>80</v>
      </c>
      <c r="BR40" s="23" t="s">
        <v>84</v>
      </c>
      <c r="BS40" s="24">
        <v>250</v>
      </c>
      <c r="BT40" s="34" t="s">
        <v>131</v>
      </c>
    </row>
    <row r="41" spans="1:72" ht="12" customHeight="1" x14ac:dyDescent="0.15">
      <c r="A41" s="49" t="s">
        <v>28</v>
      </c>
      <c r="B41" s="19" t="s">
        <v>85</v>
      </c>
      <c r="C41" s="19" t="s">
        <v>80</v>
      </c>
      <c r="D41" s="23" t="s">
        <v>6</v>
      </c>
      <c r="E41" s="25">
        <v>1530</v>
      </c>
      <c r="F41" s="35" t="s">
        <v>121</v>
      </c>
      <c r="G41" s="49" t="s">
        <v>28</v>
      </c>
      <c r="H41" s="19" t="s">
        <v>85</v>
      </c>
      <c r="I41" s="19" t="s">
        <v>80</v>
      </c>
      <c r="J41" s="23" t="s">
        <v>6</v>
      </c>
      <c r="K41" s="25">
        <v>1760</v>
      </c>
      <c r="L41" s="35" t="s">
        <v>122</v>
      </c>
      <c r="M41" s="49" t="s">
        <v>28</v>
      </c>
      <c r="N41" s="19" t="s">
        <v>85</v>
      </c>
      <c r="O41" s="19" t="s">
        <v>80</v>
      </c>
      <c r="P41" s="23" t="s">
        <v>6</v>
      </c>
      <c r="Q41" s="25">
        <v>1270</v>
      </c>
      <c r="R41" s="35" t="s">
        <v>123</v>
      </c>
      <c r="S41" s="49" t="s">
        <v>28</v>
      </c>
      <c r="T41" s="19" t="s">
        <v>85</v>
      </c>
      <c r="U41" s="19" t="s">
        <v>80</v>
      </c>
      <c r="V41" s="23" t="s">
        <v>6</v>
      </c>
      <c r="W41" s="25">
        <v>1090</v>
      </c>
      <c r="X41" s="35" t="s">
        <v>189</v>
      </c>
      <c r="Y41" s="49" t="s">
        <v>28</v>
      </c>
      <c r="Z41" s="19" t="s">
        <v>85</v>
      </c>
      <c r="AA41" s="19" t="s">
        <v>80</v>
      </c>
      <c r="AB41" s="23" t="s">
        <v>6</v>
      </c>
      <c r="AC41" s="25">
        <v>1220</v>
      </c>
      <c r="AD41" s="35" t="s">
        <v>124</v>
      </c>
      <c r="AE41" s="49" t="s">
        <v>28</v>
      </c>
      <c r="AF41" s="19" t="s">
        <v>85</v>
      </c>
      <c r="AG41" s="19" t="s">
        <v>80</v>
      </c>
      <c r="AH41" s="23" t="s">
        <v>6</v>
      </c>
      <c r="AI41" s="24">
        <v>760</v>
      </c>
      <c r="AJ41" s="35" t="s">
        <v>125</v>
      </c>
      <c r="AK41" s="49" t="s">
        <v>28</v>
      </c>
      <c r="AL41" s="19" t="s">
        <v>85</v>
      </c>
      <c r="AM41" s="19" t="s">
        <v>80</v>
      </c>
      <c r="AN41" s="23" t="s">
        <v>6</v>
      </c>
      <c r="AO41" s="24">
        <v>580</v>
      </c>
      <c r="AP41" s="35" t="s">
        <v>126</v>
      </c>
      <c r="AQ41" s="49" t="s">
        <v>28</v>
      </c>
      <c r="AR41" s="19" t="s">
        <v>85</v>
      </c>
      <c r="AS41" s="19" t="s">
        <v>80</v>
      </c>
      <c r="AT41" s="23" t="s">
        <v>6</v>
      </c>
      <c r="AU41" s="25">
        <v>1120</v>
      </c>
      <c r="AV41" s="35" t="s">
        <v>127</v>
      </c>
      <c r="AW41" s="49" t="s">
        <v>28</v>
      </c>
      <c r="AX41" s="19" t="s">
        <v>85</v>
      </c>
      <c r="AY41" s="19" t="s">
        <v>80</v>
      </c>
      <c r="AZ41" s="23" t="s">
        <v>6</v>
      </c>
      <c r="BA41" s="24">
        <v>650</v>
      </c>
      <c r="BB41" s="35" t="s">
        <v>128</v>
      </c>
      <c r="BC41" s="49" t="s">
        <v>28</v>
      </c>
      <c r="BD41" s="19" t="s">
        <v>85</v>
      </c>
      <c r="BE41" s="19" t="s">
        <v>80</v>
      </c>
      <c r="BF41" s="23" t="s">
        <v>6</v>
      </c>
      <c r="BG41" s="24">
        <v>370</v>
      </c>
      <c r="BH41" s="35" t="s">
        <v>129</v>
      </c>
      <c r="BI41" s="49" t="s">
        <v>28</v>
      </c>
      <c r="BJ41" s="19" t="s">
        <v>85</v>
      </c>
      <c r="BK41" s="19" t="s">
        <v>80</v>
      </c>
      <c r="BL41" s="23" t="s">
        <v>6</v>
      </c>
      <c r="BM41" s="24">
        <v>312</v>
      </c>
      <c r="BN41" s="35" t="s">
        <v>130</v>
      </c>
      <c r="BO41" s="49" t="s">
        <v>28</v>
      </c>
      <c r="BP41" s="19" t="s">
        <v>85</v>
      </c>
      <c r="BQ41" s="19" t="s">
        <v>80</v>
      </c>
      <c r="BR41" s="23" t="s">
        <v>6</v>
      </c>
      <c r="BS41" s="24">
        <v>350</v>
      </c>
      <c r="BT41" s="35" t="s">
        <v>131</v>
      </c>
    </row>
    <row r="42" spans="1:72" ht="12" customHeight="1" x14ac:dyDescent="0.15">
      <c r="A42" s="49" t="s">
        <v>28</v>
      </c>
      <c r="B42" s="19" t="s">
        <v>56</v>
      </c>
      <c r="C42" s="22" t="s">
        <v>81</v>
      </c>
      <c r="D42" s="23" t="s">
        <v>83</v>
      </c>
      <c r="E42" s="24">
        <v>330</v>
      </c>
      <c r="F42" s="29" t="s">
        <v>132</v>
      </c>
      <c r="G42" s="49" t="s">
        <v>28</v>
      </c>
      <c r="H42" s="19" t="s">
        <v>56</v>
      </c>
      <c r="I42" s="22" t="s">
        <v>81</v>
      </c>
      <c r="J42" s="23" t="s">
        <v>83</v>
      </c>
      <c r="K42" s="24">
        <v>320</v>
      </c>
      <c r="L42" s="29" t="s">
        <v>133</v>
      </c>
      <c r="M42" s="49" t="s">
        <v>28</v>
      </c>
      <c r="N42" s="19" t="s">
        <v>56</v>
      </c>
      <c r="O42" s="22" t="s">
        <v>81</v>
      </c>
      <c r="P42" s="23" t="s">
        <v>83</v>
      </c>
      <c r="Q42" s="24">
        <v>290</v>
      </c>
      <c r="R42" s="29" t="s">
        <v>134</v>
      </c>
      <c r="S42" s="49" t="s">
        <v>28</v>
      </c>
      <c r="T42" s="19" t="s">
        <v>56</v>
      </c>
      <c r="U42" s="22" t="s">
        <v>81</v>
      </c>
      <c r="V42" s="23" t="s">
        <v>83</v>
      </c>
      <c r="W42" s="24">
        <v>250</v>
      </c>
      <c r="X42" s="29" t="s">
        <v>187</v>
      </c>
      <c r="Y42" s="49" t="s">
        <v>28</v>
      </c>
      <c r="Z42" s="19" t="s">
        <v>56</v>
      </c>
      <c r="AA42" s="22" t="s">
        <v>81</v>
      </c>
      <c r="AB42" s="23" t="s">
        <v>83</v>
      </c>
      <c r="AC42" s="24">
        <v>220</v>
      </c>
      <c r="AD42" s="29" t="s">
        <v>135</v>
      </c>
      <c r="AE42" s="49" t="s">
        <v>28</v>
      </c>
      <c r="AF42" s="19" t="s">
        <v>56</v>
      </c>
      <c r="AG42" s="22" t="s">
        <v>81</v>
      </c>
      <c r="AH42" s="23" t="s">
        <v>83</v>
      </c>
      <c r="AI42" s="24">
        <v>160</v>
      </c>
      <c r="AJ42" s="29" t="s">
        <v>136</v>
      </c>
      <c r="AK42" s="49" t="s">
        <v>28</v>
      </c>
      <c r="AL42" s="19" t="s">
        <v>56</v>
      </c>
      <c r="AM42" s="22" t="s">
        <v>81</v>
      </c>
      <c r="AN42" s="23" t="s">
        <v>83</v>
      </c>
      <c r="AO42" s="24">
        <v>190</v>
      </c>
      <c r="AP42" s="29" t="s">
        <v>137</v>
      </c>
      <c r="AQ42" s="49" t="s">
        <v>28</v>
      </c>
      <c r="AR42" s="19" t="s">
        <v>56</v>
      </c>
      <c r="AS42" s="22" t="s">
        <v>81</v>
      </c>
      <c r="AT42" s="23" t="s">
        <v>83</v>
      </c>
      <c r="AU42" s="24">
        <v>150</v>
      </c>
      <c r="AV42" s="29" t="s">
        <v>138</v>
      </c>
      <c r="AW42" s="49" t="s">
        <v>28</v>
      </c>
      <c r="AX42" s="19" t="s">
        <v>56</v>
      </c>
      <c r="AY42" s="22" t="s">
        <v>81</v>
      </c>
      <c r="AZ42" s="23" t="s">
        <v>83</v>
      </c>
      <c r="BA42" s="24">
        <v>270</v>
      </c>
      <c r="BB42" s="29" t="s">
        <v>139</v>
      </c>
      <c r="BC42" s="49" t="s">
        <v>28</v>
      </c>
      <c r="BD42" s="19" t="s">
        <v>56</v>
      </c>
      <c r="BE42" s="22" t="s">
        <v>81</v>
      </c>
      <c r="BF42" s="23" t="s">
        <v>83</v>
      </c>
      <c r="BG42" s="24">
        <v>220</v>
      </c>
      <c r="BH42" s="29" t="s">
        <v>109</v>
      </c>
      <c r="BI42" s="49" t="s">
        <v>28</v>
      </c>
      <c r="BJ42" s="19" t="s">
        <v>56</v>
      </c>
      <c r="BK42" s="22" t="s">
        <v>81</v>
      </c>
      <c r="BL42" s="23" t="s">
        <v>83</v>
      </c>
      <c r="BM42" s="24">
        <v>200</v>
      </c>
      <c r="BN42" s="29" t="s">
        <v>130</v>
      </c>
      <c r="BO42" s="49" t="s">
        <v>28</v>
      </c>
      <c r="BP42" s="19" t="s">
        <v>56</v>
      </c>
      <c r="BQ42" s="22" t="s">
        <v>81</v>
      </c>
      <c r="BR42" s="23" t="s">
        <v>83</v>
      </c>
      <c r="BS42" s="24">
        <v>160</v>
      </c>
      <c r="BT42" s="29" t="s">
        <v>140</v>
      </c>
    </row>
    <row r="43" spans="1:72" ht="12" customHeight="1" x14ac:dyDescent="0.15">
      <c r="A43" s="49" t="s">
        <v>28</v>
      </c>
      <c r="B43" s="19" t="s">
        <v>56</v>
      </c>
      <c r="C43" s="19" t="s">
        <v>81</v>
      </c>
      <c r="D43" s="23" t="s">
        <v>84</v>
      </c>
      <c r="E43" s="26">
        <v>640</v>
      </c>
      <c r="F43" s="34" t="s">
        <v>132</v>
      </c>
      <c r="G43" s="49" t="s">
        <v>28</v>
      </c>
      <c r="H43" s="19" t="s">
        <v>56</v>
      </c>
      <c r="I43" s="19" t="s">
        <v>81</v>
      </c>
      <c r="J43" s="23" t="s">
        <v>84</v>
      </c>
      <c r="K43" s="24">
        <v>670</v>
      </c>
      <c r="L43" s="34" t="s">
        <v>133</v>
      </c>
      <c r="M43" s="49" t="s">
        <v>28</v>
      </c>
      <c r="N43" s="19" t="s">
        <v>56</v>
      </c>
      <c r="O43" s="19" t="s">
        <v>81</v>
      </c>
      <c r="P43" s="23" t="s">
        <v>84</v>
      </c>
      <c r="Q43" s="24">
        <v>590</v>
      </c>
      <c r="R43" s="34" t="s">
        <v>134</v>
      </c>
      <c r="S43" s="49" t="s">
        <v>28</v>
      </c>
      <c r="T43" s="19" t="s">
        <v>56</v>
      </c>
      <c r="U43" s="19" t="s">
        <v>81</v>
      </c>
      <c r="V43" s="23" t="s">
        <v>84</v>
      </c>
      <c r="W43" s="24">
        <v>530</v>
      </c>
      <c r="X43" s="34" t="s">
        <v>187</v>
      </c>
      <c r="Y43" s="49" t="s">
        <v>28</v>
      </c>
      <c r="Z43" s="19" t="s">
        <v>56</v>
      </c>
      <c r="AA43" s="19" t="s">
        <v>81</v>
      </c>
      <c r="AB43" s="23" t="s">
        <v>84</v>
      </c>
      <c r="AC43" s="24">
        <v>450</v>
      </c>
      <c r="AD43" s="34" t="s">
        <v>135</v>
      </c>
      <c r="AE43" s="49" t="s">
        <v>28</v>
      </c>
      <c r="AF43" s="19" t="s">
        <v>56</v>
      </c>
      <c r="AG43" s="19" t="s">
        <v>81</v>
      </c>
      <c r="AH43" s="23" t="s">
        <v>84</v>
      </c>
      <c r="AI43" s="24">
        <v>370</v>
      </c>
      <c r="AJ43" s="34" t="s">
        <v>136</v>
      </c>
      <c r="AK43" s="49" t="s">
        <v>28</v>
      </c>
      <c r="AL43" s="19" t="s">
        <v>56</v>
      </c>
      <c r="AM43" s="19" t="s">
        <v>81</v>
      </c>
      <c r="AN43" s="23" t="s">
        <v>84</v>
      </c>
      <c r="AO43" s="24">
        <v>410</v>
      </c>
      <c r="AP43" s="34" t="s">
        <v>137</v>
      </c>
      <c r="AQ43" s="49" t="s">
        <v>28</v>
      </c>
      <c r="AR43" s="19" t="s">
        <v>56</v>
      </c>
      <c r="AS43" s="19" t="s">
        <v>81</v>
      </c>
      <c r="AT43" s="23" t="s">
        <v>84</v>
      </c>
      <c r="AU43" s="24">
        <v>360</v>
      </c>
      <c r="AV43" s="34" t="s">
        <v>138</v>
      </c>
      <c r="AW43" s="49" t="s">
        <v>28</v>
      </c>
      <c r="AX43" s="19" t="s">
        <v>56</v>
      </c>
      <c r="AY43" s="19" t="s">
        <v>81</v>
      </c>
      <c r="AZ43" s="23" t="s">
        <v>84</v>
      </c>
      <c r="BA43" s="24">
        <v>630</v>
      </c>
      <c r="BB43" s="34" t="s">
        <v>139</v>
      </c>
      <c r="BC43" s="49" t="s">
        <v>28</v>
      </c>
      <c r="BD43" s="19" t="s">
        <v>56</v>
      </c>
      <c r="BE43" s="19" t="s">
        <v>81</v>
      </c>
      <c r="BF43" s="23" t="s">
        <v>84</v>
      </c>
      <c r="BG43" s="23">
        <v>540</v>
      </c>
      <c r="BH43" s="34" t="s">
        <v>109</v>
      </c>
      <c r="BI43" s="49" t="s">
        <v>28</v>
      </c>
      <c r="BJ43" s="19" t="s">
        <v>56</v>
      </c>
      <c r="BK43" s="19" t="s">
        <v>81</v>
      </c>
      <c r="BL43" s="23" t="s">
        <v>84</v>
      </c>
      <c r="BM43" s="24">
        <v>490</v>
      </c>
      <c r="BN43" s="34" t="s">
        <v>130</v>
      </c>
      <c r="BO43" s="49" t="s">
        <v>28</v>
      </c>
      <c r="BP43" s="19" t="s">
        <v>56</v>
      </c>
      <c r="BQ43" s="19" t="s">
        <v>81</v>
      </c>
      <c r="BR43" s="23" t="s">
        <v>84</v>
      </c>
      <c r="BS43" s="24">
        <v>430</v>
      </c>
      <c r="BT43" s="34" t="s">
        <v>140</v>
      </c>
    </row>
    <row r="44" spans="1:72" ht="12" customHeight="1" x14ac:dyDescent="0.15">
      <c r="A44" s="49" t="s">
        <v>28</v>
      </c>
      <c r="B44" s="19" t="s">
        <v>56</v>
      </c>
      <c r="C44" s="19" t="s">
        <v>81</v>
      </c>
      <c r="D44" s="23" t="s">
        <v>6</v>
      </c>
      <c r="E44" s="24">
        <v>970</v>
      </c>
      <c r="F44" s="35" t="s">
        <v>132</v>
      </c>
      <c r="G44" s="49" t="s">
        <v>28</v>
      </c>
      <c r="H44" s="19" t="s">
        <v>56</v>
      </c>
      <c r="I44" s="19" t="s">
        <v>81</v>
      </c>
      <c r="J44" s="23" t="s">
        <v>6</v>
      </c>
      <c r="K44" s="24">
        <v>990</v>
      </c>
      <c r="L44" s="35" t="s">
        <v>133</v>
      </c>
      <c r="M44" s="49" t="s">
        <v>28</v>
      </c>
      <c r="N44" s="19" t="s">
        <v>56</v>
      </c>
      <c r="O44" s="19" t="s">
        <v>81</v>
      </c>
      <c r="P44" s="23" t="s">
        <v>6</v>
      </c>
      <c r="Q44" s="24">
        <v>880</v>
      </c>
      <c r="R44" s="35" t="s">
        <v>134</v>
      </c>
      <c r="S44" s="49" t="s">
        <v>28</v>
      </c>
      <c r="T44" s="19" t="s">
        <v>56</v>
      </c>
      <c r="U44" s="19" t="s">
        <v>81</v>
      </c>
      <c r="V44" s="23" t="s">
        <v>6</v>
      </c>
      <c r="W44" s="24">
        <v>780</v>
      </c>
      <c r="X44" s="35" t="s">
        <v>187</v>
      </c>
      <c r="Y44" s="49" t="s">
        <v>28</v>
      </c>
      <c r="Z44" s="19" t="s">
        <v>56</v>
      </c>
      <c r="AA44" s="19" t="s">
        <v>81</v>
      </c>
      <c r="AB44" s="23" t="s">
        <v>6</v>
      </c>
      <c r="AC44" s="24">
        <v>670</v>
      </c>
      <c r="AD44" s="35" t="s">
        <v>135</v>
      </c>
      <c r="AE44" s="49" t="s">
        <v>28</v>
      </c>
      <c r="AF44" s="19" t="s">
        <v>56</v>
      </c>
      <c r="AG44" s="19" t="s">
        <v>81</v>
      </c>
      <c r="AH44" s="23" t="s">
        <v>6</v>
      </c>
      <c r="AI44" s="24">
        <v>530</v>
      </c>
      <c r="AJ44" s="35" t="s">
        <v>136</v>
      </c>
      <c r="AK44" s="49" t="s">
        <v>28</v>
      </c>
      <c r="AL44" s="19" t="s">
        <v>56</v>
      </c>
      <c r="AM44" s="19" t="s">
        <v>81</v>
      </c>
      <c r="AN44" s="23" t="s">
        <v>6</v>
      </c>
      <c r="AO44" s="24">
        <v>600</v>
      </c>
      <c r="AP44" s="35" t="s">
        <v>137</v>
      </c>
      <c r="AQ44" s="49" t="s">
        <v>28</v>
      </c>
      <c r="AR44" s="19" t="s">
        <v>56</v>
      </c>
      <c r="AS44" s="19" t="s">
        <v>81</v>
      </c>
      <c r="AT44" s="23" t="s">
        <v>6</v>
      </c>
      <c r="AU44" s="24">
        <v>510</v>
      </c>
      <c r="AV44" s="35" t="s">
        <v>138</v>
      </c>
      <c r="AW44" s="49" t="s">
        <v>28</v>
      </c>
      <c r="AX44" s="19" t="s">
        <v>56</v>
      </c>
      <c r="AY44" s="19" t="s">
        <v>81</v>
      </c>
      <c r="AZ44" s="23" t="s">
        <v>6</v>
      </c>
      <c r="BA44" s="24">
        <v>900</v>
      </c>
      <c r="BB44" s="35" t="s">
        <v>139</v>
      </c>
      <c r="BC44" s="49" t="s">
        <v>28</v>
      </c>
      <c r="BD44" s="19" t="s">
        <v>56</v>
      </c>
      <c r="BE44" s="19" t="s">
        <v>81</v>
      </c>
      <c r="BF44" s="23" t="s">
        <v>6</v>
      </c>
      <c r="BG44" s="24">
        <v>760</v>
      </c>
      <c r="BH44" s="35" t="s">
        <v>109</v>
      </c>
      <c r="BI44" s="49" t="s">
        <v>28</v>
      </c>
      <c r="BJ44" s="19" t="s">
        <v>56</v>
      </c>
      <c r="BK44" s="19" t="s">
        <v>81</v>
      </c>
      <c r="BL44" s="23" t="s">
        <v>6</v>
      </c>
      <c r="BM44" s="24">
        <v>690</v>
      </c>
      <c r="BN44" s="35" t="s">
        <v>130</v>
      </c>
      <c r="BO44" s="49" t="s">
        <v>28</v>
      </c>
      <c r="BP44" s="19" t="s">
        <v>56</v>
      </c>
      <c r="BQ44" s="19" t="s">
        <v>81</v>
      </c>
      <c r="BR44" s="23" t="s">
        <v>6</v>
      </c>
      <c r="BS44" s="24">
        <v>590</v>
      </c>
      <c r="BT44" s="35" t="s">
        <v>140</v>
      </c>
    </row>
    <row r="45" spans="1:72" ht="12" customHeight="1" x14ac:dyDescent="0.15">
      <c r="A45" s="49" t="s">
        <v>28</v>
      </c>
      <c r="B45" s="19" t="s">
        <v>86</v>
      </c>
      <c r="C45" s="22" t="s">
        <v>53</v>
      </c>
      <c r="D45" s="23" t="s">
        <v>83</v>
      </c>
      <c r="E45" s="26">
        <v>1.5</v>
      </c>
      <c r="F45" s="29" t="s">
        <v>141</v>
      </c>
      <c r="G45" s="49" t="s">
        <v>28</v>
      </c>
      <c r="H45" s="19" t="s">
        <v>86</v>
      </c>
      <c r="I45" s="22" t="s">
        <v>53</v>
      </c>
      <c r="J45" s="23" t="s">
        <v>83</v>
      </c>
      <c r="K45" s="26">
        <v>1.4</v>
      </c>
      <c r="L45" s="29" t="s">
        <v>142</v>
      </c>
      <c r="M45" s="49" t="s">
        <v>28</v>
      </c>
      <c r="N45" s="19" t="s">
        <v>86</v>
      </c>
      <c r="O45" s="22" t="s">
        <v>53</v>
      </c>
      <c r="P45" s="23" t="s">
        <v>83</v>
      </c>
      <c r="Q45" s="27">
        <v>1.3</v>
      </c>
      <c r="R45" s="29" t="s">
        <v>106</v>
      </c>
      <c r="S45" s="49" t="s">
        <v>28</v>
      </c>
      <c r="T45" s="19" t="s">
        <v>86</v>
      </c>
      <c r="U45" s="22" t="s">
        <v>53</v>
      </c>
      <c r="V45" s="23" t="s">
        <v>83</v>
      </c>
      <c r="W45" s="23">
        <v>7.2</v>
      </c>
      <c r="X45" s="29" t="s">
        <v>190</v>
      </c>
      <c r="Y45" s="49" t="s">
        <v>28</v>
      </c>
      <c r="Z45" s="19" t="s">
        <v>86</v>
      </c>
      <c r="AA45" s="22" t="s">
        <v>53</v>
      </c>
      <c r="AB45" s="23" t="s">
        <v>83</v>
      </c>
      <c r="AC45" s="27">
        <v>6.1</v>
      </c>
      <c r="AD45" s="29" t="s">
        <v>124</v>
      </c>
      <c r="AE45" s="49" t="s">
        <v>28</v>
      </c>
      <c r="AF45" s="19" t="s">
        <v>86</v>
      </c>
      <c r="AG45" s="22" t="s">
        <v>53</v>
      </c>
      <c r="AH45" s="23" t="s">
        <v>83</v>
      </c>
      <c r="AI45" s="24">
        <v>53</v>
      </c>
      <c r="AJ45" s="29" t="s">
        <v>143</v>
      </c>
      <c r="AK45" s="49" t="s">
        <v>28</v>
      </c>
      <c r="AL45" s="19" t="s">
        <v>86</v>
      </c>
      <c r="AM45" s="22" t="s">
        <v>53</v>
      </c>
      <c r="AN45" s="23" t="s">
        <v>83</v>
      </c>
      <c r="AO45" s="27">
        <v>4</v>
      </c>
      <c r="AP45" s="29" t="s">
        <v>144</v>
      </c>
      <c r="AQ45" s="49" t="s">
        <v>28</v>
      </c>
      <c r="AR45" s="19" t="s">
        <v>86</v>
      </c>
      <c r="AS45" s="22" t="s">
        <v>53</v>
      </c>
      <c r="AT45" s="23" t="s">
        <v>83</v>
      </c>
      <c r="AU45" s="27">
        <v>2</v>
      </c>
      <c r="AV45" s="29" t="s">
        <v>145</v>
      </c>
      <c r="AW45" s="49" t="s">
        <v>28</v>
      </c>
      <c r="AX45" s="19" t="s">
        <v>86</v>
      </c>
      <c r="AY45" s="22" t="s">
        <v>53</v>
      </c>
      <c r="AZ45" s="23" t="s">
        <v>83</v>
      </c>
      <c r="BA45" s="27">
        <v>2.1</v>
      </c>
      <c r="BB45" s="29" t="s">
        <v>128</v>
      </c>
      <c r="BC45" s="49" t="s">
        <v>28</v>
      </c>
      <c r="BD45" s="19" t="s">
        <v>86</v>
      </c>
      <c r="BE45" s="22" t="s">
        <v>53</v>
      </c>
      <c r="BF45" s="23" t="s">
        <v>83</v>
      </c>
      <c r="BG45" s="27">
        <v>2.6</v>
      </c>
      <c r="BH45" s="29" t="s">
        <v>146</v>
      </c>
      <c r="BI45" s="49" t="s">
        <v>28</v>
      </c>
      <c r="BJ45" s="19" t="s">
        <v>86</v>
      </c>
      <c r="BK45" s="22" t="s">
        <v>53</v>
      </c>
      <c r="BL45" s="23" t="s">
        <v>83</v>
      </c>
      <c r="BM45" s="27">
        <v>2.2999999999999998</v>
      </c>
      <c r="BN45" s="29" t="s">
        <v>147</v>
      </c>
      <c r="BO45" s="49" t="s">
        <v>28</v>
      </c>
      <c r="BP45" s="19" t="s">
        <v>86</v>
      </c>
      <c r="BQ45" s="22" t="s">
        <v>53</v>
      </c>
      <c r="BR45" s="23" t="s">
        <v>83</v>
      </c>
      <c r="BS45" s="46">
        <v>3.5</v>
      </c>
      <c r="BT45" s="29" t="s">
        <v>148</v>
      </c>
    </row>
    <row r="46" spans="1:72" ht="12" customHeight="1" x14ac:dyDescent="0.15">
      <c r="A46" s="49" t="s">
        <v>28</v>
      </c>
      <c r="B46" s="19" t="s">
        <v>86</v>
      </c>
      <c r="C46" s="19" t="s">
        <v>53</v>
      </c>
      <c r="D46" s="23" t="s">
        <v>84</v>
      </c>
      <c r="E46" s="24">
        <v>3.3</v>
      </c>
      <c r="F46" s="34" t="s">
        <v>141</v>
      </c>
      <c r="G46" s="49" t="s">
        <v>28</v>
      </c>
      <c r="H46" s="19" t="s">
        <v>86</v>
      </c>
      <c r="I46" s="19" t="s">
        <v>53</v>
      </c>
      <c r="J46" s="23" t="s">
        <v>84</v>
      </c>
      <c r="K46" s="27">
        <v>3.2</v>
      </c>
      <c r="L46" s="34" t="s">
        <v>142</v>
      </c>
      <c r="M46" s="49" t="s">
        <v>28</v>
      </c>
      <c r="N46" s="19" t="s">
        <v>86</v>
      </c>
      <c r="O46" s="19" t="s">
        <v>53</v>
      </c>
      <c r="P46" s="23" t="s">
        <v>84</v>
      </c>
      <c r="Q46" s="27">
        <v>3.3</v>
      </c>
      <c r="R46" s="34" t="s">
        <v>106</v>
      </c>
      <c r="S46" s="49" t="s">
        <v>28</v>
      </c>
      <c r="T46" s="19" t="s">
        <v>86</v>
      </c>
      <c r="U46" s="19" t="s">
        <v>53</v>
      </c>
      <c r="V46" s="23" t="s">
        <v>84</v>
      </c>
      <c r="W46" s="24">
        <v>16</v>
      </c>
      <c r="X46" s="34" t="s">
        <v>190</v>
      </c>
      <c r="Y46" s="49" t="s">
        <v>28</v>
      </c>
      <c r="Z46" s="19" t="s">
        <v>86</v>
      </c>
      <c r="AA46" s="19" t="s">
        <v>53</v>
      </c>
      <c r="AB46" s="23" t="s">
        <v>84</v>
      </c>
      <c r="AC46" s="24">
        <v>15</v>
      </c>
      <c r="AD46" s="34" t="s">
        <v>124</v>
      </c>
      <c r="AE46" s="49" t="s">
        <v>28</v>
      </c>
      <c r="AF46" s="19" t="s">
        <v>86</v>
      </c>
      <c r="AG46" s="19" t="s">
        <v>53</v>
      </c>
      <c r="AH46" s="23" t="s">
        <v>84</v>
      </c>
      <c r="AI46" s="24">
        <v>14</v>
      </c>
      <c r="AJ46" s="34" t="s">
        <v>143</v>
      </c>
      <c r="AK46" s="49" t="s">
        <v>28</v>
      </c>
      <c r="AL46" s="19" t="s">
        <v>86</v>
      </c>
      <c r="AM46" s="19" t="s">
        <v>53</v>
      </c>
      <c r="AN46" s="23" t="s">
        <v>84</v>
      </c>
      <c r="AO46" s="27">
        <v>9.1999999999999993</v>
      </c>
      <c r="AP46" s="34" t="s">
        <v>144</v>
      </c>
      <c r="AQ46" s="49" t="s">
        <v>28</v>
      </c>
      <c r="AR46" s="19" t="s">
        <v>86</v>
      </c>
      <c r="AS46" s="19" t="s">
        <v>53</v>
      </c>
      <c r="AT46" s="23" t="s">
        <v>84</v>
      </c>
      <c r="AU46" s="36">
        <v>6.7</v>
      </c>
      <c r="AV46" s="34" t="s">
        <v>145</v>
      </c>
      <c r="AW46" s="49" t="s">
        <v>28</v>
      </c>
      <c r="AX46" s="19" t="s">
        <v>86</v>
      </c>
      <c r="AY46" s="19" t="s">
        <v>53</v>
      </c>
      <c r="AZ46" s="23" t="s">
        <v>84</v>
      </c>
      <c r="BA46" s="27">
        <v>4.9000000000000004</v>
      </c>
      <c r="BB46" s="34" t="s">
        <v>128</v>
      </c>
      <c r="BC46" s="49" t="s">
        <v>28</v>
      </c>
      <c r="BD46" s="19" t="s">
        <v>86</v>
      </c>
      <c r="BE46" s="19" t="s">
        <v>53</v>
      </c>
      <c r="BF46" s="23" t="s">
        <v>84</v>
      </c>
      <c r="BG46" s="23">
        <v>7.8</v>
      </c>
      <c r="BH46" s="34" t="s">
        <v>146</v>
      </c>
      <c r="BI46" s="49" t="s">
        <v>28</v>
      </c>
      <c r="BJ46" s="19" t="s">
        <v>86</v>
      </c>
      <c r="BK46" s="19" t="s">
        <v>53</v>
      </c>
      <c r="BL46" s="23" t="s">
        <v>84</v>
      </c>
      <c r="BM46" s="46">
        <v>5.3</v>
      </c>
      <c r="BN46" s="34" t="s">
        <v>147</v>
      </c>
      <c r="BO46" s="49" t="s">
        <v>28</v>
      </c>
      <c r="BP46" s="19" t="s">
        <v>86</v>
      </c>
      <c r="BQ46" s="19" t="s">
        <v>53</v>
      </c>
      <c r="BR46" s="23" t="s">
        <v>84</v>
      </c>
      <c r="BS46" s="46">
        <v>8.6999999999999993</v>
      </c>
      <c r="BT46" s="34" t="s">
        <v>148</v>
      </c>
    </row>
    <row r="47" spans="1:72" ht="12" customHeight="1" x14ac:dyDescent="0.15">
      <c r="A47" s="49" t="s">
        <v>28</v>
      </c>
      <c r="B47" s="19" t="s">
        <v>86</v>
      </c>
      <c r="C47" s="19" t="s">
        <v>53</v>
      </c>
      <c r="D47" s="23" t="s">
        <v>6</v>
      </c>
      <c r="E47" s="27">
        <v>4.8</v>
      </c>
      <c r="F47" s="35" t="s">
        <v>141</v>
      </c>
      <c r="G47" s="49" t="s">
        <v>28</v>
      </c>
      <c r="H47" s="19" t="s">
        <v>86</v>
      </c>
      <c r="I47" s="19" t="s">
        <v>53</v>
      </c>
      <c r="J47" s="23" t="s">
        <v>6</v>
      </c>
      <c r="K47" s="27">
        <v>4.5999999999999996</v>
      </c>
      <c r="L47" s="35" t="s">
        <v>142</v>
      </c>
      <c r="M47" s="49" t="s">
        <v>28</v>
      </c>
      <c r="N47" s="19" t="s">
        <v>86</v>
      </c>
      <c r="O47" s="19" t="s">
        <v>53</v>
      </c>
      <c r="P47" s="23" t="s">
        <v>6</v>
      </c>
      <c r="Q47" s="27">
        <v>4.5999999999999996</v>
      </c>
      <c r="R47" s="35" t="s">
        <v>106</v>
      </c>
      <c r="S47" s="49" t="s">
        <v>28</v>
      </c>
      <c r="T47" s="19" t="s">
        <v>86</v>
      </c>
      <c r="U47" s="19" t="s">
        <v>53</v>
      </c>
      <c r="V47" s="23" t="s">
        <v>6</v>
      </c>
      <c r="W47" s="27">
        <v>23.2</v>
      </c>
      <c r="X47" s="35" t="s">
        <v>190</v>
      </c>
      <c r="Y47" s="49" t="s">
        <v>28</v>
      </c>
      <c r="Z47" s="19" t="s">
        <v>86</v>
      </c>
      <c r="AA47" s="19" t="s">
        <v>53</v>
      </c>
      <c r="AB47" s="23" t="s">
        <v>6</v>
      </c>
      <c r="AC47" s="27">
        <v>21.1</v>
      </c>
      <c r="AD47" s="35" t="s">
        <v>124</v>
      </c>
      <c r="AE47" s="49" t="s">
        <v>28</v>
      </c>
      <c r="AF47" s="19" t="s">
        <v>86</v>
      </c>
      <c r="AG47" s="19" t="s">
        <v>53</v>
      </c>
      <c r="AH47" s="23" t="s">
        <v>6</v>
      </c>
      <c r="AI47" s="27">
        <v>19.3</v>
      </c>
      <c r="AJ47" s="35" t="s">
        <v>143</v>
      </c>
      <c r="AK47" s="49" t="s">
        <v>28</v>
      </c>
      <c r="AL47" s="19" t="s">
        <v>86</v>
      </c>
      <c r="AM47" s="19" t="s">
        <v>53</v>
      </c>
      <c r="AN47" s="23" t="s">
        <v>6</v>
      </c>
      <c r="AO47" s="27">
        <v>13.2</v>
      </c>
      <c r="AP47" s="35" t="s">
        <v>144</v>
      </c>
      <c r="AQ47" s="49" t="s">
        <v>28</v>
      </c>
      <c r="AR47" s="19" t="s">
        <v>86</v>
      </c>
      <c r="AS47" s="19" t="s">
        <v>53</v>
      </c>
      <c r="AT47" s="23" t="s">
        <v>6</v>
      </c>
      <c r="AU47" s="27">
        <v>8.6999999999999993</v>
      </c>
      <c r="AV47" s="35" t="s">
        <v>145</v>
      </c>
      <c r="AW47" s="49" t="s">
        <v>28</v>
      </c>
      <c r="AX47" s="19" t="s">
        <v>86</v>
      </c>
      <c r="AY47" s="19" t="s">
        <v>53</v>
      </c>
      <c r="AZ47" s="23" t="s">
        <v>6</v>
      </c>
      <c r="BA47" s="23">
        <v>7</v>
      </c>
      <c r="BB47" s="35" t="s">
        <v>128</v>
      </c>
      <c r="BC47" s="49" t="s">
        <v>28</v>
      </c>
      <c r="BD47" s="19" t="s">
        <v>86</v>
      </c>
      <c r="BE47" s="19" t="s">
        <v>53</v>
      </c>
      <c r="BF47" s="23" t="s">
        <v>6</v>
      </c>
      <c r="BG47" s="27">
        <v>10.4</v>
      </c>
      <c r="BH47" s="35" t="s">
        <v>146</v>
      </c>
      <c r="BI47" s="49" t="s">
        <v>28</v>
      </c>
      <c r="BJ47" s="19" t="s">
        <v>86</v>
      </c>
      <c r="BK47" s="19" t="s">
        <v>53</v>
      </c>
      <c r="BL47" s="23" t="s">
        <v>6</v>
      </c>
      <c r="BM47" s="23">
        <v>7.6</v>
      </c>
      <c r="BN47" s="35" t="s">
        <v>147</v>
      </c>
      <c r="BO47" s="49" t="s">
        <v>28</v>
      </c>
      <c r="BP47" s="19" t="s">
        <v>86</v>
      </c>
      <c r="BQ47" s="19" t="s">
        <v>53</v>
      </c>
      <c r="BR47" s="23" t="s">
        <v>6</v>
      </c>
      <c r="BS47" s="27">
        <v>12.2</v>
      </c>
      <c r="BT47" s="35" t="s">
        <v>148</v>
      </c>
    </row>
    <row r="48" spans="1:72" ht="12" customHeight="1" x14ac:dyDescent="0.15">
      <c r="A48" s="49" t="s">
        <v>31</v>
      </c>
      <c r="B48" s="21" t="s">
        <v>54</v>
      </c>
      <c r="C48" s="22" t="s">
        <v>62</v>
      </c>
      <c r="D48" s="23" t="s">
        <v>83</v>
      </c>
      <c r="E48" s="24">
        <v>45</v>
      </c>
      <c r="F48" s="29" t="s">
        <v>141</v>
      </c>
      <c r="G48" s="49" t="s">
        <v>31</v>
      </c>
      <c r="H48" s="21" t="s">
        <v>54</v>
      </c>
      <c r="I48" s="22" t="s">
        <v>62</v>
      </c>
      <c r="J48" s="23" t="s">
        <v>83</v>
      </c>
      <c r="K48" s="24">
        <v>45</v>
      </c>
      <c r="L48" s="29" t="s">
        <v>149</v>
      </c>
      <c r="M48" s="49" t="s">
        <v>31</v>
      </c>
      <c r="N48" s="21" t="s">
        <v>54</v>
      </c>
      <c r="O48" s="22" t="s">
        <v>62</v>
      </c>
      <c r="P48" s="23" t="s">
        <v>83</v>
      </c>
      <c r="Q48" s="24">
        <v>40</v>
      </c>
      <c r="R48" s="29" t="s">
        <v>150</v>
      </c>
      <c r="S48" s="49" t="s">
        <v>31</v>
      </c>
      <c r="T48" s="21" t="s">
        <v>54</v>
      </c>
      <c r="U48" s="22" t="s">
        <v>62</v>
      </c>
      <c r="V48" s="23" t="s">
        <v>83</v>
      </c>
      <c r="W48" s="24">
        <v>50</v>
      </c>
      <c r="X48" s="29" t="s">
        <v>191</v>
      </c>
      <c r="Y48" s="49" t="s">
        <v>31</v>
      </c>
      <c r="Z48" s="21" t="s">
        <v>54</v>
      </c>
      <c r="AA48" s="22" t="s">
        <v>62</v>
      </c>
      <c r="AB48" s="23" t="s">
        <v>83</v>
      </c>
      <c r="AC48" s="24">
        <v>42</v>
      </c>
      <c r="AD48" s="29" t="s">
        <v>169</v>
      </c>
      <c r="AE48" s="49" t="s">
        <v>31</v>
      </c>
      <c r="AF48" s="21" t="s">
        <v>54</v>
      </c>
      <c r="AG48" s="22" t="s">
        <v>62</v>
      </c>
      <c r="AH48" s="23" t="s">
        <v>83</v>
      </c>
      <c r="AI48" s="24">
        <v>30</v>
      </c>
      <c r="AJ48" s="29" t="s">
        <v>151</v>
      </c>
      <c r="AK48" s="49" t="s">
        <v>31</v>
      </c>
      <c r="AL48" s="21" t="s">
        <v>54</v>
      </c>
      <c r="AM48" s="22" t="s">
        <v>62</v>
      </c>
      <c r="AN48" s="23" t="s">
        <v>83</v>
      </c>
      <c r="AO48" s="24">
        <v>32</v>
      </c>
      <c r="AP48" s="29" t="s">
        <v>198</v>
      </c>
      <c r="AQ48" s="49" t="s">
        <v>31</v>
      </c>
      <c r="AR48" s="21" t="s">
        <v>54</v>
      </c>
      <c r="AS48" s="22" t="s">
        <v>62</v>
      </c>
      <c r="AT48" s="23" t="s">
        <v>83</v>
      </c>
      <c r="AU48" s="24">
        <v>23</v>
      </c>
      <c r="AV48" s="29" t="s">
        <v>145</v>
      </c>
      <c r="AW48" s="49" t="s">
        <v>31</v>
      </c>
      <c r="AX48" s="21" t="s">
        <v>54</v>
      </c>
      <c r="AY48" s="22" t="s">
        <v>62</v>
      </c>
      <c r="AZ48" s="23" t="s">
        <v>83</v>
      </c>
      <c r="BA48" s="24">
        <v>14</v>
      </c>
      <c r="BB48" s="29" t="s">
        <v>102</v>
      </c>
      <c r="BC48" s="49" t="s">
        <v>31</v>
      </c>
      <c r="BD48" s="21" t="s">
        <v>54</v>
      </c>
      <c r="BE48" s="22" t="s">
        <v>62</v>
      </c>
      <c r="BF48" s="23" t="s">
        <v>83</v>
      </c>
      <c r="BG48" s="24">
        <v>11</v>
      </c>
      <c r="BH48" s="29" t="s">
        <v>152</v>
      </c>
      <c r="BI48" s="49" t="s">
        <v>31</v>
      </c>
      <c r="BJ48" s="21" t="s">
        <v>54</v>
      </c>
      <c r="BK48" s="22" t="s">
        <v>62</v>
      </c>
      <c r="BL48" s="23" t="s">
        <v>83</v>
      </c>
      <c r="BM48" s="24">
        <v>15</v>
      </c>
      <c r="BN48" s="29" t="s">
        <v>153</v>
      </c>
      <c r="BO48" s="49" t="s">
        <v>31</v>
      </c>
      <c r="BP48" s="21" t="s">
        <v>54</v>
      </c>
      <c r="BQ48" s="22" t="s">
        <v>62</v>
      </c>
      <c r="BR48" s="23" t="s">
        <v>83</v>
      </c>
      <c r="BS48" s="27">
        <v>6.1</v>
      </c>
      <c r="BT48" s="29" t="s">
        <v>154</v>
      </c>
    </row>
    <row r="49" spans="1:72" ht="12" customHeight="1" x14ac:dyDescent="0.15">
      <c r="A49" s="49" t="s">
        <v>31</v>
      </c>
      <c r="B49" s="21" t="s">
        <v>54</v>
      </c>
      <c r="C49" s="22" t="s">
        <v>62</v>
      </c>
      <c r="D49" s="23" t="s">
        <v>84</v>
      </c>
      <c r="E49" s="23">
        <v>110</v>
      </c>
      <c r="F49" s="34" t="s">
        <v>141</v>
      </c>
      <c r="G49" s="49" t="s">
        <v>31</v>
      </c>
      <c r="H49" s="21" t="s">
        <v>54</v>
      </c>
      <c r="I49" s="22" t="s">
        <v>62</v>
      </c>
      <c r="J49" s="23" t="s">
        <v>84</v>
      </c>
      <c r="K49" s="24">
        <v>130</v>
      </c>
      <c r="L49" s="34" t="s">
        <v>149</v>
      </c>
      <c r="M49" s="49" t="s">
        <v>31</v>
      </c>
      <c r="N49" s="21" t="s">
        <v>54</v>
      </c>
      <c r="O49" s="22" t="s">
        <v>62</v>
      </c>
      <c r="P49" s="23" t="s">
        <v>84</v>
      </c>
      <c r="Q49" s="23">
        <v>110</v>
      </c>
      <c r="R49" s="34" t="s">
        <v>150</v>
      </c>
      <c r="S49" s="49" t="s">
        <v>31</v>
      </c>
      <c r="T49" s="21" t="s">
        <v>54</v>
      </c>
      <c r="U49" s="22" t="s">
        <v>62</v>
      </c>
      <c r="V49" s="23" t="s">
        <v>84</v>
      </c>
      <c r="W49" s="24">
        <v>140</v>
      </c>
      <c r="X49" s="34" t="s">
        <v>191</v>
      </c>
      <c r="Y49" s="49" t="s">
        <v>31</v>
      </c>
      <c r="Z49" s="21" t="s">
        <v>54</v>
      </c>
      <c r="AA49" s="22" t="s">
        <v>62</v>
      </c>
      <c r="AB49" s="23" t="s">
        <v>84</v>
      </c>
      <c r="AC49" s="24">
        <v>140</v>
      </c>
      <c r="AD49" s="34" t="s">
        <v>169</v>
      </c>
      <c r="AE49" s="49" t="s">
        <v>31</v>
      </c>
      <c r="AF49" s="21" t="s">
        <v>54</v>
      </c>
      <c r="AG49" s="22" t="s">
        <v>62</v>
      </c>
      <c r="AH49" s="23" t="s">
        <v>84</v>
      </c>
      <c r="AI49" s="24">
        <v>96</v>
      </c>
      <c r="AJ49" s="34" t="s">
        <v>151</v>
      </c>
      <c r="AK49" s="49" t="s">
        <v>31</v>
      </c>
      <c r="AL49" s="21" t="s">
        <v>54</v>
      </c>
      <c r="AM49" s="22" t="s">
        <v>62</v>
      </c>
      <c r="AN49" s="23" t="s">
        <v>84</v>
      </c>
      <c r="AO49" s="24">
        <v>98</v>
      </c>
      <c r="AP49" s="34" t="s">
        <v>198</v>
      </c>
      <c r="AQ49" s="49" t="s">
        <v>31</v>
      </c>
      <c r="AR49" s="21" t="s">
        <v>54</v>
      </c>
      <c r="AS49" s="22" t="s">
        <v>62</v>
      </c>
      <c r="AT49" s="23" t="s">
        <v>84</v>
      </c>
      <c r="AU49" s="24">
        <v>68</v>
      </c>
      <c r="AV49" s="34" t="s">
        <v>145</v>
      </c>
      <c r="AW49" s="49" t="s">
        <v>31</v>
      </c>
      <c r="AX49" s="21" t="s">
        <v>54</v>
      </c>
      <c r="AY49" s="22" t="s">
        <v>62</v>
      </c>
      <c r="AZ49" s="23" t="s">
        <v>84</v>
      </c>
      <c r="BA49" s="24">
        <v>48</v>
      </c>
      <c r="BB49" s="34" t="s">
        <v>102</v>
      </c>
      <c r="BC49" s="49" t="s">
        <v>31</v>
      </c>
      <c r="BD49" s="21" t="s">
        <v>54</v>
      </c>
      <c r="BE49" s="22" t="s">
        <v>62</v>
      </c>
      <c r="BF49" s="23" t="s">
        <v>84</v>
      </c>
      <c r="BG49" s="24">
        <v>36</v>
      </c>
      <c r="BH49" s="34" t="s">
        <v>152</v>
      </c>
      <c r="BI49" s="49" t="s">
        <v>31</v>
      </c>
      <c r="BJ49" s="21" t="s">
        <v>54</v>
      </c>
      <c r="BK49" s="22" t="s">
        <v>62</v>
      </c>
      <c r="BL49" s="23" t="s">
        <v>84</v>
      </c>
      <c r="BM49" s="24">
        <v>49</v>
      </c>
      <c r="BN49" s="34" t="s">
        <v>153</v>
      </c>
      <c r="BO49" s="49" t="s">
        <v>31</v>
      </c>
      <c r="BP49" s="21" t="s">
        <v>54</v>
      </c>
      <c r="BQ49" s="22" t="s">
        <v>62</v>
      </c>
      <c r="BR49" s="23" t="s">
        <v>84</v>
      </c>
      <c r="BS49" s="24">
        <v>22</v>
      </c>
      <c r="BT49" s="34" t="s">
        <v>154</v>
      </c>
    </row>
    <row r="50" spans="1:72" ht="12" customHeight="1" x14ac:dyDescent="0.15">
      <c r="A50" s="49" t="s">
        <v>31</v>
      </c>
      <c r="B50" s="21" t="s">
        <v>54</v>
      </c>
      <c r="C50" s="22" t="s">
        <v>62</v>
      </c>
      <c r="D50" s="23" t="s">
        <v>6</v>
      </c>
      <c r="E50" s="24">
        <v>155</v>
      </c>
      <c r="F50" s="35" t="s">
        <v>141</v>
      </c>
      <c r="G50" s="49" t="s">
        <v>31</v>
      </c>
      <c r="H50" s="21" t="s">
        <v>54</v>
      </c>
      <c r="I50" s="22" t="s">
        <v>62</v>
      </c>
      <c r="J50" s="23" t="s">
        <v>6</v>
      </c>
      <c r="K50" s="24">
        <v>175</v>
      </c>
      <c r="L50" s="35" t="s">
        <v>149</v>
      </c>
      <c r="M50" s="49" t="s">
        <v>31</v>
      </c>
      <c r="N50" s="21" t="s">
        <v>54</v>
      </c>
      <c r="O50" s="22" t="s">
        <v>62</v>
      </c>
      <c r="P50" s="23" t="s">
        <v>6</v>
      </c>
      <c r="Q50" s="24">
        <v>150</v>
      </c>
      <c r="R50" s="35" t="s">
        <v>150</v>
      </c>
      <c r="S50" s="49" t="s">
        <v>31</v>
      </c>
      <c r="T50" s="21" t="s">
        <v>54</v>
      </c>
      <c r="U50" s="22" t="s">
        <v>62</v>
      </c>
      <c r="V50" s="23" t="s">
        <v>6</v>
      </c>
      <c r="W50" s="24">
        <v>190</v>
      </c>
      <c r="X50" s="35" t="s">
        <v>191</v>
      </c>
      <c r="Y50" s="49" t="s">
        <v>31</v>
      </c>
      <c r="Z50" s="21" t="s">
        <v>54</v>
      </c>
      <c r="AA50" s="22" t="s">
        <v>62</v>
      </c>
      <c r="AB50" s="23" t="s">
        <v>6</v>
      </c>
      <c r="AC50" s="24">
        <v>182</v>
      </c>
      <c r="AD50" s="35" t="s">
        <v>169</v>
      </c>
      <c r="AE50" s="49" t="s">
        <v>31</v>
      </c>
      <c r="AF50" s="21" t="s">
        <v>54</v>
      </c>
      <c r="AG50" s="22" t="s">
        <v>62</v>
      </c>
      <c r="AH50" s="23" t="s">
        <v>6</v>
      </c>
      <c r="AI50" s="24">
        <v>126</v>
      </c>
      <c r="AJ50" s="35" t="s">
        <v>151</v>
      </c>
      <c r="AK50" s="49" t="s">
        <v>31</v>
      </c>
      <c r="AL50" s="21" t="s">
        <v>54</v>
      </c>
      <c r="AM50" s="22" t="s">
        <v>62</v>
      </c>
      <c r="AN50" s="23" t="s">
        <v>6</v>
      </c>
      <c r="AO50" s="24">
        <v>130</v>
      </c>
      <c r="AP50" s="35" t="s">
        <v>198</v>
      </c>
      <c r="AQ50" s="49" t="s">
        <v>31</v>
      </c>
      <c r="AR50" s="21" t="s">
        <v>54</v>
      </c>
      <c r="AS50" s="22" t="s">
        <v>62</v>
      </c>
      <c r="AT50" s="23" t="s">
        <v>6</v>
      </c>
      <c r="AU50" s="24">
        <v>91</v>
      </c>
      <c r="AV50" s="35" t="s">
        <v>145</v>
      </c>
      <c r="AW50" s="49" t="s">
        <v>31</v>
      </c>
      <c r="AX50" s="21" t="s">
        <v>54</v>
      </c>
      <c r="AY50" s="22" t="s">
        <v>62</v>
      </c>
      <c r="AZ50" s="23" t="s">
        <v>6</v>
      </c>
      <c r="BA50" s="24">
        <v>62</v>
      </c>
      <c r="BB50" s="35" t="s">
        <v>102</v>
      </c>
      <c r="BC50" s="49" t="s">
        <v>31</v>
      </c>
      <c r="BD50" s="21" t="s">
        <v>54</v>
      </c>
      <c r="BE50" s="22" t="s">
        <v>62</v>
      </c>
      <c r="BF50" s="23" t="s">
        <v>6</v>
      </c>
      <c r="BG50" s="24">
        <v>47</v>
      </c>
      <c r="BH50" s="35" t="s">
        <v>152</v>
      </c>
      <c r="BI50" s="49" t="s">
        <v>31</v>
      </c>
      <c r="BJ50" s="21" t="s">
        <v>54</v>
      </c>
      <c r="BK50" s="22" t="s">
        <v>62</v>
      </c>
      <c r="BL50" s="23" t="s">
        <v>6</v>
      </c>
      <c r="BM50" s="24">
        <v>64</v>
      </c>
      <c r="BN50" s="35" t="s">
        <v>153</v>
      </c>
      <c r="BO50" s="49" t="s">
        <v>31</v>
      </c>
      <c r="BP50" s="21" t="s">
        <v>54</v>
      </c>
      <c r="BQ50" s="22" t="s">
        <v>62</v>
      </c>
      <c r="BR50" s="23" t="s">
        <v>6</v>
      </c>
      <c r="BS50" s="27">
        <v>28.1</v>
      </c>
      <c r="BT50" s="35" t="s">
        <v>154</v>
      </c>
    </row>
    <row r="51" spans="1:72" ht="12" customHeight="1" x14ac:dyDescent="0.15">
      <c r="A51" s="49" t="s">
        <v>31</v>
      </c>
      <c r="B51" s="21" t="s">
        <v>54</v>
      </c>
      <c r="C51" s="22" t="s">
        <v>80</v>
      </c>
      <c r="D51" s="23" t="s">
        <v>83</v>
      </c>
      <c r="E51" s="24">
        <v>120</v>
      </c>
      <c r="F51" s="29" t="s">
        <v>141</v>
      </c>
      <c r="G51" s="49" t="s">
        <v>31</v>
      </c>
      <c r="H51" s="21" t="s">
        <v>54</v>
      </c>
      <c r="I51" s="22" t="s">
        <v>80</v>
      </c>
      <c r="J51" s="23" t="s">
        <v>83</v>
      </c>
      <c r="K51" s="24">
        <v>200</v>
      </c>
      <c r="L51" s="29" t="s">
        <v>149</v>
      </c>
      <c r="M51" s="49" t="s">
        <v>31</v>
      </c>
      <c r="N51" s="21" t="s">
        <v>54</v>
      </c>
      <c r="O51" s="22" t="s">
        <v>80</v>
      </c>
      <c r="P51" s="23" t="s">
        <v>83</v>
      </c>
      <c r="Q51" s="24">
        <v>140</v>
      </c>
      <c r="R51" s="29" t="s">
        <v>150</v>
      </c>
      <c r="S51" s="49" t="s">
        <v>31</v>
      </c>
      <c r="T51" s="21" t="s">
        <v>54</v>
      </c>
      <c r="U51" s="22" t="s">
        <v>80</v>
      </c>
      <c r="V51" s="23" t="s">
        <v>83</v>
      </c>
      <c r="W51" s="24">
        <v>56</v>
      </c>
      <c r="X51" s="29" t="s">
        <v>191</v>
      </c>
      <c r="Y51" s="49" t="s">
        <v>31</v>
      </c>
      <c r="Z51" s="21" t="s">
        <v>54</v>
      </c>
      <c r="AA51" s="22" t="s">
        <v>80</v>
      </c>
      <c r="AB51" s="23" t="s">
        <v>83</v>
      </c>
      <c r="AC51" s="23">
        <v>100</v>
      </c>
      <c r="AD51" s="29" t="s">
        <v>169</v>
      </c>
      <c r="AE51" s="49" t="s">
        <v>31</v>
      </c>
      <c r="AF51" s="21" t="s">
        <v>54</v>
      </c>
      <c r="AG51" s="22" t="s">
        <v>80</v>
      </c>
      <c r="AH51" s="23" t="s">
        <v>83</v>
      </c>
      <c r="AI51" s="23">
        <v>110</v>
      </c>
      <c r="AJ51" s="29" t="s">
        <v>151</v>
      </c>
      <c r="AK51" s="49" t="s">
        <v>31</v>
      </c>
      <c r="AL51" s="21" t="s">
        <v>54</v>
      </c>
      <c r="AM51" s="22" t="s">
        <v>80</v>
      </c>
      <c r="AN51" s="23" t="s">
        <v>83</v>
      </c>
      <c r="AO51" s="24">
        <v>81</v>
      </c>
      <c r="AP51" s="29" t="s">
        <v>198</v>
      </c>
      <c r="AQ51" s="49" t="s">
        <v>31</v>
      </c>
      <c r="AR51" s="21" t="s">
        <v>54</v>
      </c>
      <c r="AS51" s="22" t="s">
        <v>80</v>
      </c>
      <c r="AT51" s="23" t="s">
        <v>83</v>
      </c>
      <c r="AU51" s="24">
        <v>78</v>
      </c>
      <c r="AV51" s="29" t="s">
        <v>145</v>
      </c>
      <c r="AW51" s="49" t="s">
        <v>31</v>
      </c>
      <c r="AX51" s="21" t="s">
        <v>54</v>
      </c>
      <c r="AY51" s="22" t="s">
        <v>80</v>
      </c>
      <c r="AZ51" s="23" t="s">
        <v>83</v>
      </c>
      <c r="BA51" s="24">
        <v>44</v>
      </c>
      <c r="BB51" s="29" t="s">
        <v>102</v>
      </c>
      <c r="BC51" s="49" t="s">
        <v>31</v>
      </c>
      <c r="BD51" s="21" t="s">
        <v>54</v>
      </c>
      <c r="BE51" s="22" t="s">
        <v>80</v>
      </c>
      <c r="BF51" s="23" t="s">
        <v>83</v>
      </c>
      <c r="BG51" s="24">
        <v>43</v>
      </c>
      <c r="BH51" s="29" t="s">
        <v>152</v>
      </c>
      <c r="BI51" s="49" t="s">
        <v>31</v>
      </c>
      <c r="BJ51" s="21" t="s">
        <v>54</v>
      </c>
      <c r="BK51" s="22" t="s">
        <v>80</v>
      </c>
      <c r="BL51" s="23" t="s">
        <v>83</v>
      </c>
      <c r="BM51" s="24">
        <v>60</v>
      </c>
      <c r="BN51" s="29" t="s">
        <v>153</v>
      </c>
      <c r="BO51" s="49" t="s">
        <v>31</v>
      </c>
      <c r="BP51" s="21" t="s">
        <v>54</v>
      </c>
      <c r="BQ51" s="22" t="s">
        <v>80</v>
      </c>
      <c r="BR51" s="23" t="s">
        <v>83</v>
      </c>
      <c r="BS51" s="24">
        <v>31</v>
      </c>
      <c r="BT51" s="29" t="s">
        <v>154</v>
      </c>
    </row>
    <row r="52" spans="1:72" ht="12" customHeight="1" x14ac:dyDescent="0.15">
      <c r="A52" s="49" t="s">
        <v>31</v>
      </c>
      <c r="B52" s="21" t="s">
        <v>54</v>
      </c>
      <c r="C52" s="19" t="s">
        <v>80</v>
      </c>
      <c r="D52" s="23" t="s">
        <v>84</v>
      </c>
      <c r="E52" s="24">
        <v>290</v>
      </c>
      <c r="F52" s="34" t="s">
        <v>141</v>
      </c>
      <c r="G52" s="49" t="s">
        <v>31</v>
      </c>
      <c r="H52" s="21" t="s">
        <v>54</v>
      </c>
      <c r="I52" s="19" t="s">
        <v>80</v>
      </c>
      <c r="J52" s="23" t="s">
        <v>84</v>
      </c>
      <c r="K52" s="24">
        <v>510</v>
      </c>
      <c r="L52" s="34" t="s">
        <v>149</v>
      </c>
      <c r="M52" s="49" t="s">
        <v>31</v>
      </c>
      <c r="N52" s="21" t="s">
        <v>54</v>
      </c>
      <c r="O52" s="19" t="s">
        <v>80</v>
      </c>
      <c r="P52" s="23" t="s">
        <v>84</v>
      </c>
      <c r="Q52" s="24">
        <v>400</v>
      </c>
      <c r="R52" s="34" t="s">
        <v>150</v>
      </c>
      <c r="S52" s="49" t="s">
        <v>31</v>
      </c>
      <c r="T52" s="21" t="s">
        <v>54</v>
      </c>
      <c r="U52" s="19" t="s">
        <v>80</v>
      </c>
      <c r="V52" s="23" t="s">
        <v>84</v>
      </c>
      <c r="W52" s="24">
        <v>160</v>
      </c>
      <c r="X52" s="34" t="s">
        <v>191</v>
      </c>
      <c r="Y52" s="49" t="s">
        <v>31</v>
      </c>
      <c r="Z52" s="21" t="s">
        <v>54</v>
      </c>
      <c r="AA52" s="19" t="s">
        <v>80</v>
      </c>
      <c r="AB52" s="23" t="s">
        <v>84</v>
      </c>
      <c r="AC52" s="24">
        <v>300</v>
      </c>
      <c r="AD52" s="34" t="s">
        <v>169</v>
      </c>
      <c r="AE52" s="49" t="s">
        <v>31</v>
      </c>
      <c r="AF52" s="21" t="s">
        <v>54</v>
      </c>
      <c r="AG52" s="19" t="s">
        <v>80</v>
      </c>
      <c r="AH52" s="23" t="s">
        <v>84</v>
      </c>
      <c r="AI52" s="24">
        <v>310</v>
      </c>
      <c r="AJ52" s="34" t="s">
        <v>151</v>
      </c>
      <c r="AK52" s="49" t="s">
        <v>31</v>
      </c>
      <c r="AL52" s="21" t="s">
        <v>54</v>
      </c>
      <c r="AM52" s="19" t="s">
        <v>80</v>
      </c>
      <c r="AN52" s="23" t="s">
        <v>84</v>
      </c>
      <c r="AO52" s="24">
        <v>240</v>
      </c>
      <c r="AP52" s="34" t="s">
        <v>198</v>
      </c>
      <c r="AQ52" s="49" t="s">
        <v>31</v>
      </c>
      <c r="AR52" s="21" t="s">
        <v>54</v>
      </c>
      <c r="AS52" s="19" t="s">
        <v>80</v>
      </c>
      <c r="AT52" s="23" t="s">
        <v>84</v>
      </c>
      <c r="AU52" s="24">
        <v>270</v>
      </c>
      <c r="AV52" s="34" t="s">
        <v>145</v>
      </c>
      <c r="AW52" s="49" t="s">
        <v>31</v>
      </c>
      <c r="AX52" s="21" t="s">
        <v>54</v>
      </c>
      <c r="AY52" s="19" t="s">
        <v>80</v>
      </c>
      <c r="AZ52" s="23" t="s">
        <v>84</v>
      </c>
      <c r="BA52" s="24">
        <v>140</v>
      </c>
      <c r="BB52" s="34" t="s">
        <v>102</v>
      </c>
      <c r="BC52" s="49" t="s">
        <v>31</v>
      </c>
      <c r="BD52" s="21" t="s">
        <v>54</v>
      </c>
      <c r="BE52" s="19" t="s">
        <v>80</v>
      </c>
      <c r="BF52" s="23" t="s">
        <v>84</v>
      </c>
      <c r="BG52" s="24">
        <v>140</v>
      </c>
      <c r="BH52" s="34" t="s">
        <v>152</v>
      </c>
      <c r="BI52" s="49" t="s">
        <v>31</v>
      </c>
      <c r="BJ52" s="21" t="s">
        <v>54</v>
      </c>
      <c r="BK52" s="19" t="s">
        <v>80</v>
      </c>
      <c r="BL52" s="23" t="s">
        <v>84</v>
      </c>
      <c r="BM52" s="24">
        <v>190</v>
      </c>
      <c r="BN52" s="34" t="s">
        <v>153</v>
      </c>
      <c r="BO52" s="49" t="s">
        <v>31</v>
      </c>
      <c r="BP52" s="21" t="s">
        <v>54</v>
      </c>
      <c r="BQ52" s="19" t="s">
        <v>80</v>
      </c>
      <c r="BR52" s="23" t="s">
        <v>84</v>
      </c>
      <c r="BS52" s="24">
        <v>120</v>
      </c>
      <c r="BT52" s="34" t="s">
        <v>154</v>
      </c>
    </row>
    <row r="53" spans="1:72" ht="12" customHeight="1" x14ac:dyDescent="0.15">
      <c r="A53" s="49" t="s">
        <v>31</v>
      </c>
      <c r="B53" s="21" t="s">
        <v>54</v>
      </c>
      <c r="C53" s="19" t="s">
        <v>80</v>
      </c>
      <c r="D53" s="23" t="s">
        <v>6</v>
      </c>
      <c r="E53" s="24">
        <v>410</v>
      </c>
      <c r="F53" s="35" t="s">
        <v>141</v>
      </c>
      <c r="G53" s="49" t="s">
        <v>31</v>
      </c>
      <c r="H53" s="21" t="s">
        <v>54</v>
      </c>
      <c r="I53" s="19" t="s">
        <v>80</v>
      </c>
      <c r="J53" s="23" t="s">
        <v>6</v>
      </c>
      <c r="K53" s="24">
        <v>710</v>
      </c>
      <c r="L53" s="35" t="s">
        <v>149</v>
      </c>
      <c r="M53" s="49" t="s">
        <v>31</v>
      </c>
      <c r="N53" s="21" t="s">
        <v>54</v>
      </c>
      <c r="O53" s="19" t="s">
        <v>80</v>
      </c>
      <c r="P53" s="23" t="s">
        <v>6</v>
      </c>
      <c r="Q53" s="24">
        <v>540</v>
      </c>
      <c r="R53" s="35" t="s">
        <v>150</v>
      </c>
      <c r="S53" s="49" t="s">
        <v>31</v>
      </c>
      <c r="T53" s="21" t="s">
        <v>54</v>
      </c>
      <c r="U53" s="19" t="s">
        <v>80</v>
      </c>
      <c r="V53" s="23" t="s">
        <v>6</v>
      </c>
      <c r="W53" s="24">
        <v>216</v>
      </c>
      <c r="X53" s="35" t="s">
        <v>191</v>
      </c>
      <c r="Y53" s="49" t="s">
        <v>31</v>
      </c>
      <c r="Z53" s="21" t="s">
        <v>54</v>
      </c>
      <c r="AA53" s="19" t="s">
        <v>80</v>
      </c>
      <c r="AB53" s="23" t="s">
        <v>6</v>
      </c>
      <c r="AC53" s="24">
        <v>400</v>
      </c>
      <c r="AD53" s="35" t="s">
        <v>169</v>
      </c>
      <c r="AE53" s="49" t="s">
        <v>31</v>
      </c>
      <c r="AF53" s="21" t="s">
        <v>54</v>
      </c>
      <c r="AG53" s="19" t="s">
        <v>80</v>
      </c>
      <c r="AH53" s="23" t="s">
        <v>6</v>
      </c>
      <c r="AI53" s="24">
        <v>420</v>
      </c>
      <c r="AJ53" s="35" t="s">
        <v>151</v>
      </c>
      <c r="AK53" s="49" t="s">
        <v>31</v>
      </c>
      <c r="AL53" s="21" t="s">
        <v>54</v>
      </c>
      <c r="AM53" s="19" t="s">
        <v>80</v>
      </c>
      <c r="AN53" s="23" t="s">
        <v>6</v>
      </c>
      <c r="AO53" s="24">
        <v>321</v>
      </c>
      <c r="AP53" s="35" t="s">
        <v>198</v>
      </c>
      <c r="AQ53" s="49" t="s">
        <v>31</v>
      </c>
      <c r="AR53" s="21" t="s">
        <v>54</v>
      </c>
      <c r="AS53" s="19" t="s">
        <v>80</v>
      </c>
      <c r="AT53" s="23" t="s">
        <v>6</v>
      </c>
      <c r="AU53" s="24">
        <v>348</v>
      </c>
      <c r="AV53" s="35" t="s">
        <v>145</v>
      </c>
      <c r="AW53" s="49" t="s">
        <v>31</v>
      </c>
      <c r="AX53" s="21" t="s">
        <v>54</v>
      </c>
      <c r="AY53" s="19" t="s">
        <v>80</v>
      </c>
      <c r="AZ53" s="23" t="s">
        <v>6</v>
      </c>
      <c r="BA53" s="24">
        <v>184</v>
      </c>
      <c r="BB53" s="35" t="s">
        <v>102</v>
      </c>
      <c r="BC53" s="49" t="s">
        <v>31</v>
      </c>
      <c r="BD53" s="21" t="s">
        <v>54</v>
      </c>
      <c r="BE53" s="19" t="s">
        <v>80</v>
      </c>
      <c r="BF53" s="23" t="s">
        <v>6</v>
      </c>
      <c r="BG53" s="24">
        <v>183</v>
      </c>
      <c r="BH53" s="35" t="s">
        <v>152</v>
      </c>
      <c r="BI53" s="49" t="s">
        <v>31</v>
      </c>
      <c r="BJ53" s="21" t="s">
        <v>54</v>
      </c>
      <c r="BK53" s="19" t="s">
        <v>80</v>
      </c>
      <c r="BL53" s="23" t="s">
        <v>6</v>
      </c>
      <c r="BM53" s="24">
        <v>250</v>
      </c>
      <c r="BN53" s="35" t="s">
        <v>153</v>
      </c>
      <c r="BO53" s="49" t="s">
        <v>31</v>
      </c>
      <c r="BP53" s="21" t="s">
        <v>54</v>
      </c>
      <c r="BQ53" s="19" t="s">
        <v>80</v>
      </c>
      <c r="BR53" s="23" t="s">
        <v>6</v>
      </c>
      <c r="BS53" s="24">
        <v>151</v>
      </c>
      <c r="BT53" s="35" t="s">
        <v>154</v>
      </c>
    </row>
    <row r="54" spans="1:72" ht="12" customHeight="1" x14ac:dyDescent="0.15">
      <c r="A54" s="49" t="s">
        <v>31</v>
      </c>
      <c r="B54" s="21" t="s">
        <v>85</v>
      </c>
      <c r="C54" s="22" t="s">
        <v>62</v>
      </c>
      <c r="D54" s="23" t="s">
        <v>83</v>
      </c>
      <c r="E54" s="24">
        <v>54</v>
      </c>
      <c r="F54" s="29" t="s">
        <v>155</v>
      </c>
      <c r="G54" s="49" t="s">
        <v>31</v>
      </c>
      <c r="H54" s="21" t="s">
        <v>85</v>
      </c>
      <c r="I54" s="22" t="s">
        <v>62</v>
      </c>
      <c r="J54" s="23" t="s">
        <v>83</v>
      </c>
      <c r="K54" s="24">
        <v>64</v>
      </c>
      <c r="L54" s="29" t="s">
        <v>105</v>
      </c>
      <c r="M54" s="49" t="s">
        <v>31</v>
      </c>
      <c r="N54" s="21" t="s">
        <v>85</v>
      </c>
      <c r="O54" s="22" t="s">
        <v>62</v>
      </c>
      <c r="P54" s="23" t="s">
        <v>83</v>
      </c>
      <c r="Q54" s="24">
        <v>56</v>
      </c>
      <c r="R54" s="29" t="s">
        <v>113</v>
      </c>
      <c r="S54" s="49" t="s">
        <v>31</v>
      </c>
      <c r="T54" s="21" t="s">
        <v>85</v>
      </c>
      <c r="U54" s="22" t="s">
        <v>62</v>
      </c>
      <c r="V54" s="23" t="s">
        <v>83</v>
      </c>
      <c r="W54" s="24">
        <v>60</v>
      </c>
      <c r="X54" s="29" t="s">
        <v>192</v>
      </c>
      <c r="Y54" s="49" t="s">
        <v>31</v>
      </c>
      <c r="Z54" s="21" t="s">
        <v>85</v>
      </c>
      <c r="AA54" s="22" t="s">
        <v>62</v>
      </c>
      <c r="AB54" s="23" t="s">
        <v>83</v>
      </c>
      <c r="AC54" s="24">
        <v>52</v>
      </c>
      <c r="AD54" s="29" t="s">
        <v>156</v>
      </c>
      <c r="AE54" s="49" t="s">
        <v>31</v>
      </c>
      <c r="AF54" s="21" t="s">
        <v>85</v>
      </c>
      <c r="AG54" s="22" t="s">
        <v>62</v>
      </c>
      <c r="AH54" s="23" t="s">
        <v>83</v>
      </c>
      <c r="AI54" s="24">
        <v>38</v>
      </c>
      <c r="AJ54" s="29" t="s">
        <v>157</v>
      </c>
      <c r="AK54" s="49" t="s">
        <v>31</v>
      </c>
      <c r="AL54" s="21" t="s">
        <v>85</v>
      </c>
      <c r="AM54" s="22" t="s">
        <v>62</v>
      </c>
      <c r="AN54" s="23" t="s">
        <v>83</v>
      </c>
      <c r="AO54" s="24">
        <v>38</v>
      </c>
      <c r="AP54" s="29" t="s">
        <v>199</v>
      </c>
      <c r="AQ54" s="49" t="s">
        <v>31</v>
      </c>
      <c r="AR54" s="21" t="s">
        <v>85</v>
      </c>
      <c r="AS54" s="22" t="s">
        <v>62</v>
      </c>
      <c r="AT54" s="23" t="s">
        <v>83</v>
      </c>
      <c r="AU54" s="24">
        <v>38</v>
      </c>
      <c r="AV54" s="29" t="s">
        <v>200</v>
      </c>
      <c r="AW54" s="49" t="s">
        <v>31</v>
      </c>
      <c r="AX54" s="21" t="s">
        <v>85</v>
      </c>
      <c r="AY54" s="22" t="s">
        <v>62</v>
      </c>
      <c r="AZ54" s="23" t="s">
        <v>83</v>
      </c>
      <c r="BA54" s="24">
        <v>16</v>
      </c>
      <c r="BB54" s="29" t="s">
        <v>108</v>
      </c>
      <c r="BC54" s="49" t="s">
        <v>31</v>
      </c>
      <c r="BD54" s="21" t="s">
        <v>85</v>
      </c>
      <c r="BE54" s="22" t="s">
        <v>62</v>
      </c>
      <c r="BF54" s="23" t="s">
        <v>83</v>
      </c>
      <c r="BG54" s="24">
        <v>32</v>
      </c>
      <c r="BH54" s="29" t="s">
        <v>146</v>
      </c>
      <c r="BI54" s="49" t="s">
        <v>31</v>
      </c>
      <c r="BJ54" s="21" t="s">
        <v>85</v>
      </c>
      <c r="BK54" s="22" t="s">
        <v>62</v>
      </c>
      <c r="BL54" s="23" t="s">
        <v>83</v>
      </c>
      <c r="BM54" s="27">
        <v>4.9000000000000004</v>
      </c>
      <c r="BN54" s="29" t="s">
        <v>119</v>
      </c>
      <c r="BO54" s="49" t="s">
        <v>31</v>
      </c>
      <c r="BP54" s="21" t="s">
        <v>85</v>
      </c>
      <c r="BQ54" s="22" t="s">
        <v>62</v>
      </c>
      <c r="BR54" s="23" t="s">
        <v>83</v>
      </c>
      <c r="BS54" s="27">
        <v>9.8000000000000007</v>
      </c>
      <c r="BT54" s="29" t="s">
        <v>111</v>
      </c>
    </row>
    <row r="55" spans="1:72" ht="12" customHeight="1" x14ac:dyDescent="0.15">
      <c r="A55" s="49" t="s">
        <v>31</v>
      </c>
      <c r="B55" s="21" t="s">
        <v>85</v>
      </c>
      <c r="C55" s="19" t="s">
        <v>62</v>
      </c>
      <c r="D55" s="23" t="s">
        <v>84</v>
      </c>
      <c r="E55" s="24">
        <v>130</v>
      </c>
      <c r="F55" s="34" t="s">
        <v>155</v>
      </c>
      <c r="G55" s="49" t="s">
        <v>31</v>
      </c>
      <c r="H55" s="21" t="s">
        <v>85</v>
      </c>
      <c r="I55" s="19" t="s">
        <v>62</v>
      </c>
      <c r="J55" s="23" t="s">
        <v>84</v>
      </c>
      <c r="K55" s="24">
        <v>180</v>
      </c>
      <c r="L55" s="34" t="s">
        <v>105</v>
      </c>
      <c r="M55" s="49" t="s">
        <v>31</v>
      </c>
      <c r="N55" s="21" t="s">
        <v>85</v>
      </c>
      <c r="O55" s="19" t="s">
        <v>62</v>
      </c>
      <c r="P55" s="23" t="s">
        <v>84</v>
      </c>
      <c r="Q55" s="24">
        <v>180</v>
      </c>
      <c r="R55" s="34" t="s">
        <v>113</v>
      </c>
      <c r="S55" s="49" t="s">
        <v>31</v>
      </c>
      <c r="T55" s="21" t="s">
        <v>85</v>
      </c>
      <c r="U55" s="19" t="s">
        <v>62</v>
      </c>
      <c r="V55" s="23" t="s">
        <v>84</v>
      </c>
      <c r="W55" s="24">
        <v>180</v>
      </c>
      <c r="X55" s="34" t="s">
        <v>192</v>
      </c>
      <c r="Y55" s="49" t="s">
        <v>31</v>
      </c>
      <c r="Z55" s="21" t="s">
        <v>85</v>
      </c>
      <c r="AA55" s="19" t="s">
        <v>62</v>
      </c>
      <c r="AB55" s="23" t="s">
        <v>84</v>
      </c>
      <c r="AC55" s="24">
        <v>160</v>
      </c>
      <c r="AD55" s="34" t="s">
        <v>156</v>
      </c>
      <c r="AE55" s="49" t="s">
        <v>31</v>
      </c>
      <c r="AF55" s="21" t="s">
        <v>85</v>
      </c>
      <c r="AG55" s="19" t="s">
        <v>62</v>
      </c>
      <c r="AH55" s="23" t="s">
        <v>84</v>
      </c>
      <c r="AI55" s="24">
        <v>120</v>
      </c>
      <c r="AJ55" s="34" t="s">
        <v>157</v>
      </c>
      <c r="AK55" s="49" t="s">
        <v>31</v>
      </c>
      <c r="AL55" s="21" t="s">
        <v>85</v>
      </c>
      <c r="AM55" s="19" t="s">
        <v>62</v>
      </c>
      <c r="AN55" s="23" t="s">
        <v>84</v>
      </c>
      <c r="AO55" s="24">
        <v>140</v>
      </c>
      <c r="AP55" s="34" t="s">
        <v>199</v>
      </c>
      <c r="AQ55" s="49" t="s">
        <v>31</v>
      </c>
      <c r="AR55" s="21" t="s">
        <v>85</v>
      </c>
      <c r="AS55" s="19" t="s">
        <v>62</v>
      </c>
      <c r="AT55" s="23" t="s">
        <v>84</v>
      </c>
      <c r="AU55" s="24">
        <v>140</v>
      </c>
      <c r="AV55" s="34" t="s">
        <v>200</v>
      </c>
      <c r="AW55" s="49" t="s">
        <v>31</v>
      </c>
      <c r="AX55" s="21" t="s">
        <v>85</v>
      </c>
      <c r="AY55" s="19" t="s">
        <v>62</v>
      </c>
      <c r="AZ55" s="23" t="s">
        <v>84</v>
      </c>
      <c r="BA55" s="24">
        <v>59</v>
      </c>
      <c r="BB55" s="34" t="s">
        <v>108</v>
      </c>
      <c r="BC55" s="49" t="s">
        <v>31</v>
      </c>
      <c r="BD55" s="21" t="s">
        <v>85</v>
      </c>
      <c r="BE55" s="19" t="s">
        <v>62</v>
      </c>
      <c r="BF55" s="23" t="s">
        <v>84</v>
      </c>
      <c r="BG55" s="24">
        <v>120</v>
      </c>
      <c r="BH55" s="34" t="s">
        <v>146</v>
      </c>
      <c r="BI55" s="49" t="s">
        <v>31</v>
      </c>
      <c r="BJ55" s="21" t="s">
        <v>85</v>
      </c>
      <c r="BK55" s="19" t="s">
        <v>62</v>
      </c>
      <c r="BL55" s="23" t="s">
        <v>84</v>
      </c>
      <c r="BM55" s="24">
        <v>23</v>
      </c>
      <c r="BN55" s="34" t="s">
        <v>119</v>
      </c>
      <c r="BO55" s="49" t="s">
        <v>31</v>
      </c>
      <c r="BP55" s="21" t="s">
        <v>85</v>
      </c>
      <c r="BQ55" s="19" t="s">
        <v>62</v>
      </c>
      <c r="BR55" s="23" t="s">
        <v>84</v>
      </c>
      <c r="BS55" s="24">
        <v>47</v>
      </c>
      <c r="BT55" s="34" t="s">
        <v>111</v>
      </c>
    </row>
    <row r="56" spans="1:72" ht="12" customHeight="1" x14ac:dyDescent="0.15">
      <c r="A56" s="49" t="s">
        <v>31</v>
      </c>
      <c r="B56" s="21" t="s">
        <v>85</v>
      </c>
      <c r="C56" s="19" t="s">
        <v>62</v>
      </c>
      <c r="D56" s="23" t="s">
        <v>6</v>
      </c>
      <c r="E56" s="24">
        <v>184</v>
      </c>
      <c r="F56" s="35" t="s">
        <v>155</v>
      </c>
      <c r="G56" s="49" t="s">
        <v>31</v>
      </c>
      <c r="H56" s="21" t="s">
        <v>85</v>
      </c>
      <c r="I56" s="19" t="s">
        <v>62</v>
      </c>
      <c r="J56" s="23" t="s">
        <v>6</v>
      </c>
      <c r="K56" s="24">
        <v>244</v>
      </c>
      <c r="L56" s="35" t="s">
        <v>105</v>
      </c>
      <c r="M56" s="49" t="s">
        <v>31</v>
      </c>
      <c r="N56" s="21" t="s">
        <v>85</v>
      </c>
      <c r="O56" s="19" t="s">
        <v>62</v>
      </c>
      <c r="P56" s="23" t="s">
        <v>6</v>
      </c>
      <c r="Q56" s="24">
        <v>236</v>
      </c>
      <c r="R56" s="35" t="s">
        <v>113</v>
      </c>
      <c r="S56" s="49" t="s">
        <v>31</v>
      </c>
      <c r="T56" s="21" t="s">
        <v>85</v>
      </c>
      <c r="U56" s="19" t="s">
        <v>62</v>
      </c>
      <c r="V56" s="23" t="s">
        <v>6</v>
      </c>
      <c r="W56" s="24">
        <v>240</v>
      </c>
      <c r="X56" s="35" t="s">
        <v>192</v>
      </c>
      <c r="Y56" s="49" t="s">
        <v>31</v>
      </c>
      <c r="Z56" s="21" t="s">
        <v>85</v>
      </c>
      <c r="AA56" s="19" t="s">
        <v>62</v>
      </c>
      <c r="AB56" s="23" t="s">
        <v>6</v>
      </c>
      <c r="AC56" s="24">
        <v>212</v>
      </c>
      <c r="AD56" s="35" t="s">
        <v>156</v>
      </c>
      <c r="AE56" s="49" t="s">
        <v>31</v>
      </c>
      <c r="AF56" s="21" t="s">
        <v>85</v>
      </c>
      <c r="AG56" s="19" t="s">
        <v>62</v>
      </c>
      <c r="AH56" s="23" t="s">
        <v>6</v>
      </c>
      <c r="AI56" s="24">
        <v>158</v>
      </c>
      <c r="AJ56" s="35" t="s">
        <v>157</v>
      </c>
      <c r="AK56" s="49" t="s">
        <v>31</v>
      </c>
      <c r="AL56" s="21" t="s">
        <v>85</v>
      </c>
      <c r="AM56" s="19" t="s">
        <v>62</v>
      </c>
      <c r="AN56" s="23" t="s">
        <v>6</v>
      </c>
      <c r="AO56" s="24">
        <v>178</v>
      </c>
      <c r="AP56" s="35" t="s">
        <v>199</v>
      </c>
      <c r="AQ56" s="49" t="s">
        <v>31</v>
      </c>
      <c r="AR56" s="21" t="s">
        <v>85</v>
      </c>
      <c r="AS56" s="19" t="s">
        <v>62</v>
      </c>
      <c r="AT56" s="23" t="s">
        <v>6</v>
      </c>
      <c r="AU56" s="24">
        <v>178</v>
      </c>
      <c r="AV56" s="35" t="s">
        <v>200</v>
      </c>
      <c r="AW56" s="49" t="s">
        <v>31</v>
      </c>
      <c r="AX56" s="21" t="s">
        <v>85</v>
      </c>
      <c r="AY56" s="19" t="s">
        <v>62</v>
      </c>
      <c r="AZ56" s="23" t="s">
        <v>6</v>
      </c>
      <c r="BA56" s="24">
        <v>75</v>
      </c>
      <c r="BB56" s="35" t="s">
        <v>108</v>
      </c>
      <c r="BC56" s="49" t="s">
        <v>31</v>
      </c>
      <c r="BD56" s="21" t="s">
        <v>85</v>
      </c>
      <c r="BE56" s="19" t="s">
        <v>62</v>
      </c>
      <c r="BF56" s="23" t="s">
        <v>6</v>
      </c>
      <c r="BG56" s="24">
        <v>152</v>
      </c>
      <c r="BH56" s="35" t="s">
        <v>146</v>
      </c>
      <c r="BI56" s="49" t="s">
        <v>31</v>
      </c>
      <c r="BJ56" s="21" t="s">
        <v>85</v>
      </c>
      <c r="BK56" s="19" t="s">
        <v>62</v>
      </c>
      <c r="BL56" s="23" t="s">
        <v>6</v>
      </c>
      <c r="BM56" s="27">
        <v>27.9</v>
      </c>
      <c r="BN56" s="35" t="s">
        <v>119</v>
      </c>
      <c r="BO56" s="49" t="s">
        <v>31</v>
      </c>
      <c r="BP56" s="21" t="s">
        <v>85</v>
      </c>
      <c r="BQ56" s="19" t="s">
        <v>62</v>
      </c>
      <c r="BR56" s="23" t="s">
        <v>6</v>
      </c>
      <c r="BS56" s="27">
        <v>56.8</v>
      </c>
      <c r="BT56" s="35" t="s">
        <v>111</v>
      </c>
    </row>
    <row r="57" spans="1:72" ht="12" customHeight="1" x14ac:dyDescent="0.15">
      <c r="A57" s="49" t="s">
        <v>31</v>
      </c>
      <c r="B57" s="21" t="s">
        <v>85</v>
      </c>
      <c r="C57" s="22" t="s">
        <v>80</v>
      </c>
      <c r="D57" s="23" t="s">
        <v>83</v>
      </c>
      <c r="E57" s="24">
        <v>190</v>
      </c>
      <c r="F57" s="29" t="s">
        <v>155</v>
      </c>
      <c r="G57" s="49" t="s">
        <v>31</v>
      </c>
      <c r="H57" s="21" t="s">
        <v>85</v>
      </c>
      <c r="I57" s="22" t="s">
        <v>80</v>
      </c>
      <c r="J57" s="23" t="s">
        <v>83</v>
      </c>
      <c r="K57" s="24">
        <v>260</v>
      </c>
      <c r="L57" s="29" t="s">
        <v>105</v>
      </c>
      <c r="M57" s="49" t="s">
        <v>31</v>
      </c>
      <c r="N57" s="21" t="s">
        <v>85</v>
      </c>
      <c r="O57" s="22" t="s">
        <v>80</v>
      </c>
      <c r="P57" s="23" t="s">
        <v>83</v>
      </c>
      <c r="Q57" s="24">
        <v>220</v>
      </c>
      <c r="R57" s="29" t="s">
        <v>113</v>
      </c>
      <c r="S57" s="49" t="s">
        <v>31</v>
      </c>
      <c r="T57" s="21" t="s">
        <v>85</v>
      </c>
      <c r="U57" s="22" t="s">
        <v>80</v>
      </c>
      <c r="V57" s="23" t="s">
        <v>83</v>
      </c>
      <c r="W57" s="24">
        <v>150</v>
      </c>
      <c r="X57" s="29" t="s">
        <v>192</v>
      </c>
      <c r="Y57" s="49" t="s">
        <v>31</v>
      </c>
      <c r="Z57" s="21" t="s">
        <v>85</v>
      </c>
      <c r="AA57" s="22" t="s">
        <v>80</v>
      </c>
      <c r="AB57" s="23" t="s">
        <v>83</v>
      </c>
      <c r="AC57" s="24">
        <v>150</v>
      </c>
      <c r="AD57" s="29" t="s">
        <v>156</v>
      </c>
      <c r="AE57" s="49" t="s">
        <v>31</v>
      </c>
      <c r="AF57" s="21" t="s">
        <v>85</v>
      </c>
      <c r="AG57" s="22" t="s">
        <v>80</v>
      </c>
      <c r="AH57" s="23" t="s">
        <v>83</v>
      </c>
      <c r="AI57" s="24">
        <v>130</v>
      </c>
      <c r="AJ57" s="29" t="s">
        <v>157</v>
      </c>
      <c r="AK57" s="49" t="s">
        <v>31</v>
      </c>
      <c r="AL57" s="21" t="s">
        <v>85</v>
      </c>
      <c r="AM57" s="22" t="s">
        <v>80</v>
      </c>
      <c r="AN57" s="23" t="s">
        <v>83</v>
      </c>
      <c r="AO57" s="24">
        <v>150</v>
      </c>
      <c r="AP57" s="29" t="s">
        <v>199</v>
      </c>
      <c r="AQ57" s="49" t="s">
        <v>31</v>
      </c>
      <c r="AR57" s="21" t="s">
        <v>85</v>
      </c>
      <c r="AS57" s="22" t="s">
        <v>80</v>
      </c>
      <c r="AT57" s="23" t="s">
        <v>83</v>
      </c>
      <c r="AU57" s="24">
        <v>150</v>
      </c>
      <c r="AV57" s="29" t="s">
        <v>200</v>
      </c>
      <c r="AW57" s="49" t="s">
        <v>31</v>
      </c>
      <c r="AX57" s="21" t="s">
        <v>85</v>
      </c>
      <c r="AY57" s="22" t="s">
        <v>80</v>
      </c>
      <c r="AZ57" s="23" t="s">
        <v>83</v>
      </c>
      <c r="BA57" s="24">
        <v>75</v>
      </c>
      <c r="BB57" s="29" t="s">
        <v>108</v>
      </c>
      <c r="BC57" s="49" t="s">
        <v>31</v>
      </c>
      <c r="BD57" s="21" t="s">
        <v>85</v>
      </c>
      <c r="BE57" s="22" t="s">
        <v>80</v>
      </c>
      <c r="BF57" s="23" t="s">
        <v>83</v>
      </c>
      <c r="BG57" s="24">
        <v>110</v>
      </c>
      <c r="BH57" s="29" t="s">
        <v>146</v>
      </c>
      <c r="BI57" s="49" t="s">
        <v>31</v>
      </c>
      <c r="BJ57" s="21" t="s">
        <v>85</v>
      </c>
      <c r="BK57" s="22" t="s">
        <v>80</v>
      </c>
      <c r="BL57" s="23" t="s">
        <v>83</v>
      </c>
      <c r="BM57" s="24">
        <v>45</v>
      </c>
      <c r="BN57" s="29" t="s">
        <v>119</v>
      </c>
      <c r="BO57" s="49" t="s">
        <v>31</v>
      </c>
      <c r="BP57" s="21" t="s">
        <v>85</v>
      </c>
      <c r="BQ57" s="22" t="s">
        <v>80</v>
      </c>
      <c r="BR57" s="23" t="s">
        <v>83</v>
      </c>
      <c r="BS57" s="24">
        <v>63</v>
      </c>
      <c r="BT57" s="29" t="s">
        <v>111</v>
      </c>
    </row>
    <row r="58" spans="1:72" ht="12" customHeight="1" x14ac:dyDescent="0.15">
      <c r="A58" s="49" t="s">
        <v>31</v>
      </c>
      <c r="B58" s="21" t="s">
        <v>85</v>
      </c>
      <c r="C58" s="19" t="s">
        <v>80</v>
      </c>
      <c r="D58" s="23" t="s">
        <v>84</v>
      </c>
      <c r="E58" s="24">
        <v>510</v>
      </c>
      <c r="F58" s="34" t="s">
        <v>155</v>
      </c>
      <c r="G58" s="49" t="s">
        <v>31</v>
      </c>
      <c r="H58" s="21" t="s">
        <v>85</v>
      </c>
      <c r="I58" s="19" t="s">
        <v>80</v>
      </c>
      <c r="J58" s="23" t="s">
        <v>84</v>
      </c>
      <c r="K58" s="24">
        <v>710</v>
      </c>
      <c r="L58" s="34" t="s">
        <v>105</v>
      </c>
      <c r="M58" s="49" t="s">
        <v>31</v>
      </c>
      <c r="N58" s="21" t="s">
        <v>85</v>
      </c>
      <c r="O58" s="19" t="s">
        <v>80</v>
      </c>
      <c r="P58" s="23" t="s">
        <v>84</v>
      </c>
      <c r="Q58" s="24">
        <v>580</v>
      </c>
      <c r="R58" s="34" t="s">
        <v>113</v>
      </c>
      <c r="S58" s="49" t="s">
        <v>31</v>
      </c>
      <c r="T58" s="21" t="s">
        <v>85</v>
      </c>
      <c r="U58" s="19" t="s">
        <v>80</v>
      </c>
      <c r="V58" s="23" t="s">
        <v>84</v>
      </c>
      <c r="W58" s="24">
        <v>430</v>
      </c>
      <c r="X58" s="34" t="s">
        <v>192</v>
      </c>
      <c r="Y58" s="49" t="s">
        <v>31</v>
      </c>
      <c r="Z58" s="21" t="s">
        <v>85</v>
      </c>
      <c r="AA58" s="19" t="s">
        <v>80</v>
      </c>
      <c r="AB58" s="23" t="s">
        <v>84</v>
      </c>
      <c r="AC58" s="24">
        <v>430</v>
      </c>
      <c r="AD58" s="34" t="s">
        <v>156</v>
      </c>
      <c r="AE58" s="49" t="s">
        <v>31</v>
      </c>
      <c r="AF58" s="21" t="s">
        <v>85</v>
      </c>
      <c r="AG58" s="19" t="s">
        <v>80</v>
      </c>
      <c r="AH58" s="23" t="s">
        <v>84</v>
      </c>
      <c r="AI58" s="24">
        <v>370</v>
      </c>
      <c r="AJ58" s="34" t="s">
        <v>157</v>
      </c>
      <c r="AK58" s="49" t="s">
        <v>31</v>
      </c>
      <c r="AL58" s="21" t="s">
        <v>85</v>
      </c>
      <c r="AM58" s="19" t="s">
        <v>80</v>
      </c>
      <c r="AN58" s="23" t="s">
        <v>84</v>
      </c>
      <c r="AO58" s="24">
        <v>440</v>
      </c>
      <c r="AP58" s="34" t="s">
        <v>199</v>
      </c>
      <c r="AQ58" s="49" t="s">
        <v>31</v>
      </c>
      <c r="AR58" s="21" t="s">
        <v>85</v>
      </c>
      <c r="AS58" s="19" t="s">
        <v>80</v>
      </c>
      <c r="AT58" s="23" t="s">
        <v>84</v>
      </c>
      <c r="AU58" s="24">
        <v>440</v>
      </c>
      <c r="AV58" s="34" t="s">
        <v>200</v>
      </c>
      <c r="AW58" s="49" t="s">
        <v>31</v>
      </c>
      <c r="AX58" s="21" t="s">
        <v>85</v>
      </c>
      <c r="AY58" s="19" t="s">
        <v>80</v>
      </c>
      <c r="AZ58" s="23" t="s">
        <v>84</v>
      </c>
      <c r="BA58" s="24">
        <v>230</v>
      </c>
      <c r="BB58" s="34" t="s">
        <v>108</v>
      </c>
      <c r="BC58" s="49" t="s">
        <v>31</v>
      </c>
      <c r="BD58" s="21" t="s">
        <v>85</v>
      </c>
      <c r="BE58" s="19" t="s">
        <v>80</v>
      </c>
      <c r="BF58" s="23" t="s">
        <v>84</v>
      </c>
      <c r="BG58" s="24">
        <v>400</v>
      </c>
      <c r="BH58" s="34" t="s">
        <v>146</v>
      </c>
      <c r="BI58" s="49" t="s">
        <v>31</v>
      </c>
      <c r="BJ58" s="21" t="s">
        <v>85</v>
      </c>
      <c r="BK58" s="19" t="s">
        <v>80</v>
      </c>
      <c r="BL58" s="23" t="s">
        <v>84</v>
      </c>
      <c r="BM58" s="24">
        <v>150</v>
      </c>
      <c r="BN58" s="34" t="s">
        <v>119</v>
      </c>
      <c r="BO58" s="49" t="s">
        <v>31</v>
      </c>
      <c r="BP58" s="21" t="s">
        <v>85</v>
      </c>
      <c r="BQ58" s="19" t="s">
        <v>80</v>
      </c>
      <c r="BR58" s="23" t="s">
        <v>84</v>
      </c>
      <c r="BS58" s="24">
        <v>230</v>
      </c>
      <c r="BT58" s="34" t="s">
        <v>111</v>
      </c>
    </row>
    <row r="59" spans="1:72" ht="12" customHeight="1" x14ac:dyDescent="0.15">
      <c r="A59" s="49" t="s">
        <v>31</v>
      </c>
      <c r="B59" s="21" t="s">
        <v>85</v>
      </c>
      <c r="C59" s="19" t="s">
        <v>80</v>
      </c>
      <c r="D59" s="23" t="s">
        <v>6</v>
      </c>
      <c r="E59" s="23">
        <v>700</v>
      </c>
      <c r="F59" s="35" t="s">
        <v>155</v>
      </c>
      <c r="G59" s="49" t="s">
        <v>31</v>
      </c>
      <c r="H59" s="21" t="s">
        <v>85</v>
      </c>
      <c r="I59" s="19" t="s">
        <v>80</v>
      </c>
      <c r="J59" s="23" t="s">
        <v>6</v>
      </c>
      <c r="K59" s="24">
        <v>970</v>
      </c>
      <c r="L59" s="35" t="s">
        <v>105</v>
      </c>
      <c r="M59" s="49" t="s">
        <v>31</v>
      </c>
      <c r="N59" s="21" t="s">
        <v>85</v>
      </c>
      <c r="O59" s="19" t="s">
        <v>80</v>
      </c>
      <c r="P59" s="23" t="s">
        <v>6</v>
      </c>
      <c r="Q59" s="24">
        <v>800</v>
      </c>
      <c r="R59" s="35" t="s">
        <v>113</v>
      </c>
      <c r="S59" s="49" t="s">
        <v>31</v>
      </c>
      <c r="T59" s="21" t="s">
        <v>85</v>
      </c>
      <c r="U59" s="19" t="s">
        <v>80</v>
      </c>
      <c r="V59" s="23" t="s">
        <v>6</v>
      </c>
      <c r="W59" s="24">
        <v>580</v>
      </c>
      <c r="X59" s="35" t="s">
        <v>192</v>
      </c>
      <c r="Y59" s="49" t="s">
        <v>31</v>
      </c>
      <c r="Z59" s="21" t="s">
        <v>85</v>
      </c>
      <c r="AA59" s="19" t="s">
        <v>80</v>
      </c>
      <c r="AB59" s="23" t="s">
        <v>6</v>
      </c>
      <c r="AC59" s="24">
        <v>580</v>
      </c>
      <c r="AD59" s="35" t="s">
        <v>156</v>
      </c>
      <c r="AE59" s="49" t="s">
        <v>31</v>
      </c>
      <c r="AF59" s="21" t="s">
        <v>85</v>
      </c>
      <c r="AG59" s="19" t="s">
        <v>80</v>
      </c>
      <c r="AH59" s="23" t="s">
        <v>6</v>
      </c>
      <c r="AI59" s="24">
        <v>500</v>
      </c>
      <c r="AJ59" s="35" t="s">
        <v>157</v>
      </c>
      <c r="AK59" s="49" t="s">
        <v>31</v>
      </c>
      <c r="AL59" s="21" t="s">
        <v>85</v>
      </c>
      <c r="AM59" s="19" t="s">
        <v>80</v>
      </c>
      <c r="AN59" s="23" t="s">
        <v>6</v>
      </c>
      <c r="AO59" s="24">
        <v>590</v>
      </c>
      <c r="AP59" s="35" t="s">
        <v>199</v>
      </c>
      <c r="AQ59" s="49" t="s">
        <v>31</v>
      </c>
      <c r="AR59" s="21" t="s">
        <v>85</v>
      </c>
      <c r="AS59" s="19" t="s">
        <v>80</v>
      </c>
      <c r="AT59" s="23" t="s">
        <v>6</v>
      </c>
      <c r="AU59" s="24">
        <v>590</v>
      </c>
      <c r="AV59" s="35" t="s">
        <v>200</v>
      </c>
      <c r="AW59" s="49" t="s">
        <v>31</v>
      </c>
      <c r="AX59" s="21" t="s">
        <v>85</v>
      </c>
      <c r="AY59" s="19" t="s">
        <v>80</v>
      </c>
      <c r="AZ59" s="23" t="s">
        <v>6</v>
      </c>
      <c r="BA59" s="24">
        <v>305</v>
      </c>
      <c r="BB59" s="35" t="s">
        <v>108</v>
      </c>
      <c r="BC59" s="49" t="s">
        <v>31</v>
      </c>
      <c r="BD59" s="21" t="s">
        <v>85</v>
      </c>
      <c r="BE59" s="19" t="s">
        <v>80</v>
      </c>
      <c r="BF59" s="23" t="s">
        <v>6</v>
      </c>
      <c r="BG59" s="24">
        <v>510</v>
      </c>
      <c r="BH59" s="35" t="s">
        <v>146</v>
      </c>
      <c r="BI59" s="49" t="s">
        <v>31</v>
      </c>
      <c r="BJ59" s="21" t="s">
        <v>85</v>
      </c>
      <c r="BK59" s="19" t="s">
        <v>80</v>
      </c>
      <c r="BL59" s="23" t="s">
        <v>6</v>
      </c>
      <c r="BM59" s="24">
        <v>195</v>
      </c>
      <c r="BN59" s="35" t="s">
        <v>119</v>
      </c>
      <c r="BO59" s="49" t="s">
        <v>31</v>
      </c>
      <c r="BP59" s="21" t="s">
        <v>85</v>
      </c>
      <c r="BQ59" s="19" t="s">
        <v>80</v>
      </c>
      <c r="BR59" s="23" t="s">
        <v>6</v>
      </c>
      <c r="BS59" s="24">
        <v>293</v>
      </c>
      <c r="BT59" s="35" t="s">
        <v>111</v>
      </c>
    </row>
    <row r="60" spans="1:72" ht="12" customHeight="1" x14ac:dyDescent="0.15">
      <c r="A60" s="49" t="s">
        <v>31</v>
      </c>
      <c r="B60" s="21" t="s">
        <v>56</v>
      </c>
      <c r="C60" s="22" t="s">
        <v>81</v>
      </c>
      <c r="D60" s="23" t="s">
        <v>83</v>
      </c>
      <c r="E60" s="24">
        <v>150</v>
      </c>
      <c r="F60" s="29" t="s">
        <v>158</v>
      </c>
      <c r="G60" s="49" t="s">
        <v>31</v>
      </c>
      <c r="H60" s="21" t="s">
        <v>56</v>
      </c>
      <c r="I60" s="22" t="s">
        <v>81</v>
      </c>
      <c r="J60" s="23" t="s">
        <v>83</v>
      </c>
      <c r="K60" s="24">
        <v>140</v>
      </c>
      <c r="L60" s="29" t="s">
        <v>159</v>
      </c>
      <c r="M60" s="49" t="s">
        <v>31</v>
      </c>
      <c r="N60" s="21" t="s">
        <v>56</v>
      </c>
      <c r="O60" s="22" t="s">
        <v>81</v>
      </c>
      <c r="P60" s="23" t="s">
        <v>83</v>
      </c>
      <c r="Q60" s="23">
        <v>110</v>
      </c>
      <c r="R60" s="29" t="s">
        <v>201</v>
      </c>
      <c r="S60" s="49" t="s">
        <v>31</v>
      </c>
      <c r="T60" s="21" t="s">
        <v>56</v>
      </c>
      <c r="U60" s="22" t="s">
        <v>81</v>
      </c>
      <c r="V60" s="23" t="s">
        <v>83</v>
      </c>
      <c r="W60" s="24">
        <v>91</v>
      </c>
      <c r="X60" s="29" t="s">
        <v>193</v>
      </c>
      <c r="Y60" s="49" t="s">
        <v>31</v>
      </c>
      <c r="Z60" s="21" t="s">
        <v>56</v>
      </c>
      <c r="AA60" s="22" t="s">
        <v>81</v>
      </c>
      <c r="AB60" s="23" t="s">
        <v>83</v>
      </c>
      <c r="AC60" s="23">
        <v>110</v>
      </c>
      <c r="AD60" s="29" t="s">
        <v>160</v>
      </c>
      <c r="AE60" s="49" t="s">
        <v>31</v>
      </c>
      <c r="AF60" s="21" t="s">
        <v>56</v>
      </c>
      <c r="AG60" s="22" t="s">
        <v>81</v>
      </c>
      <c r="AH60" s="23" t="s">
        <v>83</v>
      </c>
      <c r="AI60" s="24">
        <v>120</v>
      </c>
      <c r="AJ60" s="29" t="s">
        <v>161</v>
      </c>
      <c r="AK60" s="49" t="s">
        <v>31</v>
      </c>
      <c r="AL60" s="21" t="s">
        <v>56</v>
      </c>
      <c r="AM60" s="22" t="s">
        <v>81</v>
      </c>
      <c r="AN60" s="23" t="s">
        <v>83</v>
      </c>
      <c r="AO60" s="24">
        <v>130</v>
      </c>
      <c r="AP60" s="29" t="s">
        <v>202</v>
      </c>
      <c r="AQ60" s="49" t="s">
        <v>31</v>
      </c>
      <c r="AR60" s="21" t="s">
        <v>56</v>
      </c>
      <c r="AS60" s="22" t="s">
        <v>81</v>
      </c>
      <c r="AT60" s="23" t="s">
        <v>83</v>
      </c>
      <c r="AU60" s="24">
        <v>130</v>
      </c>
      <c r="AV60" s="29" t="s">
        <v>203</v>
      </c>
      <c r="AW60" s="49" t="s">
        <v>31</v>
      </c>
      <c r="AX60" s="21" t="s">
        <v>56</v>
      </c>
      <c r="AY60" s="22" t="s">
        <v>81</v>
      </c>
      <c r="AZ60" s="23" t="s">
        <v>83</v>
      </c>
      <c r="BA60" s="24">
        <v>98</v>
      </c>
      <c r="BB60" s="29" t="s">
        <v>162</v>
      </c>
      <c r="BC60" s="49" t="s">
        <v>31</v>
      </c>
      <c r="BD60" s="21" t="s">
        <v>56</v>
      </c>
      <c r="BE60" s="22" t="s">
        <v>81</v>
      </c>
      <c r="BF60" s="23" t="s">
        <v>83</v>
      </c>
      <c r="BG60" s="24">
        <v>87</v>
      </c>
      <c r="BH60" s="29" t="s">
        <v>152</v>
      </c>
      <c r="BI60" s="49" t="s">
        <v>31</v>
      </c>
      <c r="BJ60" s="21" t="s">
        <v>56</v>
      </c>
      <c r="BK60" s="22" t="s">
        <v>81</v>
      </c>
      <c r="BL60" s="23" t="s">
        <v>83</v>
      </c>
      <c r="BM60" s="24">
        <v>61</v>
      </c>
      <c r="BN60" s="29" t="s">
        <v>163</v>
      </c>
      <c r="BO60" s="49" t="s">
        <v>31</v>
      </c>
      <c r="BP60" s="21" t="s">
        <v>56</v>
      </c>
      <c r="BQ60" s="22" t="s">
        <v>81</v>
      </c>
      <c r="BR60" s="23" t="s">
        <v>83</v>
      </c>
      <c r="BS60" s="24">
        <v>67</v>
      </c>
      <c r="BT60" s="29" t="s">
        <v>120</v>
      </c>
    </row>
    <row r="61" spans="1:72" ht="12" customHeight="1" x14ac:dyDescent="0.15">
      <c r="A61" s="49" t="s">
        <v>31</v>
      </c>
      <c r="B61" s="21" t="s">
        <v>56</v>
      </c>
      <c r="C61" s="19" t="s">
        <v>81</v>
      </c>
      <c r="D61" s="23" t="s">
        <v>84</v>
      </c>
      <c r="E61" s="24">
        <v>410</v>
      </c>
      <c r="F61" s="34" t="s">
        <v>158</v>
      </c>
      <c r="G61" s="49" t="s">
        <v>31</v>
      </c>
      <c r="H61" s="21" t="s">
        <v>56</v>
      </c>
      <c r="I61" s="19" t="s">
        <v>81</v>
      </c>
      <c r="J61" s="23" t="s">
        <v>84</v>
      </c>
      <c r="K61" s="24">
        <v>390</v>
      </c>
      <c r="L61" s="34" t="s">
        <v>159</v>
      </c>
      <c r="M61" s="49" t="s">
        <v>31</v>
      </c>
      <c r="N61" s="21" t="s">
        <v>56</v>
      </c>
      <c r="O61" s="19" t="s">
        <v>81</v>
      </c>
      <c r="P61" s="23" t="s">
        <v>84</v>
      </c>
      <c r="Q61" s="24">
        <v>310</v>
      </c>
      <c r="R61" s="34" t="s">
        <v>201</v>
      </c>
      <c r="S61" s="49" t="s">
        <v>31</v>
      </c>
      <c r="T61" s="21" t="s">
        <v>56</v>
      </c>
      <c r="U61" s="19" t="s">
        <v>81</v>
      </c>
      <c r="V61" s="23" t="s">
        <v>84</v>
      </c>
      <c r="W61" s="24">
        <v>270</v>
      </c>
      <c r="X61" s="34" t="s">
        <v>193</v>
      </c>
      <c r="Y61" s="49" t="s">
        <v>31</v>
      </c>
      <c r="Z61" s="21" t="s">
        <v>56</v>
      </c>
      <c r="AA61" s="19" t="s">
        <v>81</v>
      </c>
      <c r="AB61" s="23" t="s">
        <v>84</v>
      </c>
      <c r="AC61" s="24">
        <v>320</v>
      </c>
      <c r="AD61" s="34" t="s">
        <v>160</v>
      </c>
      <c r="AE61" s="49" t="s">
        <v>31</v>
      </c>
      <c r="AF61" s="21" t="s">
        <v>56</v>
      </c>
      <c r="AG61" s="19" t="s">
        <v>81</v>
      </c>
      <c r="AH61" s="23" t="s">
        <v>84</v>
      </c>
      <c r="AI61" s="24">
        <v>390</v>
      </c>
      <c r="AJ61" s="34" t="s">
        <v>161</v>
      </c>
      <c r="AK61" s="49" t="s">
        <v>31</v>
      </c>
      <c r="AL61" s="21" t="s">
        <v>56</v>
      </c>
      <c r="AM61" s="19" t="s">
        <v>81</v>
      </c>
      <c r="AN61" s="23" t="s">
        <v>84</v>
      </c>
      <c r="AO61" s="24">
        <v>430</v>
      </c>
      <c r="AP61" s="34" t="s">
        <v>202</v>
      </c>
      <c r="AQ61" s="49" t="s">
        <v>31</v>
      </c>
      <c r="AR61" s="21" t="s">
        <v>56</v>
      </c>
      <c r="AS61" s="19" t="s">
        <v>81</v>
      </c>
      <c r="AT61" s="23" t="s">
        <v>84</v>
      </c>
      <c r="AU61" s="24">
        <v>420</v>
      </c>
      <c r="AV61" s="34" t="s">
        <v>203</v>
      </c>
      <c r="AW61" s="49" t="s">
        <v>31</v>
      </c>
      <c r="AX61" s="21" t="s">
        <v>56</v>
      </c>
      <c r="AY61" s="19" t="s">
        <v>81</v>
      </c>
      <c r="AZ61" s="23" t="s">
        <v>84</v>
      </c>
      <c r="BA61" s="24">
        <v>330</v>
      </c>
      <c r="BB61" s="34" t="s">
        <v>162</v>
      </c>
      <c r="BC61" s="49" t="s">
        <v>31</v>
      </c>
      <c r="BD61" s="21" t="s">
        <v>56</v>
      </c>
      <c r="BE61" s="19" t="s">
        <v>81</v>
      </c>
      <c r="BF61" s="23" t="s">
        <v>84</v>
      </c>
      <c r="BG61" s="24">
        <v>280</v>
      </c>
      <c r="BH61" s="34" t="s">
        <v>152</v>
      </c>
      <c r="BI61" s="49" t="s">
        <v>31</v>
      </c>
      <c r="BJ61" s="21" t="s">
        <v>56</v>
      </c>
      <c r="BK61" s="19" t="s">
        <v>81</v>
      </c>
      <c r="BL61" s="23" t="s">
        <v>84</v>
      </c>
      <c r="BM61" s="24">
        <v>230</v>
      </c>
      <c r="BN61" s="34" t="s">
        <v>163</v>
      </c>
      <c r="BO61" s="49" t="s">
        <v>31</v>
      </c>
      <c r="BP61" s="21" t="s">
        <v>56</v>
      </c>
      <c r="BQ61" s="19" t="s">
        <v>81</v>
      </c>
      <c r="BR61" s="23" t="s">
        <v>84</v>
      </c>
      <c r="BS61" s="24">
        <v>240</v>
      </c>
      <c r="BT61" s="34" t="s">
        <v>120</v>
      </c>
    </row>
    <row r="62" spans="1:72" ht="12" customHeight="1" x14ac:dyDescent="0.15">
      <c r="A62" s="49" t="s">
        <v>31</v>
      </c>
      <c r="B62" s="21" t="s">
        <v>56</v>
      </c>
      <c r="C62" s="19" t="s">
        <v>81</v>
      </c>
      <c r="D62" s="23" t="s">
        <v>6</v>
      </c>
      <c r="E62" s="24">
        <v>560</v>
      </c>
      <c r="F62" s="35" t="s">
        <v>158</v>
      </c>
      <c r="G62" s="49" t="s">
        <v>31</v>
      </c>
      <c r="H62" s="21" t="s">
        <v>56</v>
      </c>
      <c r="I62" s="19" t="s">
        <v>81</v>
      </c>
      <c r="J62" s="23" t="s">
        <v>6</v>
      </c>
      <c r="K62" s="24">
        <v>530</v>
      </c>
      <c r="L62" s="35" t="s">
        <v>159</v>
      </c>
      <c r="M62" s="49" t="s">
        <v>31</v>
      </c>
      <c r="N62" s="21" t="s">
        <v>56</v>
      </c>
      <c r="O62" s="19" t="s">
        <v>81</v>
      </c>
      <c r="P62" s="23" t="s">
        <v>6</v>
      </c>
      <c r="Q62" s="24">
        <v>420</v>
      </c>
      <c r="R62" s="35" t="s">
        <v>201</v>
      </c>
      <c r="S62" s="49" t="s">
        <v>31</v>
      </c>
      <c r="T62" s="21" t="s">
        <v>56</v>
      </c>
      <c r="U62" s="19" t="s">
        <v>81</v>
      </c>
      <c r="V62" s="23" t="s">
        <v>6</v>
      </c>
      <c r="W62" s="24">
        <v>361</v>
      </c>
      <c r="X62" s="35" t="s">
        <v>193</v>
      </c>
      <c r="Y62" s="49" t="s">
        <v>31</v>
      </c>
      <c r="Z62" s="21" t="s">
        <v>56</v>
      </c>
      <c r="AA62" s="19" t="s">
        <v>81</v>
      </c>
      <c r="AB62" s="23" t="s">
        <v>6</v>
      </c>
      <c r="AC62" s="24">
        <v>430</v>
      </c>
      <c r="AD62" s="35" t="s">
        <v>160</v>
      </c>
      <c r="AE62" s="49" t="s">
        <v>31</v>
      </c>
      <c r="AF62" s="21" t="s">
        <v>56</v>
      </c>
      <c r="AG62" s="19" t="s">
        <v>81</v>
      </c>
      <c r="AH62" s="23" t="s">
        <v>6</v>
      </c>
      <c r="AI62" s="24">
        <v>510</v>
      </c>
      <c r="AJ62" s="35" t="s">
        <v>161</v>
      </c>
      <c r="AK62" s="49" t="s">
        <v>31</v>
      </c>
      <c r="AL62" s="21" t="s">
        <v>56</v>
      </c>
      <c r="AM62" s="19" t="s">
        <v>81</v>
      </c>
      <c r="AN62" s="23" t="s">
        <v>6</v>
      </c>
      <c r="AO62" s="24">
        <v>560</v>
      </c>
      <c r="AP62" s="35" t="s">
        <v>202</v>
      </c>
      <c r="AQ62" s="49" t="s">
        <v>31</v>
      </c>
      <c r="AR62" s="21" t="s">
        <v>56</v>
      </c>
      <c r="AS62" s="19" t="s">
        <v>81</v>
      </c>
      <c r="AT62" s="23" t="s">
        <v>6</v>
      </c>
      <c r="AU62" s="24">
        <v>550</v>
      </c>
      <c r="AV62" s="35" t="s">
        <v>203</v>
      </c>
      <c r="AW62" s="49" t="s">
        <v>31</v>
      </c>
      <c r="AX62" s="21" t="s">
        <v>56</v>
      </c>
      <c r="AY62" s="19" t="s">
        <v>81</v>
      </c>
      <c r="AZ62" s="23" t="s">
        <v>6</v>
      </c>
      <c r="BA62" s="24">
        <v>428</v>
      </c>
      <c r="BB62" s="35" t="s">
        <v>162</v>
      </c>
      <c r="BC62" s="49" t="s">
        <v>31</v>
      </c>
      <c r="BD62" s="21" t="s">
        <v>56</v>
      </c>
      <c r="BE62" s="19" t="s">
        <v>81</v>
      </c>
      <c r="BF62" s="23" t="s">
        <v>6</v>
      </c>
      <c r="BG62" s="24">
        <v>367</v>
      </c>
      <c r="BH62" s="35" t="s">
        <v>152</v>
      </c>
      <c r="BI62" s="49" t="s">
        <v>31</v>
      </c>
      <c r="BJ62" s="21" t="s">
        <v>56</v>
      </c>
      <c r="BK62" s="19" t="s">
        <v>81</v>
      </c>
      <c r="BL62" s="23" t="s">
        <v>6</v>
      </c>
      <c r="BM62" s="24">
        <v>291</v>
      </c>
      <c r="BN62" s="35" t="s">
        <v>163</v>
      </c>
      <c r="BO62" s="49" t="s">
        <v>31</v>
      </c>
      <c r="BP62" s="21" t="s">
        <v>56</v>
      </c>
      <c r="BQ62" s="19" t="s">
        <v>81</v>
      </c>
      <c r="BR62" s="23" t="s">
        <v>6</v>
      </c>
      <c r="BS62" s="24">
        <v>307</v>
      </c>
      <c r="BT62" s="35" t="s">
        <v>120</v>
      </c>
    </row>
    <row r="63" spans="1:72" ht="12" customHeight="1" x14ac:dyDescent="0.15">
      <c r="A63" s="49" t="s">
        <v>31</v>
      </c>
      <c r="B63" s="21" t="s">
        <v>86</v>
      </c>
      <c r="C63" s="22" t="s">
        <v>53</v>
      </c>
      <c r="D63" s="23" t="s">
        <v>83</v>
      </c>
      <c r="E63" s="27">
        <v>1.9</v>
      </c>
      <c r="F63" s="29" t="s">
        <v>104</v>
      </c>
      <c r="G63" s="49" t="s">
        <v>31</v>
      </c>
      <c r="H63" s="21" t="s">
        <v>86</v>
      </c>
      <c r="I63" s="22" t="s">
        <v>53</v>
      </c>
      <c r="J63" s="23" t="s">
        <v>83</v>
      </c>
      <c r="K63" s="27">
        <v>1.6</v>
      </c>
      <c r="L63" s="29" t="s">
        <v>159</v>
      </c>
      <c r="M63" s="49" t="s">
        <v>31</v>
      </c>
      <c r="N63" s="21" t="s">
        <v>86</v>
      </c>
      <c r="O63" s="22" t="s">
        <v>53</v>
      </c>
      <c r="P63" s="23" t="s">
        <v>83</v>
      </c>
      <c r="Q63" s="27">
        <v>3.7</v>
      </c>
      <c r="R63" s="29" t="s">
        <v>201</v>
      </c>
      <c r="S63" s="49" t="s">
        <v>31</v>
      </c>
      <c r="T63" s="21" t="s">
        <v>86</v>
      </c>
      <c r="U63" s="22" t="s">
        <v>53</v>
      </c>
      <c r="V63" s="23" t="s">
        <v>83</v>
      </c>
      <c r="W63" s="27">
        <v>2.9</v>
      </c>
      <c r="X63" s="29" t="s">
        <v>193</v>
      </c>
      <c r="Y63" s="49" t="s">
        <v>31</v>
      </c>
      <c r="Z63" s="21" t="s">
        <v>86</v>
      </c>
      <c r="AA63" s="22" t="s">
        <v>53</v>
      </c>
      <c r="AB63" s="23" t="s">
        <v>83</v>
      </c>
      <c r="AC63" s="27">
        <v>1.4</v>
      </c>
      <c r="AD63" s="29" t="s">
        <v>160</v>
      </c>
      <c r="AE63" s="49" t="s">
        <v>31</v>
      </c>
      <c r="AF63" s="21" t="s">
        <v>86</v>
      </c>
      <c r="AG63" s="22" t="s">
        <v>53</v>
      </c>
      <c r="AH63" s="23" t="s">
        <v>83</v>
      </c>
      <c r="AI63" s="27">
        <v>3.8</v>
      </c>
      <c r="AJ63" s="29" t="s">
        <v>161</v>
      </c>
      <c r="AK63" s="49" t="s">
        <v>31</v>
      </c>
      <c r="AL63" s="21" t="s">
        <v>86</v>
      </c>
      <c r="AM63" s="22" t="s">
        <v>53</v>
      </c>
      <c r="AN63" s="23" t="s">
        <v>83</v>
      </c>
      <c r="AO63" s="27">
        <v>3.8</v>
      </c>
      <c r="AP63" s="29" t="s">
        <v>202</v>
      </c>
      <c r="AQ63" s="49" t="s">
        <v>31</v>
      </c>
      <c r="AR63" s="21" t="s">
        <v>86</v>
      </c>
      <c r="AS63" s="22" t="s">
        <v>53</v>
      </c>
      <c r="AT63" s="23" t="s">
        <v>83</v>
      </c>
      <c r="AU63" s="27">
        <v>1.6</v>
      </c>
      <c r="AV63" s="29" t="s">
        <v>204</v>
      </c>
      <c r="AW63" s="49" t="s">
        <v>31</v>
      </c>
      <c r="AX63" s="21" t="s">
        <v>86</v>
      </c>
      <c r="AY63" s="22" t="s">
        <v>53</v>
      </c>
      <c r="AZ63" s="23" t="s">
        <v>83</v>
      </c>
      <c r="BA63" s="27">
        <v>2.9</v>
      </c>
      <c r="BB63" s="29" t="s">
        <v>162</v>
      </c>
      <c r="BC63" s="49" t="s">
        <v>31</v>
      </c>
      <c r="BD63" s="21" t="s">
        <v>86</v>
      </c>
      <c r="BE63" s="22" t="s">
        <v>53</v>
      </c>
      <c r="BF63" s="23" t="s">
        <v>83</v>
      </c>
      <c r="BG63" s="27">
        <v>1.1000000000000001</v>
      </c>
      <c r="BH63" s="29" t="s">
        <v>152</v>
      </c>
      <c r="BI63" s="49" t="s">
        <v>31</v>
      </c>
      <c r="BJ63" s="21" t="s">
        <v>86</v>
      </c>
      <c r="BK63" s="22" t="s">
        <v>53</v>
      </c>
      <c r="BL63" s="23" t="s">
        <v>83</v>
      </c>
      <c r="BM63" s="27">
        <v>1.6</v>
      </c>
      <c r="BN63" s="29" t="s">
        <v>163</v>
      </c>
      <c r="BO63" s="49" t="s">
        <v>31</v>
      </c>
      <c r="BP63" s="21" t="s">
        <v>86</v>
      </c>
      <c r="BQ63" s="22" t="s">
        <v>53</v>
      </c>
      <c r="BR63" s="23" t="s">
        <v>83</v>
      </c>
      <c r="BS63" s="27">
        <v>2.4</v>
      </c>
      <c r="BT63" s="29" t="s">
        <v>120</v>
      </c>
    </row>
    <row r="64" spans="1:72" ht="12" customHeight="1" x14ac:dyDescent="0.15">
      <c r="A64" s="49" t="s">
        <v>31</v>
      </c>
      <c r="B64" s="21" t="s">
        <v>86</v>
      </c>
      <c r="C64" s="19" t="s">
        <v>53</v>
      </c>
      <c r="D64" s="23" t="s">
        <v>84</v>
      </c>
      <c r="E64" s="27">
        <v>4.4000000000000004</v>
      </c>
      <c r="F64" s="34" t="s">
        <v>104</v>
      </c>
      <c r="G64" s="49" t="s">
        <v>31</v>
      </c>
      <c r="H64" s="21" t="s">
        <v>86</v>
      </c>
      <c r="I64" s="19" t="s">
        <v>53</v>
      </c>
      <c r="J64" s="23" t="s">
        <v>84</v>
      </c>
      <c r="K64" s="27">
        <v>4.5999999999999996</v>
      </c>
      <c r="L64" s="34" t="s">
        <v>159</v>
      </c>
      <c r="M64" s="49" t="s">
        <v>31</v>
      </c>
      <c r="N64" s="21" t="s">
        <v>86</v>
      </c>
      <c r="O64" s="19" t="s">
        <v>53</v>
      </c>
      <c r="P64" s="23" t="s">
        <v>84</v>
      </c>
      <c r="Q64" s="23">
        <v>10</v>
      </c>
      <c r="R64" s="34" t="s">
        <v>201</v>
      </c>
      <c r="S64" s="49" t="s">
        <v>31</v>
      </c>
      <c r="T64" s="21" t="s">
        <v>86</v>
      </c>
      <c r="U64" s="19" t="s">
        <v>53</v>
      </c>
      <c r="V64" s="23" t="s">
        <v>84</v>
      </c>
      <c r="W64" s="27">
        <v>8.4</v>
      </c>
      <c r="X64" s="34" t="s">
        <v>193</v>
      </c>
      <c r="Y64" s="49" t="s">
        <v>31</v>
      </c>
      <c r="Z64" s="21" t="s">
        <v>86</v>
      </c>
      <c r="AA64" s="19" t="s">
        <v>53</v>
      </c>
      <c r="AB64" s="23" t="s">
        <v>84</v>
      </c>
      <c r="AC64" s="27">
        <v>5.0999999999999996</v>
      </c>
      <c r="AD64" s="34" t="s">
        <v>160</v>
      </c>
      <c r="AE64" s="49" t="s">
        <v>31</v>
      </c>
      <c r="AF64" s="21" t="s">
        <v>86</v>
      </c>
      <c r="AG64" s="19" t="s">
        <v>53</v>
      </c>
      <c r="AH64" s="23" t="s">
        <v>84</v>
      </c>
      <c r="AI64" s="24">
        <v>13</v>
      </c>
      <c r="AJ64" s="34" t="s">
        <v>161</v>
      </c>
      <c r="AK64" s="49" t="s">
        <v>31</v>
      </c>
      <c r="AL64" s="21" t="s">
        <v>86</v>
      </c>
      <c r="AM64" s="19" t="s">
        <v>53</v>
      </c>
      <c r="AN64" s="23" t="s">
        <v>84</v>
      </c>
      <c r="AO64" s="24">
        <v>12</v>
      </c>
      <c r="AP64" s="34" t="s">
        <v>202</v>
      </c>
      <c r="AQ64" s="49" t="s">
        <v>31</v>
      </c>
      <c r="AR64" s="21" t="s">
        <v>86</v>
      </c>
      <c r="AS64" s="19" t="s">
        <v>53</v>
      </c>
      <c r="AT64" s="23" t="s">
        <v>84</v>
      </c>
      <c r="AU64" s="27">
        <v>4.4000000000000004</v>
      </c>
      <c r="AV64" s="34" t="s">
        <v>204</v>
      </c>
      <c r="AW64" s="49" t="s">
        <v>31</v>
      </c>
      <c r="AX64" s="21" t="s">
        <v>86</v>
      </c>
      <c r="AY64" s="19" t="s">
        <v>53</v>
      </c>
      <c r="AZ64" s="23" t="s">
        <v>84</v>
      </c>
      <c r="BA64" s="27">
        <v>9.3000000000000007</v>
      </c>
      <c r="BB64" s="34" t="s">
        <v>162</v>
      </c>
      <c r="BC64" s="49" t="s">
        <v>31</v>
      </c>
      <c r="BD64" s="21" t="s">
        <v>86</v>
      </c>
      <c r="BE64" s="19" t="s">
        <v>53</v>
      </c>
      <c r="BF64" s="23" t="s">
        <v>84</v>
      </c>
      <c r="BG64" s="23">
        <v>7.4</v>
      </c>
      <c r="BH64" s="34" t="s">
        <v>152</v>
      </c>
      <c r="BI64" s="49" t="s">
        <v>31</v>
      </c>
      <c r="BJ64" s="21" t="s">
        <v>86</v>
      </c>
      <c r="BK64" s="19" t="s">
        <v>53</v>
      </c>
      <c r="BL64" s="23" t="s">
        <v>84</v>
      </c>
      <c r="BM64" s="27">
        <v>5.9</v>
      </c>
      <c r="BN64" s="34" t="s">
        <v>163</v>
      </c>
      <c r="BO64" s="49" t="s">
        <v>31</v>
      </c>
      <c r="BP64" s="21" t="s">
        <v>86</v>
      </c>
      <c r="BQ64" s="19" t="s">
        <v>53</v>
      </c>
      <c r="BR64" s="23" t="s">
        <v>84</v>
      </c>
      <c r="BS64" s="27">
        <v>8.1</v>
      </c>
      <c r="BT64" s="34" t="s">
        <v>120</v>
      </c>
    </row>
    <row r="65" spans="1:72" ht="12" customHeight="1" x14ac:dyDescent="0.15">
      <c r="A65" s="49" t="s">
        <v>31</v>
      </c>
      <c r="B65" s="21" t="s">
        <v>86</v>
      </c>
      <c r="C65" s="19" t="s">
        <v>53</v>
      </c>
      <c r="D65" s="23" t="s">
        <v>6</v>
      </c>
      <c r="E65" s="27">
        <v>6.3</v>
      </c>
      <c r="F65" s="35" t="s">
        <v>104</v>
      </c>
      <c r="G65" s="49" t="s">
        <v>31</v>
      </c>
      <c r="H65" s="21" t="s">
        <v>86</v>
      </c>
      <c r="I65" s="19" t="s">
        <v>53</v>
      </c>
      <c r="J65" s="23" t="s">
        <v>6</v>
      </c>
      <c r="K65" s="27">
        <v>6.2</v>
      </c>
      <c r="L65" s="35" t="s">
        <v>159</v>
      </c>
      <c r="M65" s="49" t="s">
        <v>31</v>
      </c>
      <c r="N65" s="21" t="s">
        <v>86</v>
      </c>
      <c r="O65" s="19" t="s">
        <v>53</v>
      </c>
      <c r="P65" s="23" t="s">
        <v>6</v>
      </c>
      <c r="Q65" s="27">
        <v>13.7</v>
      </c>
      <c r="R65" s="35" t="s">
        <v>201</v>
      </c>
      <c r="S65" s="49" t="s">
        <v>31</v>
      </c>
      <c r="T65" s="21" t="s">
        <v>86</v>
      </c>
      <c r="U65" s="19" t="s">
        <v>53</v>
      </c>
      <c r="V65" s="23" t="s">
        <v>6</v>
      </c>
      <c r="W65" s="27">
        <v>11.3</v>
      </c>
      <c r="X65" s="35" t="s">
        <v>193</v>
      </c>
      <c r="Y65" s="49" t="s">
        <v>31</v>
      </c>
      <c r="Z65" s="21" t="s">
        <v>86</v>
      </c>
      <c r="AA65" s="19" t="s">
        <v>53</v>
      </c>
      <c r="AB65" s="23" t="s">
        <v>6</v>
      </c>
      <c r="AC65" s="27">
        <v>6.5</v>
      </c>
      <c r="AD65" s="35" t="s">
        <v>160</v>
      </c>
      <c r="AE65" s="49" t="s">
        <v>31</v>
      </c>
      <c r="AF65" s="21" t="s">
        <v>86</v>
      </c>
      <c r="AG65" s="19" t="s">
        <v>53</v>
      </c>
      <c r="AH65" s="23" t="s">
        <v>6</v>
      </c>
      <c r="AI65" s="27">
        <v>16.8</v>
      </c>
      <c r="AJ65" s="35" t="s">
        <v>161</v>
      </c>
      <c r="AK65" s="49" t="s">
        <v>31</v>
      </c>
      <c r="AL65" s="21" t="s">
        <v>86</v>
      </c>
      <c r="AM65" s="19" t="s">
        <v>53</v>
      </c>
      <c r="AN65" s="23" t="s">
        <v>6</v>
      </c>
      <c r="AO65" s="27">
        <v>15.8</v>
      </c>
      <c r="AP65" s="35" t="s">
        <v>202</v>
      </c>
      <c r="AQ65" s="49" t="s">
        <v>31</v>
      </c>
      <c r="AR65" s="21" t="s">
        <v>86</v>
      </c>
      <c r="AS65" s="19" t="s">
        <v>53</v>
      </c>
      <c r="AT65" s="23" t="s">
        <v>6</v>
      </c>
      <c r="AU65" s="24">
        <v>6</v>
      </c>
      <c r="AV65" s="35" t="s">
        <v>204</v>
      </c>
      <c r="AW65" s="49" t="s">
        <v>31</v>
      </c>
      <c r="AX65" s="21" t="s">
        <v>86</v>
      </c>
      <c r="AY65" s="19" t="s">
        <v>53</v>
      </c>
      <c r="AZ65" s="23" t="s">
        <v>6</v>
      </c>
      <c r="BA65" s="27">
        <v>12.2</v>
      </c>
      <c r="BB65" s="35" t="s">
        <v>162</v>
      </c>
      <c r="BC65" s="49" t="s">
        <v>31</v>
      </c>
      <c r="BD65" s="21" t="s">
        <v>86</v>
      </c>
      <c r="BE65" s="19" t="s">
        <v>53</v>
      </c>
      <c r="BF65" s="23" t="s">
        <v>6</v>
      </c>
      <c r="BG65" s="27">
        <v>8.5</v>
      </c>
      <c r="BH65" s="35" t="s">
        <v>152</v>
      </c>
      <c r="BI65" s="49" t="s">
        <v>31</v>
      </c>
      <c r="BJ65" s="21" t="s">
        <v>86</v>
      </c>
      <c r="BK65" s="19" t="s">
        <v>53</v>
      </c>
      <c r="BL65" s="23" t="s">
        <v>6</v>
      </c>
      <c r="BM65" s="23">
        <v>7.5</v>
      </c>
      <c r="BN65" s="35" t="s">
        <v>163</v>
      </c>
      <c r="BO65" s="49" t="s">
        <v>31</v>
      </c>
      <c r="BP65" s="21" t="s">
        <v>86</v>
      </c>
      <c r="BQ65" s="19" t="s">
        <v>53</v>
      </c>
      <c r="BR65" s="23" t="s">
        <v>6</v>
      </c>
      <c r="BS65" s="27">
        <v>10.5</v>
      </c>
      <c r="BT65" s="35" t="s">
        <v>120</v>
      </c>
    </row>
    <row r="66" spans="1:72" ht="12" customHeight="1" x14ac:dyDescent="0.15">
      <c r="A66" s="49" t="s">
        <v>39</v>
      </c>
      <c r="B66" s="21" t="s">
        <v>54</v>
      </c>
      <c r="C66" s="22" t="s">
        <v>62</v>
      </c>
      <c r="D66" s="23" t="s">
        <v>83</v>
      </c>
      <c r="E66" s="24">
        <v>22</v>
      </c>
      <c r="F66" s="29" t="s">
        <v>141</v>
      </c>
      <c r="G66" s="49" t="s">
        <v>39</v>
      </c>
      <c r="H66" s="21" t="s">
        <v>54</v>
      </c>
      <c r="I66" s="22" t="s">
        <v>62</v>
      </c>
      <c r="J66" s="23" t="s">
        <v>83</v>
      </c>
      <c r="K66" s="24">
        <v>31</v>
      </c>
      <c r="L66" s="29" t="s">
        <v>159</v>
      </c>
      <c r="M66" s="49" t="s">
        <v>39</v>
      </c>
      <c r="N66" s="21" t="s">
        <v>54</v>
      </c>
      <c r="O66" s="22" t="s">
        <v>62</v>
      </c>
      <c r="P66" s="23" t="s">
        <v>83</v>
      </c>
      <c r="Q66" s="24">
        <v>30</v>
      </c>
      <c r="R66" s="29" t="s">
        <v>113</v>
      </c>
      <c r="S66" s="49" t="s">
        <v>39</v>
      </c>
      <c r="T66" s="21" t="s">
        <v>54</v>
      </c>
      <c r="U66" s="22" t="s">
        <v>62</v>
      </c>
      <c r="V66" s="23" t="s">
        <v>83</v>
      </c>
      <c r="W66" s="24">
        <v>21</v>
      </c>
      <c r="X66" s="29" t="s">
        <v>164</v>
      </c>
      <c r="Y66" s="49" t="s">
        <v>39</v>
      </c>
      <c r="Z66" s="21" t="s">
        <v>54</v>
      </c>
      <c r="AA66" s="22" t="s">
        <v>62</v>
      </c>
      <c r="AB66" s="23" t="s">
        <v>83</v>
      </c>
      <c r="AC66" s="24">
        <v>16</v>
      </c>
      <c r="AD66" s="29" t="s">
        <v>165</v>
      </c>
      <c r="AE66" s="49" t="s">
        <v>39</v>
      </c>
      <c r="AF66" s="21" t="s">
        <v>54</v>
      </c>
      <c r="AG66" s="22" t="s">
        <v>62</v>
      </c>
      <c r="AH66" s="23" t="s">
        <v>83</v>
      </c>
      <c r="AI66" s="24">
        <v>15</v>
      </c>
      <c r="AJ66" s="29" t="s">
        <v>166</v>
      </c>
      <c r="AK66" s="49" t="s">
        <v>39</v>
      </c>
      <c r="AL66" s="21" t="s">
        <v>54</v>
      </c>
      <c r="AM66" s="22" t="s">
        <v>62</v>
      </c>
      <c r="AN66" s="23" t="s">
        <v>83</v>
      </c>
      <c r="AO66" s="24">
        <v>13</v>
      </c>
      <c r="AP66" s="29" t="s">
        <v>205</v>
      </c>
      <c r="AQ66" s="49" t="s">
        <v>39</v>
      </c>
      <c r="AR66" s="21" t="s">
        <v>54</v>
      </c>
      <c r="AS66" s="22" t="s">
        <v>62</v>
      </c>
      <c r="AT66" s="23" t="s">
        <v>83</v>
      </c>
      <c r="AU66" s="24">
        <v>11</v>
      </c>
      <c r="AV66" s="31" t="s">
        <v>243</v>
      </c>
      <c r="AW66" s="49" t="s">
        <v>39</v>
      </c>
      <c r="AX66" s="21" t="s">
        <v>54</v>
      </c>
      <c r="AY66" s="22" t="s">
        <v>62</v>
      </c>
      <c r="AZ66" s="23" t="s">
        <v>83</v>
      </c>
      <c r="BA66" s="24">
        <v>13</v>
      </c>
      <c r="BB66" s="29" t="s">
        <v>102</v>
      </c>
      <c r="BC66" s="49" t="s">
        <v>39</v>
      </c>
      <c r="BD66" s="21" t="s">
        <v>54</v>
      </c>
      <c r="BE66" s="22" t="s">
        <v>62</v>
      </c>
      <c r="BF66" s="23" t="s">
        <v>83</v>
      </c>
      <c r="BG66" s="27">
        <v>5.2</v>
      </c>
      <c r="BH66" s="29" t="s">
        <v>167</v>
      </c>
      <c r="BI66" s="49" t="s">
        <v>39</v>
      </c>
      <c r="BJ66" s="21" t="s">
        <v>54</v>
      </c>
      <c r="BK66" s="22" t="s">
        <v>62</v>
      </c>
      <c r="BL66" s="23" t="s">
        <v>83</v>
      </c>
      <c r="BM66" s="4"/>
      <c r="BN66" s="18"/>
      <c r="BO66" s="49" t="s">
        <v>39</v>
      </c>
      <c r="BP66" s="21" t="s">
        <v>54</v>
      </c>
      <c r="BQ66" s="22" t="s">
        <v>62</v>
      </c>
      <c r="BR66" s="23" t="s">
        <v>83</v>
      </c>
      <c r="BS66" s="4"/>
      <c r="BT66" s="18"/>
    </row>
    <row r="67" spans="1:72" ht="12" customHeight="1" x14ac:dyDescent="0.15">
      <c r="A67" s="49" t="s">
        <v>39</v>
      </c>
      <c r="B67" s="21" t="s">
        <v>54</v>
      </c>
      <c r="C67" s="22" t="s">
        <v>62</v>
      </c>
      <c r="D67" s="23" t="s">
        <v>84</v>
      </c>
      <c r="E67" s="24">
        <v>82</v>
      </c>
      <c r="F67" s="34" t="s">
        <v>141</v>
      </c>
      <c r="G67" s="49" t="s">
        <v>39</v>
      </c>
      <c r="H67" s="21" t="s">
        <v>54</v>
      </c>
      <c r="I67" s="22" t="s">
        <v>62</v>
      </c>
      <c r="J67" s="23" t="s">
        <v>84</v>
      </c>
      <c r="K67" s="24">
        <v>120</v>
      </c>
      <c r="L67" s="34" t="s">
        <v>159</v>
      </c>
      <c r="M67" s="49" t="s">
        <v>39</v>
      </c>
      <c r="N67" s="21" t="s">
        <v>54</v>
      </c>
      <c r="O67" s="22" t="s">
        <v>62</v>
      </c>
      <c r="P67" s="23" t="s">
        <v>84</v>
      </c>
      <c r="Q67" s="24">
        <v>130</v>
      </c>
      <c r="R67" s="34" t="s">
        <v>113</v>
      </c>
      <c r="S67" s="49" t="s">
        <v>39</v>
      </c>
      <c r="T67" s="21" t="s">
        <v>54</v>
      </c>
      <c r="U67" s="22" t="s">
        <v>62</v>
      </c>
      <c r="V67" s="23" t="s">
        <v>84</v>
      </c>
      <c r="W67" s="24">
        <v>74</v>
      </c>
      <c r="X67" s="34" t="s">
        <v>164</v>
      </c>
      <c r="Y67" s="49" t="s">
        <v>39</v>
      </c>
      <c r="Z67" s="21" t="s">
        <v>54</v>
      </c>
      <c r="AA67" s="22" t="s">
        <v>62</v>
      </c>
      <c r="AB67" s="23" t="s">
        <v>84</v>
      </c>
      <c r="AC67" s="24">
        <v>68</v>
      </c>
      <c r="AD67" s="34" t="s">
        <v>165</v>
      </c>
      <c r="AE67" s="49" t="s">
        <v>39</v>
      </c>
      <c r="AF67" s="21" t="s">
        <v>54</v>
      </c>
      <c r="AG67" s="22" t="s">
        <v>62</v>
      </c>
      <c r="AH67" s="23" t="s">
        <v>84</v>
      </c>
      <c r="AI67" s="24">
        <v>67</v>
      </c>
      <c r="AJ67" s="34" t="s">
        <v>166</v>
      </c>
      <c r="AK67" s="49" t="s">
        <v>39</v>
      </c>
      <c r="AL67" s="21" t="s">
        <v>54</v>
      </c>
      <c r="AM67" s="22" t="s">
        <v>62</v>
      </c>
      <c r="AN67" s="23" t="s">
        <v>84</v>
      </c>
      <c r="AO67" s="24">
        <v>65</v>
      </c>
      <c r="AP67" s="34" t="s">
        <v>205</v>
      </c>
      <c r="AQ67" s="49" t="s">
        <v>39</v>
      </c>
      <c r="AR67" s="21" t="s">
        <v>54</v>
      </c>
      <c r="AS67" s="22" t="s">
        <v>62</v>
      </c>
      <c r="AT67" s="23" t="s">
        <v>84</v>
      </c>
      <c r="AU67" s="24">
        <v>51</v>
      </c>
      <c r="AV67" s="34" t="s">
        <v>206</v>
      </c>
      <c r="AW67" s="49" t="s">
        <v>39</v>
      </c>
      <c r="AX67" s="21" t="s">
        <v>54</v>
      </c>
      <c r="AY67" s="22" t="s">
        <v>62</v>
      </c>
      <c r="AZ67" s="23" t="s">
        <v>84</v>
      </c>
      <c r="BA67" s="24">
        <v>57</v>
      </c>
      <c r="BB67" s="34" t="s">
        <v>102</v>
      </c>
      <c r="BC67" s="49" t="s">
        <v>39</v>
      </c>
      <c r="BD67" s="21" t="s">
        <v>54</v>
      </c>
      <c r="BE67" s="22" t="s">
        <v>62</v>
      </c>
      <c r="BF67" s="23" t="s">
        <v>84</v>
      </c>
      <c r="BG67" s="24">
        <v>27</v>
      </c>
      <c r="BH67" s="34" t="s">
        <v>167</v>
      </c>
      <c r="BI67" s="49" t="s">
        <v>39</v>
      </c>
      <c r="BJ67" s="21" t="s">
        <v>54</v>
      </c>
      <c r="BK67" s="22" t="s">
        <v>62</v>
      </c>
      <c r="BL67" s="23" t="s">
        <v>84</v>
      </c>
      <c r="BM67" s="4"/>
      <c r="BN67" s="6"/>
      <c r="BO67" s="49" t="s">
        <v>39</v>
      </c>
      <c r="BP67" s="21" t="s">
        <v>54</v>
      </c>
      <c r="BQ67" s="22" t="s">
        <v>62</v>
      </c>
      <c r="BR67" s="23" t="s">
        <v>84</v>
      </c>
      <c r="BS67" s="4"/>
      <c r="BT67" s="6"/>
    </row>
    <row r="68" spans="1:72" ht="12" customHeight="1" x14ac:dyDescent="0.15">
      <c r="A68" s="49" t="s">
        <v>39</v>
      </c>
      <c r="B68" s="21" t="s">
        <v>54</v>
      </c>
      <c r="C68" s="22" t="s">
        <v>62</v>
      </c>
      <c r="D68" s="23" t="s">
        <v>6</v>
      </c>
      <c r="E68" s="24">
        <v>104</v>
      </c>
      <c r="F68" s="35" t="s">
        <v>141</v>
      </c>
      <c r="G68" s="49" t="s">
        <v>39</v>
      </c>
      <c r="H68" s="21" t="s">
        <v>54</v>
      </c>
      <c r="I68" s="22" t="s">
        <v>62</v>
      </c>
      <c r="J68" s="23" t="s">
        <v>6</v>
      </c>
      <c r="K68" s="24">
        <v>151</v>
      </c>
      <c r="L68" s="35" t="s">
        <v>159</v>
      </c>
      <c r="M68" s="49" t="s">
        <v>39</v>
      </c>
      <c r="N68" s="21" t="s">
        <v>54</v>
      </c>
      <c r="O68" s="22" t="s">
        <v>62</v>
      </c>
      <c r="P68" s="23" t="s">
        <v>6</v>
      </c>
      <c r="Q68" s="24">
        <v>160</v>
      </c>
      <c r="R68" s="35" t="s">
        <v>113</v>
      </c>
      <c r="S68" s="49" t="s">
        <v>39</v>
      </c>
      <c r="T68" s="21" t="s">
        <v>54</v>
      </c>
      <c r="U68" s="22" t="s">
        <v>62</v>
      </c>
      <c r="V68" s="23" t="s">
        <v>6</v>
      </c>
      <c r="W68" s="24">
        <v>95</v>
      </c>
      <c r="X68" s="35" t="s">
        <v>164</v>
      </c>
      <c r="Y68" s="49" t="s">
        <v>39</v>
      </c>
      <c r="Z68" s="21" t="s">
        <v>54</v>
      </c>
      <c r="AA68" s="22" t="s">
        <v>62</v>
      </c>
      <c r="AB68" s="23" t="s">
        <v>6</v>
      </c>
      <c r="AC68" s="24">
        <v>84</v>
      </c>
      <c r="AD68" s="35" t="s">
        <v>165</v>
      </c>
      <c r="AE68" s="49" t="s">
        <v>39</v>
      </c>
      <c r="AF68" s="21" t="s">
        <v>54</v>
      </c>
      <c r="AG68" s="22" t="s">
        <v>62</v>
      </c>
      <c r="AH68" s="23" t="s">
        <v>6</v>
      </c>
      <c r="AI68" s="24">
        <v>82</v>
      </c>
      <c r="AJ68" s="35" t="s">
        <v>166</v>
      </c>
      <c r="AK68" s="49" t="s">
        <v>39</v>
      </c>
      <c r="AL68" s="21" t="s">
        <v>54</v>
      </c>
      <c r="AM68" s="22" t="s">
        <v>62</v>
      </c>
      <c r="AN68" s="23" t="s">
        <v>6</v>
      </c>
      <c r="AO68" s="24">
        <v>78</v>
      </c>
      <c r="AP68" s="35" t="s">
        <v>205</v>
      </c>
      <c r="AQ68" s="49" t="s">
        <v>39</v>
      </c>
      <c r="AR68" s="21" t="s">
        <v>54</v>
      </c>
      <c r="AS68" s="22" t="s">
        <v>62</v>
      </c>
      <c r="AT68" s="23" t="s">
        <v>6</v>
      </c>
      <c r="AU68" s="24">
        <v>62</v>
      </c>
      <c r="AV68" s="35" t="s">
        <v>206</v>
      </c>
      <c r="AW68" s="49" t="s">
        <v>39</v>
      </c>
      <c r="AX68" s="21" t="s">
        <v>54</v>
      </c>
      <c r="AY68" s="22" t="s">
        <v>62</v>
      </c>
      <c r="AZ68" s="23" t="s">
        <v>6</v>
      </c>
      <c r="BA68" s="24">
        <v>70</v>
      </c>
      <c r="BB68" s="35" t="s">
        <v>102</v>
      </c>
      <c r="BC68" s="49" t="s">
        <v>39</v>
      </c>
      <c r="BD68" s="21" t="s">
        <v>54</v>
      </c>
      <c r="BE68" s="22" t="s">
        <v>62</v>
      </c>
      <c r="BF68" s="23" t="s">
        <v>6</v>
      </c>
      <c r="BG68" s="27">
        <v>32.200000000000003</v>
      </c>
      <c r="BH68" s="35" t="s">
        <v>167</v>
      </c>
      <c r="BI68" s="49" t="s">
        <v>39</v>
      </c>
      <c r="BJ68" s="21" t="s">
        <v>54</v>
      </c>
      <c r="BK68" s="22" t="s">
        <v>62</v>
      </c>
      <c r="BL68" s="23" t="s">
        <v>6</v>
      </c>
      <c r="BM68" s="4"/>
      <c r="BN68" s="8"/>
      <c r="BO68" s="49" t="s">
        <v>39</v>
      </c>
      <c r="BP68" s="21" t="s">
        <v>54</v>
      </c>
      <c r="BQ68" s="22" t="s">
        <v>62</v>
      </c>
      <c r="BR68" s="23" t="s">
        <v>6</v>
      </c>
      <c r="BS68" s="4"/>
      <c r="BT68" s="8"/>
    </row>
    <row r="69" spans="1:72" ht="12" customHeight="1" x14ac:dyDescent="0.15">
      <c r="A69" s="49" t="s">
        <v>39</v>
      </c>
      <c r="B69" s="21" t="s">
        <v>54</v>
      </c>
      <c r="C69" s="22" t="s">
        <v>80</v>
      </c>
      <c r="D69" s="23" t="s">
        <v>83</v>
      </c>
      <c r="E69" s="24">
        <v>56</v>
      </c>
      <c r="F69" s="29" t="s">
        <v>141</v>
      </c>
      <c r="G69" s="49" t="s">
        <v>39</v>
      </c>
      <c r="H69" s="21" t="s">
        <v>54</v>
      </c>
      <c r="I69" s="22" t="s">
        <v>80</v>
      </c>
      <c r="J69" s="23" t="s">
        <v>83</v>
      </c>
      <c r="K69" s="24">
        <v>120</v>
      </c>
      <c r="L69" s="29" t="s">
        <v>159</v>
      </c>
      <c r="M69" s="49" t="s">
        <v>39</v>
      </c>
      <c r="N69" s="21" t="s">
        <v>54</v>
      </c>
      <c r="O69" s="22" t="s">
        <v>80</v>
      </c>
      <c r="P69" s="23" t="s">
        <v>83</v>
      </c>
      <c r="Q69" s="24">
        <v>64</v>
      </c>
      <c r="R69" s="29" t="s">
        <v>113</v>
      </c>
      <c r="S69" s="49" t="s">
        <v>39</v>
      </c>
      <c r="T69" s="21" t="s">
        <v>54</v>
      </c>
      <c r="U69" s="22" t="s">
        <v>80</v>
      </c>
      <c r="V69" s="23" t="s">
        <v>83</v>
      </c>
      <c r="W69" s="24">
        <v>44</v>
      </c>
      <c r="X69" s="29" t="s">
        <v>164</v>
      </c>
      <c r="Y69" s="49" t="s">
        <v>39</v>
      </c>
      <c r="Z69" s="21" t="s">
        <v>54</v>
      </c>
      <c r="AA69" s="22" t="s">
        <v>80</v>
      </c>
      <c r="AB69" s="23" t="s">
        <v>83</v>
      </c>
      <c r="AC69" s="24">
        <v>35</v>
      </c>
      <c r="AD69" s="29" t="s">
        <v>165</v>
      </c>
      <c r="AE69" s="49" t="s">
        <v>39</v>
      </c>
      <c r="AF69" s="21" t="s">
        <v>54</v>
      </c>
      <c r="AG69" s="22" t="s">
        <v>80</v>
      </c>
      <c r="AH69" s="23" t="s">
        <v>83</v>
      </c>
      <c r="AI69" s="24">
        <v>29</v>
      </c>
      <c r="AJ69" s="29" t="s">
        <v>166</v>
      </c>
      <c r="AK69" s="49" t="s">
        <v>39</v>
      </c>
      <c r="AL69" s="21" t="s">
        <v>54</v>
      </c>
      <c r="AM69" s="22" t="s">
        <v>80</v>
      </c>
      <c r="AN69" s="23" t="s">
        <v>83</v>
      </c>
      <c r="AO69" s="24">
        <v>40</v>
      </c>
      <c r="AP69" s="29" t="s">
        <v>205</v>
      </c>
      <c r="AQ69" s="49" t="s">
        <v>39</v>
      </c>
      <c r="AR69" s="21" t="s">
        <v>54</v>
      </c>
      <c r="AS69" s="22" t="s">
        <v>80</v>
      </c>
      <c r="AT69" s="23" t="s">
        <v>83</v>
      </c>
      <c r="AU69" s="24">
        <v>25</v>
      </c>
      <c r="AV69" s="29" t="s">
        <v>206</v>
      </c>
      <c r="AW69" s="49" t="s">
        <v>39</v>
      </c>
      <c r="AX69" s="21" t="s">
        <v>54</v>
      </c>
      <c r="AY69" s="22" t="s">
        <v>80</v>
      </c>
      <c r="AZ69" s="23" t="s">
        <v>83</v>
      </c>
      <c r="BA69" s="24">
        <v>32</v>
      </c>
      <c r="BB69" s="29" t="s">
        <v>102</v>
      </c>
      <c r="BC69" s="49" t="s">
        <v>39</v>
      </c>
      <c r="BD69" s="21" t="s">
        <v>54</v>
      </c>
      <c r="BE69" s="22" t="s">
        <v>80</v>
      </c>
      <c r="BF69" s="23" t="s">
        <v>83</v>
      </c>
      <c r="BG69" s="24">
        <v>18</v>
      </c>
      <c r="BH69" s="29" t="s">
        <v>167</v>
      </c>
      <c r="BI69" s="49" t="s">
        <v>39</v>
      </c>
      <c r="BJ69" s="21" t="s">
        <v>54</v>
      </c>
      <c r="BK69" s="22" t="s">
        <v>80</v>
      </c>
      <c r="BL69" s="23" t="s">
        <v>83</v>
      </c>
      <c r="BM69" s="4"/>
      <c r="BN69" s="18"/>
      <c r="BO69" s="49" t="s">
        <v>39</v>
      </c>
      <c r="BP69" s="21" t="s">
        <v>54</v>
      </c>
      <c r="BQ69" s="22" t="s">
        <v>80</v>
      </c>
      <c r="BR69" s="23" t="s">
        <v>83</v>
      </c>
      <c r="BS69" s="4"/>
      <c r="BT69" s="18"/>
    </row>
    <row r="70" spans="1:72" ht="12" customHeight="1" x14ac:dyDescent="0.15">
      <c r="A70" s="49" t="s">
        <v>39</v>
      </c>
      <c r="B70" s="21" t="s">
        <v>54</v>
      </c>
      <c r="C70" s="22" t="s">
        <v>80</v>
      </c>
      <c r="D70" s="23" t="s">
        <v>84</v>
      </c>
      <c r="E70" s="24">
        <v>220</v>
      </c>
      <c r="F70" s="34" t="s">
        <v>141</v>
      </c>
      <c r="G70" s="49" t="s">
        <v>39</v>
      </c>
      <c r="H70" s="21" t="s">
        <v>54</v>
      </c>
      <c r="I70" s="22" t="s">
        <v>80</v>
      </c>
      <c r="J70" s="23" t="s">
        <v>84</v>
      </c>
      <c r="K70" s="24">
        <v>450</v>
      </c>
      <c r="L70" s="34" t="s">
        <v>159</v>
      </c>
      <c r="M70" s="49" t="s">
        <v>39</v>
      </c>
      <c r="N70" s="21" t="s">
        <v>54</v>
      </c>
      <c r="O70" s="22" t="s">
        <v>80</v>
      </c>
      <c r="P70" s="23" t="s">
        <v>84</v>
      </c>
      <c r="Q70" s="24">
        <v>240</v>
      </c>
      <c r="R70" s="34" t="s">
        <v>113</v>
      </c>
      <c r="S70" s="49" t="s">
        <v>39</v>
      </c>
      <c r="T70" s="21" t="s">
        <v>54</v>
      </c>
      <c r="U70" s="22" t="s">
        <v>80</v>
      </c>
      <c r="V70" s="23" t="s">
        <v>84</v>
      </c>
      <c r="W70" s="24">
        <v>180</v>
      </c>
      <c r="X70" s="34" t="s">
        <v>164</v>
      </c>
      <c r="Y70" s="49" t="s">
        <v>39</v>
      </c>
      <c r="Z70" s="21" t="s">
        <v>54</v>
      </c>
      <c r="AA70" s="22" t="s">
        <v>80</v>
      </c>
      <c r="AB70" s="23" t="s">
        <v>84</v>
      </c>
      <c r="AC70" s="24">
        <v>140</v>
      </c>
      <c r="AD70" s="34" t="s">
        <v>165</v>
      </c>
      <c r="AE70" s="49" t="s">
        <v>39</v>
      </c>
      <c r="AF70" s="21" t="s">
        <v>54</v>
      </c>
      <c r="AG70" s="22" t="s">
        <v>80</v>
      </c>
      <c r="AH70" s="23" t="s">
        <v>84</v>
      </c>
      <c r="AI70" s="24">
        <v>120</v>
      </c>
      <c r="AJ70" s="34" t="s">
        <v>166</v>
      </c>
      <c r="AK70" s="49" t="s">
        <v>39</v>
      </c>
      <c r="AL70" s="21" t="s">
        <v>54</v>
      </c>
      <c r="AM70" s="22" t="s">
        <v>80</v>
      </c>
      <c r="AN70" s="23" t="s">
        <v>84</v>
      </c>
      <c r="AO70" s="24">
        <v>180</v>
      </c>
      <c r="AP70" s="34" t="s">
        <v>205</v>
      </c>
      <c r="AQ70" s="49" t="s">
        <v>39</v>
      </c>
      <c r="AR70" s="21" t="s">
        <v>54</v>
      </c>
      <c r="AS70" s="22" t="s">
        <v>80</v>
      </c>
      <c r="AT70" s="23" t="s">
        <v>84</v>
      </c>
      <c r="AU70" s="26">
        <v>110</v>
      </c>
      <c r="AV70" s="34" t="s">
        <v>206</v>
      </c>
      <c r="AW70" s="49" t="s">
        <v>39</v>
      </c>
      <c r="AX70" s="21" t="s">
        <v>54</v>
      </c>
      <c r="AY70" s="22" t="s">
        <v>80</v>
      </c>
      <c r="AZ70" s="23" t="s">
        <v>84</v>
      </c>
      <c r="BA70" s="24">
        <v>130</v>
      </c>
      <c r="BB70" s="34" t="s">
        <v>102</v>
      </c>
      <c r="BC70" s="49" t="s">
        <v>39</v>
      </c>
      <c r="BD70" s="21" t="s">
        <v>54</v>
      </c>
      <c r="BE70" s="22" t="s">
        <v>80</v>
      </c>
      <c r="BF70" s="23" t="s">
        <v>84</v>
      </c>
      <c r="BG70" s="24">
        <v>79</v>
      </c>
      <c r="BH70" s="34" t="s">
        <v>167</v>
      </c>
      <c r="BI70" s="49" t="s">
        <v>39</v>
      </c>
      <c r="BJ70" s="21" t="s">
        <v>54</v>
      </c>
      <c r="BK70" s="22" t="s">
        <v>80</v>
      </c>
      <c r="BL70" s="23" t="s">
        <v>84</v>
      </c>
      <c r="BM70" s="4"/>
      <c r="BN70" s="6"/>
      <c r="BO70" s="49" t="s">
        <v>39</v>
      </c>
      <c r="BP70" s="21" t="s">
        <v>54</v>
      </c>
      <c r="BQ70" s="22" t="s">
        <v>80</v>
      </c>
      <c r="BR70" s="23" t="s">
        <v>84</v>
      </c>
      <c r="BS70" s="4"/>
      <c r="BT70" s="6"/>
    </row>
    <row r="71" spans="1:72" ht="12" customHeight="1" x14ac:dyDescent="0.15">
      <c r="A71" s="49" t="s">
        <v>39</v>
      </c>
      <c r="B71" s="21" t="s">
        <v>54</v>
      </c>
      <c r="C71" s="22" t="s">
        <v>80</v>
      </c>
      <c r="D71" s="23" t="s">
        <v>6</v>
      </c>
      <c r="E71" s="24">
        <v>276</v>
      </c>
      <c r="F71" s="35" t="s">
        <v>141</v>
      </c>
      <c r="G71" s="49" t="s">
        <v>39</v>
      </c>
      <c r="H71" s="21" t="s">
        <v>54</v>
      </c>
      <c r="I71" s="22" t="s">
        <v>80</v>
      </c>
      <c r="J71" s="23" t="s">
        <v>6</v>
      </c>
      <c r="K71" s="24">
        <v>570</v>
      </c>
      <c r="L71" s="35" t="s">
        <v>159</v>
      </c>
      <c r="M71" s="49" t="s">
        <v>39</v>
      </c>
      <c r="N71" s="21" t="s">
        <v>54</v>
      </c>
      <c r="O71" s="22" t="s">
        <v>80</v>
      </c>
      <c r="P71" s="23" t="s">
        <v>6</v>
      </c>
      <c r="Q71" s="24">
        <v>304</v>
      </c>
      <c r="R71" s="35" t="s">
        <v>113</v>
      </c>
      <c r="S71" s="49" t="s">
        <v>39</v>
      </c>
      <c r="T71" s="21" t="s">
        <v>54</v>
      </c>
      <c r="U71" s="22" t="s">
        <v>80</v>
      </c>
      <c r="V71" s="23" t="s">
        <v>6</v>
      </c>
      <c r="W71" s="24">
        <v>224</v>
      </c>
      <c r="X71" s="35" t="s">
        <v>164</v>
      </c>
      <c r="Y71" s="49" t="s">
        <v>39</v>
      </c>
      <c r="Z71" s="21" t="s">
        <v>54</v>
      </c>
      <c r="AA71" s="22" t="s">
        <v>80</v>
      </c>
      <c r="AB71" s="23" t="s">
        <v>6</v>
      </c>
      <c r="AC71" s="24">
        <v>175</v>
      </c>
      <c r="AD71" s="35" t="s">
        <v>165</v>
      </c>
      <c r="AE71" s="49" t="s">
        <v>39</v>
      </c>
      <c r="AF71" s="21" t="s">
        <v>54</v>
      </c>
      <c r="AG71" s="22" t="s">
        <v>80</v>
      </c>
      <c r="AH71" s="23" t="s">
        <v>6</v>
      </c>
      <c r="AI71" s="24">
        <v>149</v>
      </c>
      <c r="AJ71" s="35" t="s">
        <v>166</v>
      </c>
      <c r="AK71" s="49" t="s">
        <v>39</v>
      </c>
      <c r="AL71" s="21" t="s">
        <v>54</v>
      </c>
      <c r="AM71" s="22" t="s">
        <v>80</v>
      </c>
      <c r="AN71" s="23" t="s">
        <v>6</v>
      </c>
      <c r="AO71" s="24">
        <v>220</v>
      </c>
      <c r="AP71" s="35" t="s">
        <v>205</v>
      </c>
      <c r="AQ71" s="49" t="s">
        <v>39</v>
      </c>
      <c r="AR71" s="21" t="s">
        <v>54</v>
      </c>
      <c r="AS71" s="22" t="s">
        <v>80</v>
      </c>
      <c r="AT71" s="23" t="s">
        <v>6</v>
      </c>
      <c r="AU71" s="24">
        <v>135</v>
      </c>
      <c r="AV71" s="35" t="s">
        <v>206</v>
      </c>
      <c r="AW71" s="49" t="s">
        <v>39</v>
      </c>
      <c r="AX71" s="21" t="s">
        <v>54</v>
      </c>
      <c r="AY71" s="22" t="s">
        <v>80</v>
      </c>
      <c r="AZ71" s="23" t="s">
        <v>6</v>
      </c>
      <c r="BA71" s="24">
        <v>162</v>
      </c>
      <c r="BB71" s="35" t="s">
        <v>102</v>
      </c>
      <c r="BC71" s="49" t="s">
        <v>39</v>
      </c>
      <c r="BD71" s="21" t="s">
        <v>54</v>
      </c>
      <c r="BE71" s="22" t="s">
        <v>80</v>
      </c>
      <c r="BF71" s="23" t="s">
        <v>6</v>
      </c>
      <c r="BG71" s="24">
        <v>97</v>
      </c>
      <c r="BH71" s="35" t="s">
        <v>167</v>
      </c>
      <c r="BI71" s="49" t="s">
        <v>39</v>
      </c>
      <c r="BJ71" s="21" t="s">
        <v>54</v>
      </c>
      <c r="BK71" s="22" t="s">
        <v>80</v>
      </c>
      <c r="BL71" s="23" t="s">
        <v>6</v>
      </c>
      <c r="BM71" s="4"/>
      <c r="BN71" s="8"/>
      <c r="BO71" s="49" t="s">
        <v>39</v>
      </c>
      <c r="BP71" s="21" t="s">
        <v>54</v>
      </c>
      <c r="BQ71" s="22" t="s">
        <v>80</v>
      </c>
      <c r="BR71" s="23" t="s">
        <v>6</v>
      </c>
      <c r="BS71" s="4"/>
      <c r="BT71" s="8"/>
    </row>
    <row r="72" spans="1:72" ht="12" customHeight="1" x14ac:dyDescent="0.15">
      <c r="A72" s="49" t="s">
        <v>39</v>
      </c>
      <c r="B72" s="21" t="s">
        <v>85</v>
      </c>
      <c r="C72" s="22" t="s">
        <v>62</v>
      </c>
      <c r="D72" s="23" t="s">
        <v>83</v>
      </c>
      <c r="E72" s="24">
        <v>38</v>
      </c>
      <c r="F72" s="29" t="s">
        <v>155</v>
      </c>
      <c r="G72" s="49" t="s">
        <v>39</v>
      </c>
      <c r="H72" s="21" t="s">
        <v>85</v>
      </c>
      <c r="I72" s="22" t="s">
        <v>62</v>
      </c>
      <c r="J72" s="23" t="s">
        <v>83</v>
      </c>
      <c r="K72" s="24">
        <v>36</v>
      </c>
      <c r="L72" s="29" t="s">
        <v>149</v>
      </c>
      <c r="M72" s="49" t="s">
        <v>39</v>
      </c>
      <c r="N72" s="21" t="s">
        <v>85</v>
      </c>
      <c r="O72" s="22" t="s">
        <v>62</v>
      </c>
      <c r="P72" s="23" t="s">
        <v>83</v>
      </c>
      <c r="Q72" s="24">
        <v>33</v>
      </c>
      <c r="R72" s="29" t="s">
        <v>150</v>
      </c>
      <c r="S72" s="49" t="s">
        <v>39</v>
      </c>
      <c r="T72" s="21" t="s">
        <v>85</v>
      </c>
      <c r="U72" s="22" t="s">
        <v>62</v>
      </c>
      <c r="V72" s="23" t="s">
        <v>83</v>
      </c>
      <c r="W72" s="24">
        <v>44</v>
      </c>
      <c r="X72" s="29" t="s">
        <v>168</v>
      </c>
      <c r="Y72" s="49" t="s">
        <v>39</v>
      </c>
      <c r="Z72" s="21" t="s">
        <v>85</v>
      </c>
      <c r="AA72" s="22" t="s">
        <v>62</v>
      </c>
      <c r="AB72" s="23" t="s">
        <v>83</v>
      </c>
      <c r="AC72" s="24">
        <v>18</v>
      </c>
      <c r="AD72" s="29" t="s">
        <v>169</v>
      </c>
      <c r="AE72" s="49" t="s">
        <v>39</v>
      </c>
      <c r="AF72" s="21" t="s">
        <v>85</v>
      </c>
      <c r="AG72" s="22" t="s">
        <v>62</v>
      </c>
      <c r="AH72" s="23" t="s">
        <v>83</v>
      </c>
      <c r="AI72" s="24">
        <v>30</v>
      </c>
      <c r="AJ72" s="29" t="s">
        <v>125</v>
      </c>
      <c r="AK72" s="49" t="s">
        <v>39</v>
      </c>
      <c r="AL72" s="21" t="s">
        <v>85</v>
      </c>
      <c r="AM72" s="22" t="s">
        <v>62</v>
      </c>
      <c r="AN72" s="23" t="s">
        <v>83</v>
      </c>
      <c r="AO72" s="24">
        <v>16</v>
      </c>
      <c r="AP72" s="29" t="s">
        <v>207</v>
      </c>
      <c r="AQ72" s="49" t="s">
        <v>39</v>
      </c>
      <c r="AR72" s="21" t="s">
        <v>85</v>
      </c>
      <c r="AS72" s="22" t="s">
        <v>62</v>
      </c>
      <c r="AT72" s="23" t="s">
        <v>83</v>
      </c>
      <c r="AU72" s="23">
        <v>11</v>
      </c>
      <c r="AV72" s="29" t="s">
        <v>208</v>
      </c>
      <c r="AW72" s="49" t="s">
        <v>39</v>
      </c>
      <c r="AX72" s="21" t="s">
        <v>85</v>
      </c>
      <c r="AY72" s="22" t="s">
        <v>62</v>
      </c>
      <c r="AZ72" s="23" t="s">
        <v>83</v>
      </c>
      <c r="BA72" s="24">
        <v>12</v>
      </c>
      <c r="BB72" s="29" t="s">
        <v>209</v>
      </c>
      <c r="BC72" s="49" t="s">
        <v>39</v>
      </c>
      <c r="BD72" s="21" t="s">
        <v>85</v>
      </c>
      <c r="BE72" s="22" t="s">
        <v>62</v>
      </c>
      <c r="BF72" s="23" t="s">
        <v>83</v>
      </c>
      <c r="BG72" s="27">
        <v>6.7</v>
      </c>
      <c r="BH72" s="29" t="s">
        <v>170</v>
      </c>
      <c r="BI72" s="49" t="s">
        <v>39</v>
      </c>
      <c r="BJ72" s="21" t="s">
        <v>85</v>
      </c>
      <c r="BK72" s="22" t="s">
        <v>62</v>
      </c>
      <c r="BL72" s="23" t="s">
        <v>83</v>
      </c>
      <c r="BM72" s="24">
        <v>15</v>
      </c>
      <c r="BN72" s="29" t="s">
        <v>110</v>
      </c>
      <c r="BO72" s="49" t="s">
        <v>39</v>
      </c>
      <c r="BP72" s="21" t="s">
        <v>85</v>
      </c>
      <c r="BQ72" s="22" t="s">
        <v>62</v>
      </c>
      <c r="BR72" s="23" t="s">
        <v>83</v>
      </c>
      <c r="BS72" s="23">
        <v>11</v>
      </c>
      <c r="BT72" s="29" t="s">
        <v>171</v>
      </c>
    </row>
    <row r="73" spans="1:72" ht="12" customHeight="1" x14ac:dyDescent="0.15">
      <c r="A73" s="49" t="s">
        <v>39</v>
      </c>
      <c r="B73" s="21" t="s">
        <v>85</v>
      </c>
      <c r="C73" s="22" t="s">
        <v>62</v>
      </c>
      <c r="D73" s="23" t="s">
        <v>84</v>
      </c>
      <c r="E73" s="24">
        <v>140</v>
      </c>
      <c r="F73" s="34" t="s">
        <v>155</v>
      </c>
      <c r="G73" s="49" t="s">
        <v>39</v>
      </c>
      <c r="H73" s="21" t="s">
        <v>85</v>
      </c>
      <c r="I73" s="22" t="s">
        <v>62</v>
      </c>
      <c r="J73" s="23" t="s">
        <v>84</v>
      </c>
      <c r="K73" s="24">
        <v>130</v>
      </c>
      <c r="L73" s="34" t="s">
        <v>149</v>
      </c>
      <c r="M73" s="49" t="s">
        <v>39</v>
      </c>
      <c r="N73" s="21" t="s">
        <v>85</v>
      </c>
      <c r="O73" s="22" t="s">
        <v>62</v>
      </c>
      <c r="P73" s="23" t="s">
        <v>84</v>
      </c>
      <c r="Q73" s="24">
        <v>120</v>
      </c>
      <c r="R73" s="34" t="s">
        <v>150</v>
      </c>
      <c r="S73" s="49" t="s">
        <v>39</v>
      </c>
      <c r="T73" s="21" t="s">
        <v>85</v>
      </c>
      <c r="U73" s="22" t="s">
        <v>62</v>
      </c>
      <c r="V73" s="23" t="s">
        <v>84</v>
      </c>
      <c r="W73" s="24">
        <v>150</v>
      </c>
      <c r="X73" s="34" t="s">
        <v>168</v>
      </c>
      <c r="Y73" s="49" t="s">
        <v>39</v>
      </c>
      <c r="Z73" s="21" t="s">
        <v>85</v>
      </c>
      <c r="AA73" s="22" t="s">
        <v>62</v>
      </c>
      <c r="AB73" s="23" t="s">
        <v>84</v>
      </c>
      <c r="AC73" s="24">
        <v>84</v>
      </c>
      <c r="AD73" s="34" t="s">
        <v>169</v>
      </c>
      <c r="AE73" s="49" t="s">
        <v>39</v>
      </c>
      <c r="AF73" s="21" t="s">
        <v>85</v>
      </c>
      <c r="AG73" s="22" t="s">
        <v>62</v>
      </c>
      <c r="AH73" s="23" t="s">
        <v>84</v>
      </c>
      <c r="AI73" s="24">
        <v>120</v>
      </c>
      <c r="AJ73" s="34" t="s">
        <v>125</v>
      </c>
      <c r="AK73" s="49" t="s">
        <v>39</v>
      </c>
      <c r="AL73" s="21" t="s">
        <v>85</v>
      </c>
      <c r="AM73" s="22" t="s">
        <v>62</v>
      </c>
      <c r="AN73" s="23" t="s">
        <v>84</v>
      </c>
      <c r="AO73" s="24">
        <v>67</v>
      </c>
      <c r="AP73" s="34" t="s">
        <v>207</v>
      </c>
      <c r="AQ73" s="49" t="s">
        <v>39</v>
      </c>
      <c r="AR73" s="21" t="s">
        <v>85</v>
      </c>
      <c r="AS73" s="22" t="s">
        <v>62</v>
      </c>
      <c r="AT73" s="23" t="s">
        <v>84</v>
      </c>
      <c r="AU73" s="24">
        <v>55</v>
      </c>
      <c r="AV73" s="34" t="s">
        <v>208</v>
      </c>
      <c r="AW73" s="49" t="s">
        <v>39</v>
      </c>
      <c r="AX73" s="21" t="s">
        <v>85</v>
      </c>
      <c r="AY73" s="22" t="s">
        <v>62</v>
      </c>
      <c r="AZ73" s="23" t="s">
        <v>84</v>
      </c>
      <c r="BA73" s="24">
        <v>61</v>
      </c>
      <c r="BB73" s="34" t="s">
        <v>209</v>
      </c>
      <c r="BC73" s="49" t="s">
        <v>39</v>
      </c>
      <c r="BD73" s="21" t="s">
        <v>85</v>
      </c>
      <c r="BE73" s="22" t="s">
        <v>62</v>
      </c>
      <c r="BF73" s="23" t="s">
        <v>84</v>
      </c>
      <c r="BG73" s="24">
        <v>35</v>
      </c>
      <c r="BH73" s="34" t="s">
        <v>170</v>
      </c>
      <c r="BI73" s="49" t="s">
        <v>39</v>
      </c>
      <c r="BJ73" s="21" t="s">
        <v>85</v>
      </c>
      <c r="BK73" s="22" t="s">
        <v>62</v>
      </c>
      <c r="BL73" s="23" t="s">
        <v>84</v>
      </c>
      <c r="BM73" s="24">
        <v>76</v>
      </c>
      <c r="BN73" s="34" t="s">
        <v>110</v>
      </c>
      <c r="BO73" s="49" t="s">
        <v>39</v>
      </c>
      <c r="BP73" s="21" t="s">
        <v>85</v>
      </c>
      <c r="BQ73" s="22" t="s">
        <v>62</v>
      </c>
      <c r="BR73" s="23" t="s">
        <v>84</v>
      </c>
      <c r="BS73" s="24">
        <v>57</v>
      </c>
      <c r="BT73" s="34" t="s">
        <v>171</v>
      </c>
    </row>
    <row r="74" spans="1:72" ht="12" customHeight="1" x14ac:dyDescent="0.15">
      <c r="A74" s="49" t="s">
        <v>39</v>
      </c>
      <c r="B74" s="21" t="s">
        <v>85</v>
      </c>
      <c r="C74" s="22" t="s">
        <v>62</v>
      </c>
      <c r="D74" s="23" t="s">
        <v>6</v>
      </c>
      <c r="E74" s="24">
        <v>178</v>
      </c>
      <c r="F74" s="35" t="s">
        <v>155</v>
      </c>
      <c r="G74" s="49" t="s">
        <v>39</v>
      </c>
      <c r="H74" s="21" t="s">
        <v>85</v>
      </c>
      <c r="I74" s="22" t="s">
        <v>62</v>
      </c>
      <c r="J74" s="23" t="s">
        <v>6</v>
      </c>
      <c r="K74" s="24">
        <v>166</v>
      </c>
      <c r="L74" s="35" t="s">
        <v>149</v>
      </c>
      <c r="M74" s="49" t="s">
        <v>39</v>
      </c>
      <c r="N74" s="21" t="s">
        <v>85</v>
      </c>
      <c r="O74" s="22" t="s">
        <v>62</v>
      </c>
      <c r="P74" s="23" t="s">
        <v>6</v>
      </c>
      <c r="Q74" s="24">
        <v>153</v>
      </c>
      <c r="R74" s="35" t="s">
        <v>150</v>
      </c>
      <c r="S74" s="49" t="s">
        <v>39</v>
      </c>
      <c r="T74" s="21" t="s">
        <v>85</v>
      </c>
      <c r="U74" s="22" t="s">
        <v>62</v>
      </c>
      <c r="V74" s="23" t="s">
        <v>6</v>
      </c>
      <c r="W74" s="24">
        <v>194</v>
      </c>
      <c r="X74" s="35" t="s">
        <v>168</v>
      </c>
      <c r="Y74" s="49" t="s">
        <v>39</v>
      </c>
      <c r="Z74" s="21" t="s">
        <v>85</v>
      </c>
      <c r="AA74" s="22" t="s">
        <v>62</v>
      </c>
      <c r="AB74" s="23" t="s">
        <v>6</v>
      </c>
      <c r="AC74" s="24">
        <v>102</v>
      </c>
      <c r="AD74" s="35" t="s">
        <v>169</v>
      </c>
      <c r="AE74" s="49" t="s">
        <v>39</v>
      </c>
      <c r="AF74" s="21" t="s">
        <v>85</v>
      </c>
      <c r="AG74" s="22" t="s">
        <v>62</v>
      </c>
      <c r="AH74" s="23" t="s">
        <v>6</v>
      </c>
      <c r="AI74" s="24">
        <v>150</v>
      </c>
      <c r="AJ74" s="35" t="s">
        <v>125</v>
      </c>
      <c r="AK74" s="49" t="s">
        <v>39</v>
      </c>
      <c r="AL74" s="21" t="s">
        <v>85</v>
      </c>
      <c r="AM74" s="22" t="s">
        <v>62</v>
      </c>
      <c r="AN74" s="23" t="s">
        <v>6</v>
      </c>
      <c r="AO74" s="24">
        <v>83</v>
      </c>
      <c r="AP74" s="35" t="s">
        <v>207</v>
      </c>
      <c r="AQ74" s="49" t="s">
        <v>39</v>
      </c>
      <c r="AR74" s="21" t="s">
        <v>85</v>
      </c>
      <c r="AS74" s="22" t="s">
        <v>62</v>
      </c>
      <c r="AT74" s="23" t="s">
        <v>6</v>
      </c>
      <c r="AU74" s="24">
        <v>66</v>
      </c>
      <c r="AV74" s="35" t="s">
        <v>208</v>
      </c>
      <c r="AW74" s="49" t="s">
        <v>39</v>
      </c>
      <c r="AX74" s="21" t="s">
        <v>85</v>
      </c>
      <c r="AY74" s="22" t="s">
        <v>62</v>
      </c>
      <c r="AZ74" s="23" t="s">
        <v>6</v>
      </c>
      <c r="BA74" s="24">
        <v>73</v>
      </c>
      <c r="BB74" s="35" t="s">
        <v>209</v>
      </c>
      <c r="BC74" s="49" t="s">
        <v>39</v>
      </c>
      <c r="BD74" s="21" t="s">
        <v>85</v>
      </c>
      <c r="BE74" s="22" t="s">
        <v>62</v>
      </c>
      <c r="BF74" s="23" t="s">
        <v>6</v>
      </c>
      <c r="BG74" s="27">
        <v>41.7</v>
      </c>
      <c r="BH74" s="35" t="s">
        <v>170</v>
      </c>
      <c r="BI74" s="49" t="s">
        <v>39</v>
      </c>
      <c r="BJ74" s="21" t="s">
        <v>85</v>
      </c>
      <c r="BK74" s="22" t="s">
        <v>62</v>
      </c>
      <c r="BL74" s="23" t="s">
        <v>6</v>
      </c>
      <c r="BM74" s="24">
        <v>91</v>
      </c>
      <c r="BN74" s="35" t="s">
        <v>110</v>
      </c>
      <c r="BO74" s="49" t="s">
        <v>39</v>
      </c>
      <c r="BP74" s="21" t="s">
        <v>85</v>
      </c>
      <c r="BQ74" s="22" t="s">
        <v>62</v>
      </c>
      <c r="BR74" s="23" t="s">
        <v>6</v>
      </c>
      <c r="BS74" s="24">
        <v>68</v>
      </c>
      <c r="BT74" s="35" t="s">
        <v>171</v>
      </c>
    </row>
    <row r="75" spans="1:72" ht="12" customHeight="1" x14ac:dyDescent="0.15">
      <c r="A75" s="49" t="s">
        <v>39</v>
      </c>
      <c r="B75" s="21" t="s">
        <v>85</v>
      </c>
      <c r="C75" s="22" t="s">
        <v>80</v>
      </c>
      <c r="D75" s="23" t="s">
        <v>83</v>
      </c>
      <c r="E75" s="23">
        <v>110</v>
      </c>
      <c r="F75" s="29" t="s">
        <v>155</v>
      </c>
      <c r="G75" s="49" t="s">
        <v>39</v>
      </c>
      <c r="H75" s="21" t="s">
        <v>85</v>
      </c>
      <c r="I75" s="22" t="s">
        <v>80</v>
      </c>
      <c r="J75" s="23" t="s">
        <v>83</v>
      </c>
      <c r="K75" s="24">
        <v>120</v>
      </c>
      <c r="L75" s="29" t="s">
        <v>149</v>
      </c>
      <c r="M75" s="49" t="s">
        <v>39</v>
      </c>
      <c r="N75" s="21" t="s">
        <v>85</v>
      </c>
      <c r="O75" s="22" t="s">
        <v>80</v>
      </c>
      <c r="P75" s="23" t="s">
        <v>83</v>
      </c>
      <c r="Q75" s="23" t="s">
        <v>194</v>
      </c>
      <c r="R75" s="29" t="s">
        <v>150</v>
      </c>
      <c r="S75" s="49" t="s">
        <v>39</v>
      </c>
      <c r="T75" s="21" t="s">
        <v>85</v>
      </c>
      <c r="U75" s="22" t="s">
        <v>80</v>
      </c>
      <c r="V75" s="23" t="s">
        <v>83</v>
      </c>
      <c r="W75" s="24">
        <v>97</v>
      </c>
      <c r="X75" s="29" t="s">
        <v>168</v>
      </c>
      <c r="Y75" s="49" t="s">
        <v>39</v>
      </c>
      <c r="Z75" s="21" t="s">
        <v>85</v>
      </c>
      <c r="AA75" s="22" t="s">
        <v>80</v>
      </c>
      <c r="AB75" s="23" t="s">
        <v>83</v>
      </c>
      <c r="AC75" s="24">
        <v>62</v>
      </c>
      <c r="AD75" s="29" t="s">
        <v>169</v>
      </c>
      <c r="AE75" s="49" t="s">
        <v>39</v>
      </c>
      <c r="AF75" s="21" t="s">
        <v>85</v>
      </c>
      <c r="AG75" s="22" t="s">
        <v>80</v>
      </c>
      <c r="AH75" s="23" t="s">
        <v>83</v>
      </c>
      <c r="AI75" s="24">
        <v>76</v>
      </c>
      <c r="AJ75" s="29" t="s">
        <v>125</v>
      </c>
      <c r="AK75" s="49" t="s">
        <v>39</v>
      </c>
      <c r="AL75" s="21" t="s">
        <v>85</v>
      </c>
      <c r="AM75" s="22" t="s">
        <v>80</v>
      </c>
      <c r="AN75" s="23" t="s">
        <v>83</v>
      </c>
      <c r="AO75" s="24">
        <v>64</v>
      </c>
      <c r="AP75" s="29" t="s">
        <v>207</v>
      </c>
      <c r="AQ75" s="49" t="s">
        <v>39</v>
      </c>
      <c r="AR75" s="21" t="s">
        <v>85</v>
      </c>
      <c r="AS75" s="22" t="s">
        <v>80</v>
      </c>
      <c r="AT75" s="23" t="s">
        <v>83</v>
      </c>
      <c r="AU75" s="24">
        <v>61</v>
      </c>
      <c r="AV75" s="29" t="s">
        <v>208</v>
      </c>
      <c r="AW75" s="49" t="s">
        <v>39</v>
      </c>
      <c r="AX75" s="21" t="s">
        <v>85</v>
      </c>
      <c r="AY75" s="22" t="s">
        <v>80</v>
      </c>
      <c r="AZ75" s="23" t="s">
        <v>83</v>
      </c>
      <c r="BA75" s="24">
        <v>53</v>
      </c>
      <c r="BB75" s="29" t="s">
        <v>209</v>
      </c>
      <c r="BC75" s="49" t="s">
        <v>39</v>
      </c>
      <c r="BD75" s="21" t="s">
        <v>85</v>
      </c>
      <c r="BE75" s="22" t="s">
        <v>80</v>
      </c>
      <c r="BF75" s="23" t="s">
        <v>83</v>
      </c>
      <c r="BG75" s="24">
        <v>34</v>
      </c>
      <c r="BH75" s="29" t="s">
        <v>170</v>
      </c>
      <c r="BI75" s="49" t="s">
        <v>39</v>
      </c>
      <c r="BJ75" s="21" t="s">
        <v>85</v>
      </c>
      <c r="BK75" s="22" t="s">
        <v>80</v>
      </c>
      <c r="BL75" s="23" t="s">
        <v>83</v>
      </c>
      <c r="BM75" s="24">
        <v>54</v>
      </c>
      <c r="BN75" s="29" t="s">
        <v>110</v>
      </c>
      <c r="BO75" s="49" t="s">
        <v>39</v>
      </c>
      <c r="BP75" s="21" t="s">
        <v>85</v>
      </c>
      <c r="BQ75" s="22" t="s">
        <v>80</v>
      </c>
      <c r="BR75" s="23" t="s">
        <v>83</v>
      </c>
      <c r="BS75" s="24">
        <v>56</v>
      </c>
      <c r="BT75" s="29" t="s">
        <v>171</v>
      </c>
    </row>
    <row r="76" spans="1:72" ht="12" customHeight="1" x14ac:dyDescent="0.15">
      <c r="A76" s="49" t="s">
        <v>39</v>
      </c>
      <c r="B76" s="21" t="s">
        <v>85</v>
      </c>
      <c r="C76" s="22" t="s">
        <v>80</v>
      </c>
      <c r="D76" s="23" t="s">
        <v>84</v>
      </c>
      <c r="E76" s="23">
        <v>400</v>
      </c>
      <c r="F76" s="34" t="s">
        <v>155</v>
      </c>
      <c r="G76" s="49" t="s">
        <v>39</v>
      </c>
      <c r="H76" s="21" t="s">
        <v>85</v>
      </c>
      <c r="I76" s="22" t="s">
        <v>80</v>
      </c>
      <c r="J76" s="23" t="s">
        <v>84</v>
      </c>
      <c r="K76" s="24">
        <v>430</v>
      </c>
      <c r="L76" s="34" t="s">
        <v>149</v>
      </c>
      <c r="M76" s="49" t="s">
        <v>39</v>
      </c>
      <c r="N76" s="21" t="s">
        <v>85</v>
      </c>
      <c r="O76" s="22" t="s">
        <v>80</v>
      </c>
      <c r="P76" s="23" t="s">
        <v>84</v>
      </c>
      <c r="Q76" s="24">
        <v>430</v>
      </c>
      <c r="R76" s="34" t="s">
        <v>150</v>
      </c>
      <c r="S76" s="49" t="s">
        <v>39</v>
      </c>
      <c r="T76" s="21" t="s">
        <v>85</v>
      </c>
      <c r="U76" s="22" t="s">
        <v>80</v>
      </c>
      <c r="V76" s="23" t="s">
        <v>84</v>
      </c>
      <c r="W76" s="23">
        <v>400</v>
      </c>
      <c r="X76" s="34" t="s">
        <v>168</v>
      </c>
      <c r="Y76" s="49" t="s">
        <v>39</v>
      </c>
      <c r="Z76" s="21" t="s">
        <v>85</v>
      </c>
      <c r="AA76" s="22" t="s">
        <v>80</v>
      </c>
      <c r="AB76" s="23" t="s">
        <v>84</v>
      </c>
      <c r="AC76" s="24">
        <v>250</v>
      </c>
      <c r="AD76" s="34" t="s">
        <v>169</v>
      </c>
      <c r="AE76" s="49" t="s">
        <v>39</v>
      </c>
      <c r="AF76" s="21" t="s">
        <v>85</v>
      </c>
      <c r="AG76" s="22" t="s">
        <v>80</v>
      </c>
      <c r="AH76" s="23" t="s">
        <v>84</v>
      </c>
      <c r="AI76" s="24">
        <v>330</v>
      </c>
      <c r="AJ76" s="34" t="s">
        <v>125</v>
      </c>
      <c r="AK76" s="49" t="s">
        <v>39</v>
      </c>
      <c r="AL76" s="21" t="s">
        <v>85</v>
      </c>
      <c r="AM76" s="22" t="s">
        <v>80</v>
      </c>
      <c r="AN76" s="23" t="s">
        <v>84</v>
      </c>
      <c r="AO76" s="24">
        <v>280</v>
      </c>
      <c r="AP76" s="34" t="s">
        <v>207</v>
      </c>
      <c r="AQ76" s="49" t="s">
        <v>39</v>
      </c>
      <c r="AR76" s="21" t="s">
        <v>85</v>
      </c>
      <c r="AS76" s="22" t="s">
        <v>80</v>
      </c>
      <c r="AT76" s="23" t="s">
        <v>84</v>
      </c>
      <c r="AU76" s="24">
        <v>250</v>
      </c>
      <c r="AV76" s="34" t="s">
        <v>208</v>
      </c>
      <c r="AW76" s="49" t="s">
        <v>39</v>
      </c>
      <c r="AX76" s="21" t="s">
        <v>85</v>
      </c>
      <c r="AY76" s="22" t="s">
        <v>80</v>
      </c>
      <c r="AZ76" s="23" t="s">
        <v>84</v>
      </c>
      <c r="BA76" s="24">
        <v>240</v>
      </c>
      <c r="BB76" s="34" t="s">
        <v>209</v>
      </c>
      <c r="BC76" s="49" t="s">
        <v>39</v>
      </c>
      <c r="BD76" s="21" t="s">
        <v>85</v>
      </c>
      <c r="BE76" s="22" t="s">
        <v>80</v>
      </c>
      <c r="BF76" s="23" t="s">
        <v>84</v>
      </c>
      <c r="BG76" s="24">
        <v>140</v>
      </c>
      <c r="BH76" s="34" t="s">
        <v>170</v>
      </c>
      <c r="BI76" s="49" t="s">
        <v>39</v>
      </c>
      <c r="BJ76" s="21" t="s">
        <v>85</v>
      </c>
      <c r="BK76" s="22" t="s">
        <v>80</v>
      </c>
      <c r="BL76" s="23" t="s">
        <v>84</v>
      </c>
      <c r="BM76" s="24">
        <v>260</v>
      </c>
      <c r="BN76" s="34" t="s">
        <v>110</v>
      </c>
      <c r="BO76" s="49" t="s">
        <v>39</v>
      </c>
      <c r="BP76" s="21" t="s">
        <v>85</v>
      </c>
      <c r="BQ76" s="22" t="s">
        <v>80</v>
      </c>
      <c r="BR76" s="23" t="s">
        <v>84</v>
      </c>
      <c r="BS76" s="24">
        <v>280</v>
      </c>
      <c r="BT76" s="34" t="s">
        <v>171</v>
      </c>
    </row>
    <row r="77" spans="1:72" ht="12" customHeight="1" x14ac:dyDescent="0.15">
      <c r="A77" s="49" t="s">
        <v>39</v>
      </c>
      <c r="B77" s="21" t="s">
        <v>85</v>
      </c>
      <c r="C77" s="22" t="s">
        <v>80</v>
      </c>
      <c r="D77" s="23" t="s">
        <v>6</v>
      </c>
      <c r="E77" s="24">
        <v>510</v>
      </c>
      <c r="F77" s="35" t="s">
        <v>155</v>
      </c>
      <c r="G77" s="49" t="s">
        <v>39</v>
      </c>
      <c r="H77" s="21" t="s">
        <v>85</v>
      </c>
      <c r="I77" s="22" t="s">
        <v>80</v>
      </c>
      <c r="J77" s="23" t="s">
        <v>6</v>
      </c>
      <c r="K77" s="24">
        <v>550</v>
      </c>
      <c r="L77" s="35" t="s">
        <v>149</v>
      </c>
      <c r="M77" s="49" t="s">
        <v>39</v>
      </c>
      <c r="N77" s="21" t="s">
        <v>85</v>
      </c>
      <c r="O77" s="22" t="s">
        <v>80</v>
      </c>
      <c r="P77" s="23" t="s">
        <v>6</v>
      </c>
      <c r="Q77" s="24">
        <v>540</v>
      </c>
      <c r="R77" s="35" t="s">
        <v>150</v>
      </c>
      <c r="S77" s="49" t="s">
        <v>39</v>
      </c>
      <c r="T77" s="21" t="s">
        <v>85</v>
      </c>
      <c r="U77" s="22" t="s">
        <v>80</v>
      </c>
      <c r="V77" s="23" t="s">
        <v>6</v>
      </c>
      <c r="W77" s="24">
        <v>497</v>
      </c>
      <c r="X77" s="35" t="s">
        <v>168</v>
      </c>
      <c r="Y77" s="49" t="s">
        <v>39</v>
      </c>
      <c r="Z77" s="21" t="s">
        <v>85</v>
      </c>
      <c r="AA77" s="22" t="s">
        <v>80</v>
      </c>
      <c r="AB77" s="23" t="s">
        <v>6</v>
      </c>
      <c r="AC77" s="24">
        <v>312</v>
      </c>
      <c r="AD77" s="35" t="s">
        <v>169</v>
      </c>
      <c r="AE77" s="49" t="s">
        <v>39</v>
      </c>
      <c r="AF77" s="21" t="s">
        <v>85</v>
      </c>
      <c r="AG77" s="22" t="s">
        <v>80</v>
      </c>
      <c r="AH77" s="23" t="s">
        <v>6</v>
      </c>
      <c r="AI77" s="24">
        <v>406</v>
      </c>
      <c r="AJ77" s="35" t="s">
        <v>125</v>
      </c>
      <c r="AK77" s="49" t="s">
        <v>39</v>
      </c>
      <c r="AL77" s="21" t="s">
        <v>85</v>
      </c>
      <c r="AM77" s="22" t="s">
        <v>80</v>
      </c>
      <c r="AN77" s="23" t="s">
        <v>6</v>
      </c>
      <c r="AO77" s="24">
        <v>344</v>
      </c>
      <c r="AP77" s="35" t="s">
        <v>207</v>
      </c>
      <c r="AQ77" s="49" t="s">
        <v>39</v>
      </c>
      <c r="AR77" s="21" t="s">
        <v>85</v>
      </c>
      <c r="AS77" s="22" t="s">
        <v>80</v>
      </c>
      <c r="AT77" s="23" t="s">
        <v>6</v>
      </c>
      <c r="AU77" s="24">
        <v>311</v>
      </c>
      <c r="AV77" s="35" t="s">
        <v>208</v>
      </c>
      <c r="AW77" s="49" t="s">
        <v>39</v>
      </c>
      <c r="AX77" s="21" t="s">
        <v>85</v>
      </c>
      <c r="AY77" s="22" t="s">
        <v>80</v>
      </c>
      <c r="AZ77" s="23" t="s">
        <v>6</v>
      </c>
      <c r="BA77" s="24">
        <v>293</v>
      </c>
      <c r="BB77" s="35" t="s">
        <v>209</v>
      </c>
      <c r="BC77" s="49" t="s">
        <v>39</v>
      </c>
      <c r="BD77" s="21" t="s">
        <v>85</v>
      </c>
      <c r="BE77" s="22" t="s">
        <v>80</v>
      </c>
      <c r="BF77" s="23" t="s">
        <v>6</v>
      </c>
      <c r="BG77" s="24">
        <v>174</v>
      </c>
      <c r="BH77" s="35" t="s">
        <v>170</v>
      </c>
      <c r="BI77" s="49" t="s">
        <v>39</v>
      </c>
      <c r="BJ77" s="21" t="s">
        <v>85</v>
      </c>
      <c r="BK77" s="22" t="s">
        <v>80</v>
      </c>
      <c r="BL77" s="23" t="s">
        <v>6</v>
      </c>
      <c r="BM77" s="24">
        <v>314</v>
      </c>
      <c r="BN77" s="35" t="s">
        <v>110</v>
      </c>
      <c r="BO77" s="49" t="s">
        <v>39</v>
      </c>
      <c r="BP77" s="21" t="s">
        <v>85</v>
      </c>
      <c r="BQ77" s="22" t="s">
        <v>80</v>
      </c>
      <c r="BR77" s="23" t="s">
        <v>6</v>
      </c>
      <c r="BS77" s="24">
        <v>336</v>
      </c>
      <c r="BT77" s="35" t="s">
        <v>171</v>
      </c>
    </row>
    <row r="78" spans="1:72" ht="12" customHeight="1" x14ac:dyDescent="0.15">
      <c r="A78" s="49" t="s">
        <v>39</v>
      </c>
      <c r="B78" s="21" t="s">
        <v>70</v>
      </c>
      <c r="C78" s="21" t="s">
        <v>265</v>
      </c>
      <c r="D78" s="23" t="s">
        <v>83</v>
      </c>
      <c r="E78" s="4"/>
      <c r="F78" s="18"/>
      <c r="G78" s="49" t="s">
        <v>39</v>
      </c>
      <c r="H78" s="21" t="s">
        <v>70</v>
      </c>
      <c r="I78" s="21" t="s">
        <v>265</v>
      </c>
      <c r="J78" s="23" t="s">
        <v>83</v>
      </c>
      <c r="K78" s="4"/>
      <c r="L78" s="18"/>
      <c r="M78" s="49" t="s">
        <v>39</v>
      </c>
      <c r="N78" s="21" t="s">
        <v>70</v>
      </c>
      <c r="O78" s="21" t="s">
        <v>265</v>
      </c>
      <c r="P78" s="23" t="s">
        <v>83</v>
      </c>
      <c r="Q78" s="4"/>
      <c r="R78" s="18"/>
      <c r="S78" s="49" t="s">
        <v>39</v>
      </c>
      <c r="T78" s="21" t="s">
        <v>70</v>
      </c>
      <c r="U78" s="21" t="s">
        <v>265</v>
      </c>
      <c r="V78" s="23" t="s">
        <v>83</v>
      </c>
      <c r="W78" s="4"/>
      <c r="X78" s="18"/>
      <c r="Y78" s="49" t="s">
        <v>39</v>
      </c>
      <c r="Z78" s="21" t="s">
        <v>70</v>
      </c>
      <c r="AA78" s="21" t="s">
        <v>265</v>
      </c>
      <c r="AB78" s="23" t="s">
        <v>83</v>
      </c>
      <c r="AC78" s="4"/>
      <c r="AD78" s="18"/>
      <c r="AE78" s="49" t="s">
        <v>39</v>
      </c>
      <c r="AF78" s="21" t="s">
        <v>70</v>
      </c>
      <c r="AG78" s="21" t="s">
        <v>265</v>
      </c>
      <c r="AH78" s="23" t="s">
        <v>83</v>
      </c>
      <c r="AI78" s="4"/>
      <c r="AJ78" s="18"/>
      <c r="AK78" s="49" t="s">
        <v>39</v>
      </c>
      <c r="AL78" s="21" t="s">
        <v>70</v>
      </c>
      <c r="AM78" s="21" t="s">
        <v>265</v>
      </c>
      <c r="AN78" s="23" t="s">
        <v>83</v>
      </c>
      <c r="AO78" s="4"/>
      <c r="AP78" s="18"/>
      <c r="AQ78" s="49" t="s">
        <v>39</v>
      </c>
      <c r="AR78" s="21" t="s">
        <v>70</v>
      </c>
      <c r="AS78" s="21" t="s">
        <v>265</v>
      </c>
      <c r="AT78" s="23" t="s">
        <v>83</v>
      </c>
      <c r="AU78" s="4"/>
      <c r="AV78" s="18"/>
      <c r="AW78" s="49" t="s">
        <v>39</v>
      </c>
      <c r="AX78" s="21" t="s">
        <v>70</v>
      </c>
      <c r="AY78" s="21" t="s">
        <v>265</v>
      </c>
      <c r="AZ78" s="23" t="s">
        <v>83</v>
      </c>
      <c r="BA78" s="4"/>
      <c r="BB78" s="18"/>
      <c r="BC78" s="49" t="s">
        <v>39</v>
      </c>
      <c r="BD78" s="21" t="s">
        <v>70</v>
      </c>
      <c r="BE78" s="21" t="s">
        <v>265</v>
      </c>
      <c r="BF78" s="23" t="s">
        <v>83</v>
      </c>
      <c r="BG78" s="23" t="s">
        <v>195</v>
      </c>
      <c r="BH78" s="29" t="s">
        <v>87</v>
      </c>
      <c r="BI78" s="49" t="s">
        <v>39</v>
      </c>
      <c r="BJ78" s="21" t="s">
        <v>70</v>
      </c>
      <c r="BK78" s="21" t="s">
        <v>265</v>
      </c>
      <c r="BL78" s="23" t="s">
        <v>83</v>
      </c>
      <c r="BM78" s="27">
        <v>5.2</v>
      </c>
      <c r="BN78" s="31" t="s">
        <v>214</v>
      </c>
      <c r="BO78" s="49" t="s">
        <v>39</v>
      </c>
      <c r="BP78" s="21" t="s">
        <v>70</v>
      </c>
      <c r="BQ78" s="21" t="s">
        <v>265</v>
      </c>
      <c r="BR78" s="23" t="s">
        <v>83</v>
      </c>
      <c r="BS78" s="27">
        <v>7.2</v>
      </c>
      <c r="BT78" s="29" t="s">
        <v>172</v>
      </c>
    </row>
    <row r="79" spans="1:72" ht="12" customHeight="1" x14ac:dyDescent="0.15">
      <c r="A79" s="49" t="s">
        <v>39</v>
      </c>
      <c r="B79" s="21" t="s">
        <v>70</v>
      </c>
      <c r="C79" s="21" t="s">
        <v>265</v>
      </c>
      <c r="D79" s="23" t="s">
        <v>84</v>
      </c>
      <c r="E79" s="4"/>
      <c r="F79" s="6"/>
      <c r="G79" s="49" t="s">
        <v>39</v>
      </c>
      <c r="H79" s="21" t="s">
        <v>70</v>
      </c>
      <c r="I79" s="21" t="s">
        <v>265</v>
      </c>
      <c r="J79" s="23" t="s">
        <v>84</v>
      </c>
      <c r="K79" s="4"/>
      <c r="L79" s="6"/>
      <c r="M79" s="49" t="s">
        <v>39</v>
      </c>
      <c r="N79" s="21" t="s">
        <v>70</v>
      </c>
      <c r="O79" s="21" t="s">
        <v>265</v>
      </c>
      <c r="P79" s="23" t="s">
        <v>84</v>
      </c>
      <c r="Q79" s="4"/>
      <c r="R79" s="6"/>
      <c r="S79" s="49" t="s">
        <v>39</v>
      </c>
      <c r="T79" s="21" t="s">
        <v>70</v>
      </c>
      <c r="U79" s="21" t="s">
        <v>265</v>
      </c>
      <c r="V79" s="23" t="s">
        <v>84</v>
      </c>
      <c r="W79" s="4"/>
      <c r="X79" s="6"/>
      <c r="Y79" s="49" t="s">
        <v>39</v>
      </c>
      <c r="Z79" s="21" t="s">
        <v>70</v>
      </c>
      <c r="AA79" s="21" t="s">
        <v>265</v>
      </c>
      <c r="AB79" s="23" t="s">
        <v>84</v>
      </c>
      <c r="AC79" s="4"/>
      <c r="AD79" s="6"/>
      <c r="AE79" s="49" t="s">
        <v>39</v>
      </c>
      <c r="AF79" s="21" t="s">
        <v>70</v>
      </c>
      <c r="AG79" s="21" t="s">
        <v>265</v>
      </c>
      <c r="AH79" s="23" t="s">
        <v>84</v>
      </c>
      <c r="AI79" s="4"/>
      <c r="AJ79" s="6"/>
      <c r="AK79" s="49" t="s">
        <v>39</v>
      </c>
      <c r="AL79" s="21" t="s">
        <v>70</v>
      </c>
      <c r="AM79" s="21" t="s">
        <v>265</v>
      </c>
      <c r="AN79" s="23" t="s">
        <v>84</v>
      </c>
      <c r="AO79" s="4"/>
      <c r="AP79" s="6"/>
      <c r="AQ79" s="49" t="s">
        <v>39</v>
      </c>
      <c r="AR79" s="21" t="s">
        <v>70</v>
      </c>
      <c r="AS79" s="21" t="s">
        <v>265</v>
      </c>
      <c r="AT79" s="23" t="s">
        <v>84</v>
      </c>
      <c r="AU79" s="4"/>
      <c r="AV79" s="6"/>
      <c r="AW79" s="49" t="s">
        <v>39</v>
      </c>
      <c r="AX79" s="21" t="s">
        <v>70</v>
      </c>
      <c r="AY79" s="21" t="s">
        <v>265</v>
      </c>
      <c r="AZ79" s="23" t="s">
        <v>84</v>
      </c>
      <c r="BA79" s="4"/>
      <c r="BB79" s="6"/>
      <c r="BC79" s="49" t="s">
        <v>39</v>
      </c>
      <c r="BD79" s="21" t="s">
        <v>70</v>
      </c>
      <c r="BE79" s="21" t="s">
        <v>265</v>
      </c>
      <c r="BF79" s="23" t="s">
        <v>84</v>
      </c>
      <c r="BG79" s="27">
        <v>4.5999999999999996</v>
      </c>
      <c r="BH79" s="34" t="s">
        <v>87</v>
      </c>
      <c r="BI79" s="49" t="s">
        <v>39</v>
      </c>
      <c r="BJ79" s="21" t="s">
        <v>70</v>
      </c>
      <c r="BK79" s="21" t="s">
        <v>265</v>
      </c>
      <c r="BL79" s="23" t="s">
        <v>84</v>
      </c>
      <c r="BM79" s="24">
        <v>25</v>
      </c>
      <c r="BN79" s="34" t="s">
        <v>213</v>
      </c>
      <c r="BO79" s="49" t="s">
        <v>39</v>
      </c>
      <c r="BP79" s="21" t="s">
        <v>70</v>
      </c>
      <c r="BQ79" s="21" t="s">
        <v>265</v>
      </c>
      <c r="BR79" s="23" t="s">
        <v>84</v>
      </c>
      <c r="BS79" s="24">
        <v>34</v>
      </c>
      <c r="BT79" s="34" t="s">
        <v>172</v>
      </c>
    </row>
    <row r="80" spans="1:72" ht="12" customHeight="1" x14ac:dyDescent="0.15">
      <c r="A80" s="49" t="s">
        <v>39</v>
      </c>
      <c r="B80" s="21" t="s">
        <v>70</v>
      </c>
      <c r="C80" s="21" t="s">
        <v>265</v>
      </c>
      <c r="D80" s="23" t="s">
        <v>6</v>
      </c>
      <c r="E80" s="4"/>
      <c r="F80" s="8"/>
      <c r="G80" s="49" t="s">
        <v>39</v>
      </c>
      <c r="H80" s="21" t="s">
        <v>70</v>
      </c>
      <c r="I80" s="21" t="s">
        <v>265</v>
      </c>
      <c r="J80" s="23" t="s">
        <v>6</v>
      </c>
      <c r="K80" s="4"/>
      <c r="L80" s="8"/>
      <c r="M80" s="49" t="s">
        <v>39</v>
      </c>
      <c r="N80" s="21" t="s">
        <v>70</v>
      </c>
      <c r="O80" s="21" t="s">
        <v>265</v>
      </c>
      <c r="P80" s="23" t="s">
        <v>6</v>
      </c>
      <c r="Q80" s="4"/>
      <c r="R80" s="8"/>
      <c r="S80" s="49" t="s">
        <v>39</v>
      </c>
      <c r="T80" s="21" t="s">
        <v>70</v>
      </c>
      <c r="U80" s="21" t="s">
        <v>265</v>
      </c>
      <c r="V80" s="23" t="s">
        <v>6</v>
      </c>
      <c r="W80" s="4"/>
      <c r="X80" s="8"/>
      <c r="Y80" s="49" t="s">
        <v>39</v>
      </c>
      <c r="Z80" s="21" t="s">
        <v>70</v>
      </c>
      <c r="AA80" s="21" t="s">
        <v>265</v>
      </c>
      <c r="AB80" s="23" t="s">
        <v>6</v>
      </c>
      <c r="AC80" s="4"/>
      <c r="AD80" s="8"/>
      <c r="AE80" s="49" t="s">
        <v>39</v>
      </c>
      <c r="AF80" s="21" t="s">
        <v>70</v>
      </c>
      <c r="AG80" s="21" t="s">
        <v>265</v>
      </c>
      <c r="AH80" s="23" t="s">
        <v>6</v>
      </c>
      <c r="AI80" s="4"/>
      <c r="AJ80" s="8"/>
      <c r="AK80" s="49" t="s">
        <v>39</v>
      </c>
      <c r="AL80" s="21" t="s">
        <v>70</v>
      </c>
      <c r="AM80" s="21" t="s">
        <v>265</v>
      </c>
      <c r="AN80" s="23" t="s">
        <v>6</v>
      </c>
      <c r="AO80" s="4"/>
      <c r="AP80" s="8"/>
      <c r="AQ80" s="49" t="s">
        <v>39</v>
      </c>
      <c r="AR80" s="21" t="s">
        <v>70</v>
      </c>
      <c r="AS80" s="21" t="s">
        <v>265</v>
      </c>
      <c r="AT80" s="23" t="s">
        <v>6</v>
      </c>
      <c r="AU80" s="4"/>
      <c r="AV80" s="8"/>
      <c r="AW80" s="49" t="s">
        <v>39</v>
      </c>
      <c r="AX80" s="21" t="s">
        <v>70</v>
      </c>
      <c r="AY80" s="21" t="s">
        <v>265</v>
      </c>
      <c r="AZ80" s="23" t="s">
        <v>6</v>
      </c>
      <c r="BA80" s="4"/>
      <c r="BB80" s="8"/>
      <c r="BC80" s="49" t="s">
        <v>39</v>
      </c>
      <c r="BD80" s="21" t="s">
        <v>70</v>
      </c>
      <c r="BE80" s="21" t="s">
        <v>265</v>
      </c>
      <c r="BF80" s="23" t="s">
        <v>6</v>
      </c>
      <c r="BG80" s="27">
        <v>4.5999999999999996</v>
      </c>
      <c r="BH80" s="35" t="s">
        <v>87</v>
      </c>
      <c r="BI80" s="49" t="s">
        <v>39</v>
      </c>
      <c r="BJ80" s="21" t="s">
        <v>70</v>
      </c>
      <c r="BK80" s="21" t="s">
        <v>265</v>
      </c>
      <c r="BL80" s="23" t="s">
        <v>6</v>
      </c>
      <c r="BM80" s="27">
        <v>30.2</v>
      </c>
      <c r="BN80" s="35" t="s">
        <v>213</v>
      </c>
      <c r="BO80" s="49" t="s">
        <v>39</v>
      </c>
      <c r="BP80" s="21" t="s">
        <v>70</v>
      </c>
      <c r="BQ80" s="21" t="s">
        <v>265</v>
      </c>
      <c r="BR80" s="23" t="s">
        <v>6</v>
      </c>
      <c r="BS80" s="27">
        <v>41.2</v>
      </c>
      <c r="BT80" s="35" t="s">
        <v>172</v>
      </c>
    </row>
    <row r="81" spans="1:72" ht="12" customHeight="1" x14ac:dyDescent="0.15">
      <c r="A81" s="49" t="s">
        <v>39</v>
      </c>
      <c r="B81" s="21" t="s">
        <v>70</v>
      </c>
      <c r="C81" s="6" t="s">
        <v>266</v>
      </c>
      <c r="D81" s="23" t="s">
        <v>83</v>
      </c>
      <c r="E81" s="4"/>
      <c r="F81" s="18"/>
      <c r="G81" s="49" t="s">
        <v>39</v>
      </c>
      <c r="H81" s="21" t="s">
        <v>70</v>
      </c>
      <c r="I81" s="6" t="s">
        <v>266</v>
      </c>
      <c r="J81" s="23" t="s">
        <v>83</v>
      </c>
      <c r="K81" s="4"/>
      <c r="L81" s="18"/>
      <c r="M81" s="49" t="s">
        <v>39</v>
      </c>
      <c r="N81" s="21" t="s">
        <v>70</v>
      </c>
      <c r="O81" s="6" t="s">
        <v>266</v>
      </c>
      <c r="P81" s="23" t="s">
        <v>83</v>
      </c>
      <c r="Q81" s="4"/>
      <c r="R81" s="18"/>
      <c r="S81" s="49" t="s">
        <v>39</v>
      </c>
      <c r="T81" s="21" t="s">
        <v>70</v>
      </c>
      <c r="U81" s="6" t="s">
        <v>266</v>
      </c>
      <c r="V81" s="23" t="s">
        <v>83</v>
      </c>
      <c r="W81" s="4"/>
      <c r="X81" s="18"/>
      <c r="Y81" s="49" t="s">
        <v>39</v>
      </c>
      <c r="Z81" s="21" t="s">
        <v>70</v>
      </c>
      <c r="AA81" s="6" t="s">
        <v>266</v>
      </c>
      <c r="AB81" s="23" t="s">
        <v>83</v>
      </c>
      <c r="AC81" s="4"/>
      <c r="AD81" s="18"/>
      <c r="AE81" s="49" t="s">
        <v>39</v>
      </c>
      <c r="AF81" s="21" t="s">
        <v>70</v>
      </c>
      <c r="AG81" s="6" t="s">
        <v>266</v>
      </c>
      <c r="AH81" s="23" t="s">
        <v>83</v>
      </c>
      <c r="AI81" s="4"/>
      <c r="AJ81" s="18"/>
      <c r="AK81" s="49" t="s">
        <v>39</v>
      </c>
      <c r="AL81" s="21" t="s">
        <v>70</v>
      </c>
      <c r="AM81" s="6" t="s">
        <v>266</v>
      </c>
      <c r="AN81" s="23" t="s">
        <v>83</v>
      </c>
      <c r="AO81" s="4"/>
      <c r="AP81" s="18"/>
      <c r="AQ81" s="49" t="s">
        <v>39</v>
      </c>
      <c r="AR81" s="21" t="s">
        <v>70</v>
      </c>
      <c r="AS81" s="6" t="s">
        <v>266</v>
      </c>
      <c r="AT81" s="23" t="s">
        <v>83</v>
      </c>
      <c r="AU81" s="4"/>
      <c r="AV81" s="18"/>
      <c r="AW81" s="49" t="s">
        <v>39</v>
      </c>
      <c r="AX81" s="21" t="s">
        <v>70</v>
      </c>
      <c r="AY81" s="6" t="s">
        <v>266</v>
      </c>
      <c r="AZ81" s="23" t="s">
        <v>83</v>
      </c>
      <c r="BA81" s="4"/>
      <c r="BB81" s="18"/>
      <c r="BC81" s="49" t="s">
        <v>39</v>
      </c>
      <c r="BD81" s="21" t="s">
        <v>70</v>
      </c>
      <c r="BE81" s="21" t="s">
        <v>266</v>
      </c>
      <c r="BF81" s="23" t="s">
        <v>83</v>
      </c>
      <c r="BG81" s="24">
        <v>2</v>
      </c>
      <c r="BH81" s="29" t="s">
        <v>173</v>
      </c>
      <c r="BI81" s="49" t="s">
        <v>39</v>
      </c>
      <c r="BJ81" s="21" t="s">
        <v>70</v>
      </c>
      <c r="BK81" s="21" t="s">
        <v>266</v>
      </c>
      <c r="BL81" s="23" t="s">
        <v>83</v>
      </c>
      <c r="BM81" s="27">
        <v>2.6</v>
      </c>
      <c r="BN81" s="29" t="s">
        <v>174</v>
      </c>
      <c r="BO81" s="49" t="s">
        <v>39</v>
      </c>
      <c r="BP81" s="21" t="s">
        <v>70</v>
      </c>
      <c r="BQ81" s="21" t="s">
        <v>266</v>
      </c>
      <c r="BR81" s="23" t="s">
        <v>83</v>
      </c>
      <c r="BS81" s="27">
        <v>6.6</v>
      </c>
      <c r="BT81" s="29" t="s">
        <v>172</v>
      </c>
    </row>
    <row r="82" spans="1:72" ht="12" customHeight="1" x14ac:dyDescent="0.15">
      <c r="A82" s="49" t="s">
        <v>39</v>
      </c>
      <c r="B82" s="21" t="s">
        <v>70</v>
      </c>
      <c r="C82" s="6" t="s">
        <v>266</v>
      </c>
      <c r="D82" s="23" t="s">
        <v>84</v>
      </c>
      <c r="E82" s="4"/>
      <c r="F82" s="6"/>
      <c r="G82" s="49" t="s">
        <v>39</v>
      </c>
      <c r="H82" s="21" t="s">
        <v>70</v>
      </c>
      <c r="I82" s="6" t="s">
        <v>266</v>
      </c>
      <c r="J82" s="23" t="s">
        <v>84</v>
      </c>
      <c r="K82" s="4"/>
      <c r="L82" s="6"/>
      <c r="M82" s="49" t="s">
        <v>39</v>
      </c>
      <c r="N82" s="21" t="s">
        <v>70</v>
      </c>
      <c r="O82" s="6" t="s">
        <v>266</v>
      </c>
      <c r="P82" s="23" t="s">
        <v>84</v>
      </c>
      <c r="Q82" s="4"/>
      <c r="R82" s="6"/>
      <c r="S82" s="49" t="s">
        <v>39</v>
      </c>
      <c r="T82" s="21" t="s">
        <v>70</v>
      </c>
      <c r="U82" s="6" t="s">
        <v>266</v>
      </c>
      <c r="V82" s="23" t="s">
        <v>84</v>
      </c>
      <c r="W82" s="4"/>
      <c r="X82" s="6"/>
      <c r="Y82" s="49" t="s">
        <v>39</v>
      </c>
      <c r="Z82" s="21" t="s">
        <v>70</v>
      </c>
      <c r="AA82" s="6" t="s">
        <v>266</v>
      </c>
      <c r="AB82" s="23" t="s">
        <v>84</v>
      </c>
      <c r="AC82" s="4"/>
      <c r="AD82" s="6"/>
      <c r="AE82" s="49" t="s">
        <v>39</v>
      </c>
      <c r="AF82" s="21" t="s">
        <v>70</v>
      </c>
      <c r="AG82" s="6" t="s">
        <v>266</v>
      </c>
      <c r="AH82" s="23" t="s">
        <v>84</v>
      </c>
      <c r="AI82" s="4"/>
      <c r="AJ82" s="6"/>
      <c r="AK82" s="49" t="s">
        <v>39</v>
      </c>
      <c r="AL82" s="21" t="s">
        <v>70</v>
      </c>
      <c r="AM82" s="6" t="s">
        <v>266</v>
      </c>
      <c r="AN82" s="23" t="s">
        <v>84</v>
      </c>
      <c r="AO82" s="4"/>
      <c r="AP82" s="6"/>
      <c r="AQ82" s="49" t="s">
        <v>39</v>
      </c>
      <c r="AR82" s="21" t="s">
        <v>70</v>
      </c>
      <c r="AS82" s="6" t="s">
        <v>266</v>
      </c>
      <c r="AT82" s="23" t="s">
        <v>84</v>
      </c>
      <c r="AU82" s="4"/>
      <c r="AV82" s="6"/>
      <c r="AW82" s="49" t="s">
        <v>39</v>
      </c>
      <c r="AX82" s="21" t="s">
        <v>70</v>
      </c>
      <c r="AY82" s="6" t="s">
        <v>266</v>
      </c>
      <c r="AZ82" s="23" t="s">
        <v>84</v>
      </c>
      <c r="BA82" s="4"/>
      <c r="BB82" s="6"/>
      <c r="BC82" s="49" t="s">
        <v>39</v>
      </c>
      <c r="BD82" s="21" t="s">
        <v>70</v>
      </c>
      <c r="BE82" s="21" t="s">
        <v>266</v>
      </c>
      <c r="BF82" s="23" t="s">
        <v>84</v>
      </c>
      <c r="BG82" s="24">
        <v>8</v>
      </c>
      <c r="BH82" s="34" t="s">
        <v>173</v>
      </c>
      <c r="BI82" s="49" t="s">
        <v>39</v>
      </c>
      <c r="BJ82" s="21" t="s">
        <v>70</v>
      </c>
      <c r="BK82" s="21" t="s">
        <v>266</v>
      </c>
      <c r="BL82" s="23" t="s">
        <v>84</v>
      </c>
      <c r="BM82" s="24">
        <v>16</v>
      </c>
      <c r="BN82" s="34" t="s">
        <v>174</v>
      </c>
      <c r="BO82" s="49" t="s">
        <v>39</v>
      </c>
      <c r="BP82" s="21" t="s">
        <v>70</v>
      </c>
      <c r="BQ82" s="21" t="s">
        <v>266</v>
      </c>
      <c r="BR82" s="23" t="s">
        <v>84</v>
      </c>
      <c r="BS82" s="24">
        <v>3</v>
      </c>
      <c r="BT82" s="34" t="s">
        <v>172</v>
      </c>
    </row>
    <row r="83" spans="1:72" ht="12" customHeight="1" x14ac:dyDescent="0.15">
      <c r="A83" s="49" t="s">
        <v>39</v>
      </c>
      <c r="B83" s="21" t="s">
        <v>70</v>
      </c>
      <c r="C83" s="6" t="s">
        <v>266</v>
      </c>
      <c r="D83" s="23" t="s">
        <v>6</v>
      </c>
      <c r="E83" s="4"/>
      <c r="F83" s="8"/>
      <c r="G83" s="49" t="s">
        <v>39</v>
      </c>
      <c r="H83" s="21" t="s">
        <v>70</v>
      </c>
      <c r="I83" s="6" t="s">
        <v>266</v>
      </c>
      <c r="J83" s="23" t="s">
        <v>6</v>
      </c>
      <c r="K83" s="4"/>
      <c r="L83" s="8"/>
      <c r="M83" s="49" t="s">
        <v>39</v>
      </c>
      <c r="N83" s="21" t="s">
        <v>70</v>
      </c>
      <c r="O83" s="6" t="s">
        <v>266</v>
      </c>
      <c r="P83" s="23" t="s">
        <v>6</v>
      </c>
      <c r="Q83" s="4"/>
      <c r="R83" s="8"/>
      <c r="S83" s="49" t="s">
        <v>39</v>
      </c>
      <c r="T83" s="21" t="s">
        <v>70</v>
      </c>
      <c r="U83" s="6" t="s">
        <v>266</v>
      </c>
      <c r="V83" s="23" t="s">
        <v>6</v>
      </c>
      <c r="W83" s="4"/>
      <c r="X83" s="8"/>
      <c r="Y83" s="49" t="s">
        <v>39</v>
      </c>
      <c r="Z83" s="21" t="s">
        <v>70</v>
      </c>
      <c r="AA83" s="6" t="s">
        <v>266</v>
      </c>
      <c r="AB83" s="23" t="s">
        <v>6</v>
      </c>
      <c r="AC83" s="4"/>
      <c r="AD83" s="8"/>
      <c r="AE83" s="49" t="s">
        <v>39</v>
      </c>
      <c r="AF83" s="21" t="s">
        <v>70</v>
      </c>
      <c r="AG83" s="6" t="s">
        <v>266</v>
      </c>
      <c r="AH83" s="23" t="s">
        <v>6</v>
      </c>
      <c r="AI83" s="4"/>
      <c r="AJ83" s="8"/>
      <c r="AK83" s="49" t="s">
        <v>39</v>
      </c>
      <c r="AL83" s="21" t="s">
        <v>70</v>
      </c>
      <c r="AM83" s="6" t="s">
        <v>266</v>
      </c>
      <c r="AN83" s="23" t="s">
        <v>6</v>
      </c>
      <c r="AO83" s="4"/>
      <c r="AP83" s="8"/>
      <c r="AQ83" s="49" t="s">
        <v>39</v>
      </c>
      <c r="AR83" s="21" t="s">
        <v>70</v>
      </c>
      <c r="AS83" s="6" t="s">
        <v>266</v>
      </c>
      <c r="AT83" s="23" t="s">
        <v>6</v>
      </c>
      <c r="AU83" s="4"/>
      <c r="AV83" s="8"/>
      <c r="AW83" s="49" t="s">
        <v>39</v>
      </c>
      <c r="AX83" s="21" t="s">
        <v>70</v>
      </c>
      <c r="AY83" s="6" t="s">
        <v>266</v>
      </c>
      <c r="AZ83" s="23" t="s">
        <v>6</v>
      </c>
      <c r="BA83" s="4"/>
      <c r="BB83" s="8"/>
      <c r="BC83" s="49" t="s">
        <v>39</v>
      </c>
      <c r="BD83" s="21" t="s">
        <v>70</v>
      </c>
      <c r="BE83" s="21" t="s">
        <v>266</v>
      </c>
      <c r="BF83" s="23" t="s">
        <v>6</v>
      </c>
      <c r="BG83" s="24">
        <v>10</v>
      </c>
      <c r="BH83" s="35" t="s">
        <v>173</v>
      </c>
      <c r="BI83" s="49" t="s">
        <v>39</v>
      </c>
      <c r="BJ83" s="21" t="s">
        <v>70</v>
      </c>
      <c r="BK83" s="21" t="s">
        <v>266</v>
      </c>
      <c r="BL83" s="23" t="s">
        <v>6</v>
      </c>
      <c r="BM83" s="27">
        <v>18.600000000000001</v>
      </c>
      <c r="BN83" s="35" t="s">
        <v>174</v>
      </c>
      <c r="BO83" s="49" t="s">
        <v>39</v>
      </c>
      <c r="BP83" s="21" t="s">
        <v>70</v>
      </c>
      <c r="BQ83" s="21" t="s">
        <v>266</v>
      </c>
      <c r="BR83" s="23" t="s">
        <v>6</v>
      </c>
      <c r="BS83" s="27">
        <v>9.6</v>
      </c>
      <c r="BT83" s="35" t="s">
        <v>172</v>
      </c>
    </row>
    <row r="84" spans="1:72" ht="12" customHeight="1" x14ac:dyDescent="0.15">
      <c r="A84" s="49" t="s">
        <v>39</v>
      </c>
      <c r="B84" s="21" t="s">
        <v>70</v>
      </c>
      <c r="C84" s="22" t="s">
        <v>80</v>
      </c>
      <c r="D84" s="23" t="s">
        <v>83</v>
      </c>
      <c r="E84" s="4"/>
      <c r="F84" s="18"/>
      <c r="G84" s="49" t="s">
        <v>39</v>
      </c>
      <c r="H84" s="21" t="s">
        <v>70</v>
      </c>
      <c r="I84" s="22" t="s">
        <v>80</v>
      </c>
      <c r="J84" s="23" t="s">
        <v>83</v>
      </c>
      <c r="K84" s="4"/>
      <c r="L84" s="18"/>
      <c r="M84" s="49" t="s">
        <v>39</v>
      </c>
      <c r="N84" s="21" t="s">
        <v>70</v>
      </c>
      <c r="O84" s="22" t="s">
        <v>80</v>
      </c>
      <c r="P84" s="23" t="s">
        <v>83</v>
      </c>
      <c r="Q84" s="4"/>
      <c r="R84" s="18"/>
      <c r="S84" s="49" t="s">
        <v>39</v>
      </c>
      <c r="T84" s="21" t="s">
        <v>70</v>
      </c>
      <c r="U84" s="22" t="s">
        <v>80</v>
      </c>
      <c r="V84" s="23" t="s">
        <v>83</v>
      </c>
      <c r="W84" s="4"/>
      <c r="X84" s="18"/>
      <c r="Y84" s="49" t="s">
        <v>39</v>
      </c>
      <c r="Z84" s="21" t="s">
        <v>70</v>
      </c>
      <c r="AA84" s="22" t="s">
        <v>80</v>
      </c>
      <c r="AB84" s="23" t="s">
        <v>83</v>
      </c>
      <c r="AC84" s="4"/>
      <c r="AD84" s="18"/>
      <c r="AE84" s="49" t="s">
        <v>39</v>
      </c>
      <c r="AF84" s="21" t="s">
        <v>70</v>
      </c>
      <c r="AG84" s="22" t="s">
        <v>80</v>
      </c>
      <c r="AH84" s="23" t="s">
        <v>83</v>
      </c>
      <c r="AI84" s="4"/>
      <c r="AJ84" s="18"/>
      <c r="AK84" s="49" t="s">
        <v>39</v>
      </c>
      <c r="AL84" s="21" t="s">
        <v>70</v>
      </c>
      <c r="AM84" s="22" t="s">
        <v>80</v>
      </c>
      <c r="AN84" s="23" t="s">
        <v>83</v>
      </c>
      <c r="AO84" s="4"/>
      <c r="AP84" s="18"/>
      <c r="AQ84" s="49" t="s">
        <v>39</v>
      </c>
      <c r="AR84" s="21" t="s">
        <v>70</v>
      </c>
      <c r="AS84" s="22" t="s">
        <v>80</v>
      </c>
      <c r="AT84" s="23" t="s">
        <v>83</v>
      </c>
      <c r="AU84" s="4"/>
      <c r="AV84" s="18"/>
      <c r="AW84" s="49" t="s">
        <v>39</v>
      </c>
      <c r="AX84" s="21" t="s">
        <v>70</v>
      </c>
      <c r="AY84" s="22" t="s">
        <v>80</v>
      </c>
      <c r="AZ84" s="23" t="s">
        <v>83</v>
      </c>
      <c r="BA84" s="4"/>
      <c r="BB84" s="18"/>
      <c r="BC84" s="49" t="s">
        <v>39</v>
      </c>
      <c r="BD84" s="21" t="s">
        <v>70</v>
      </c>
      <c r="BE84" s="22" t="s">
        <v>80</v>
      </c>
      <c r="BF84" s="23" t="s">
        <v>83</v>
      </c>
      <c r="BG84" s="24">
        <v>10</v>
      </c>
      <c r="BH84" s="29" t="s">
        <v>87</v>
      </c>
      <c r="BI84" s="49" t="s">
        <v>39</v>
      </c>
      <c r="BJ84" s="21" t="s">
        <v>70</v>
      </c>
      <c r="BK84" s="22" t="s">
        <v>80</v>
      </c>
      <c r="BL84" s="23" t="s">
        <v>83</v>
      </c>
      <c r="BM84" s="24">
        <v>35</v>
      </c>
      <c r="BN84" s="31" t="s">
        <v>214</v>
      </c>
      <c r="BO84" s="49" t="s">
        <v>39</v>
      </c>
      <c r="BP84" s="21" t="s">
        <v>70</v>
      </c>
      <c r="BQ84" s="22" t="s">
        <v>80</v>
      </c>
      <c r="BR84" s="23" t="s">
        <v>83</v>
      </c>
      <c r="BS84" s="24">
        <v>62</v>
      </c>
      <c r="BT84" s="29" t="s">
        <v>172</v>
      </c>
    </row>
    <row r="85" spans="1:72" ht="12" customHeight="1" x14ac:dyDescent="0.15">
      <c r="A85" s="49" t="s">
        <v>39</v>
      </c>
      <c r="B85" s="21" t="s">
        <v>70</v>
      </c>
      <c r="C85" s="22" t="s">
        <v>80</v>
      </c>
      <c r="D85" s="23" t="s">
        <v>84</v>
      </c>
      <c r="E85" s="4"/>
      <c r="F85" s="6"/>
      <c r="G85" s="49" t="s">
        <v>39</v>
      </c>
      <c r="H85" s="21" t="s">
        <v>70</v>
      </c>
      <c r="I85" s="22" t="s">
        <v>80</v>
      </c>
      <c r="J85" s="23" t="s">
        <v>84</v>
      </c>
      <c r="K85" s="4"/>
      <c r="L85" s="6"/>
      <c r="M85" s="49" t="s">
        <v>39</v>
      </c>
      <c r="N85" s="21" t="s">
        <v>70</v>
      </c>
      <c r="O85" s="22" t="s">
        <v>80</v>
      </c>
      <c r="P85" s="23" t="s">
        <v>84</v>
      </c>
      <c r="Q85" s="4"/>
      <c r="R85" s="6"/>
      <c r="S85" s="49" t="s">
        <v>39</v>
      </c>
      <c r="T85" s="21" t="s">
        <v>70</v>
      </c>
      <c r="U85" s="22" t="s">
        <v>80</v>
      </c>
      <c r="V85" s="23" t="s">
        <v>84</v>
      </c>
      <c r="W85" s="4"/>
      <c r="X85" s="6"/>
      <c r="Y85" s="49" t="s">
        <v>39</v>
      </c>
      <c r="Z85" s="21" t="s">
        <v>70</v>
      </c>
      <c r="AA85" s="22" t="s">
        <v>80</v>
      </c>
      <c r="AB85" s="23" t="s">
        <v>84</v>
      </c>
      <c r="AC85" s="4"/>
      <c r="AD85" s="6"/>
      <c r="AE85" s="49" t="s">
        <v>39</v>
      </c>
      <c r="AF85" s="21" t="s">
        <v>70</v>
      </c>
      <c r="AG85" s="22" t="s">
        <v>80</v>
      </c>
      <c r="AH85" s="23" t="s">
        <v>84</v>
      </c>
      <c r="AI85" s="4"/>
      <c r="AJ85" s="6"/>
      <c r="AK85" s="49" t="s">
        <v>39</v>
      </c>
      <c r="AL85" s="21" t="s">
        <v>70</v>
      </c>
      <c r="AM85" s="22" t="s">
        <v>80</v>
      </c>
      <c r="AN85" s="23" t="s">
        <v>84</v>
      </c>
      <c r="AO85" s="4"/>
      <c r="AP85" s="6"/>
      <c r="AQ85" s="49" t="s">
        <v>39</v>
      </c>
      <c r="AR85" s="21" t="s">
        <v>70</v>
      </c>
      <c r="AS85" s="22" t="s">
        <v>80</v>
      </c>
      <c r="AT85" s="23" t="s">
        <v>84</v>
      </c>
      <c r="AU85" s="4"/>
      <c r="AV85" s="6"/>
      <c r="AW85" s="49" t="s">
        <v>39</v>
      </c>
      <c r="AX85" s="21" t="s">
        <v>70</v>
      </c>
      <c r="AY85" s="22" t="s">
        <v>80</v>
      </c>
      <c r="AZ85" s="23" t="s">
        <v>84</v>
      </c>
      <c r="BA85" s="4"/>
      <c r="BB85" s="6"/>
      <c r="BC85" s="49" t="s">
        <v>39</v>
      </c>
      <c r="BD85" s="21" t="s">
        <v>70</v>
      </c>
      <c r="BE85" s="22" t="s">
        <v>80</v>
      </c>
      <c r="BF85" s="23" t="s">
        <v>84</v>
      </c>
      <c r="BG85" s="24">
        <v>53</v>
      </c>
      <c r="BH85" s="34" t="s">
        <v>87</v>
      </c>
      <c r="BI85" s="49" t="s">
        <v>39</v>
      </c>
      <c r="BJ85" s="21" t="s">
        <v>70</v>
      </c>
      <c r="BK85" s="22" t="s">
        <v>80</v>
      </c>
      <c r="BL85" s="23" t="s">
        <v>84</v>
      </c>
      <c r="BM85" s="24">
        <v>170</v>
      </c>
      <c r="BN85" s="34" t="s">
        <v>213</v>
      </c>
      <c r="BO85" s="49" t="s">
        <v>39</v>
      </c>
      <c r="BP85" s="21" t="s">
        <v>70</v>
      </c>
      <c r="BQ85" s="22" t="s">
        <v>80</v>
      </c>
      <c r="BR85" s="23" t="s">
        <v>84</v>
      </c>
      <c r="BS85" s="24">
        <v>300</v>
      </c>
      <c r="BT85" s="34" t="s">
        <v>172</v>
      </c>
    </row>
    <row r="86" spans="1:72" ht="12" customHeight="1" x14ac:dyDescent="0.15">
      <c r="A86" s="49" t="s">
        <v>39</v>
      </c>
      <c r="B86" s="21" t="s">
        <v>70</v>
      </c>
      <c r="C86" s="22" t="s">
        <v>80</v>
      </c>
      <c r="D86" s="23" t="s">
        <v>6</v>
      </c>
      <c r="E86" s="4"/>
      <c r="F86" s="8"/>
      <c r="G86" s="49" t="s">
        <v>39</v>
      </c>
      <c r="H86" s="21" t="s">
        <v>70</v>
      </c>
      <c r="I86" s="22" t="s">
        <v>80</v>
      </c>
      <c r="J86" s="23" t="s">
        <v>6</v>
      </c>
      <c r="K86" s="4"/>
      <c r="L86" s="8"/>
      <c r="M86" s="49" t="s">
        <v>39</v>
      </c>
      <c r="N86" s="21" t="s">
        <v>70</v>
      </c>
      <c r="O86" s="22" t="s">
        <v>80</v>
      </c>
      <c r="P86" s="23" t="s">
        <v>6</v>
      </c>
      <c r="Q86" s="4"/>
      <c r="R86" s="8"/>
      <c r="S86" s="49" t="s">
        <v>39</v>
      </c>
      <c r="T86" s="21" t="s">
        <v>70</v>
      </c>
      <c r="U86" s="22" t="s">
        <v>80</v>
      </c>
      <c r="V86" s="23" t="s">
        <v>6</v>
      </c>
      <c r="W86" s="4"/>
      <c r="X86" s="8"/>
      <c r="Y86" s="49" t="s">
        <v>39</v>
      </c>
      <c r="Z86" s="21" t="s">
        <v>70</v>
      </c>
      <c r="AA86" s="22" t="s">
        <v>80</v>
      </c>
      <c r="AB86" s="23" t="s">
        <v>6</v>
      </c>
      <c r="AC86" s="4"/>
      <c r="AD86" s="8"/>
      <c r="AE86" s="49" t="s">
        <v>39</v>
      </c>
      <c r="AF86" s="21" t="s">
        <v>70</v>
      </c>
      <c r="AG86" s="22" t="s">
        <v>80</v>
      </c>
      <c r="AH86" s="23" t="s">
        <v>6</v>
      </c>
      <c r="AI86" s="4"/>
      <c r="AJ86" s="8"/>
      <c r="AK86" s="49" t="s">
        <v>39</v>
      </c>
      <c r="AL86" s="21" t="s">
        <v>70</v>
      </c>
      <c r="AM86" s="22" t="s">
        <v>80</v>
      </c>
      <c r="AN86" s="23" t="s">
        <v>6</v>
      </c>
      <c r="AO86" s="4"/>
      <c r="AP86" s="8"/>
      <c r="AQ86" s="49" t="s">
        <v>39</v>
      </c>
      <c r="AR86" s="21" t="s">
        <v>70</v>
      </c>
      <c r="AS86" s="22" t="s">
        <v>80</v>
      </c>
      <c r="AT86" s="23" t="s">
        <v>6</v>
      </c>
      <c r="AU86" s="4"/>
      <c r="AV86" s="8"/>
      <c r="AW86" s="49" t="s">
        <v>39</v>
      </c>
      <c r="AX86" s="21" t="s">
        <v>70</v>
      </c>
      <c r="AY86" s="22" t="s">
        <v>80</v>
      </c>
      <c r="AZ86" s="23" t="s">
        <v>6</v>
      </c>
      <c r="BA86" s="4"/>
      <c r="BB86" s="8"/>
      <c r="BC86" s="49" t="s">
        <v>39</v>
      </c>
      <c r="BD86" s="21" t="s">
        <v>70</v>
      </c>
      <c r="BE86" s="22" t="s">
        <v>80</v>
      </c>
      <c r="BF86" s="23" t="s">
        <v>6</v>
      </c>
      <c r="BG86" s="24">
        <v>63</v>
      </c>
      <c r="BH86" s="35" t="s">
        <v>87</v>
      </c>
      <c r="BI86" s="49" t="s">
        <v>39</v>
      </c>
      <c r="BJ86" s="21" t="s">
        <v>70</v>
      </c>
      <c r="BK86" s="22" t="s">
        <v>80</v>
      </c>
      <c r="BL86" s="23" t="s">
        <v>6</v>
      </c>
      <c r="BM86" s="24">
        <v>205</v>
      </c>
      <c r="BN86" s="35" t="s">
        <v>213</v>
      </c>
      <c r="BO86" s="49" t="s">
        <v>39</v>
      </c>
      <c r="BP86" s="21" t="s">
        <v>70</v>
      </c>
      <c r="BQ86" s="22" t="s">
        <v>80</v>
      </c>
      <c r="BR86" s="23" t="s">
        <v>6</v>
      </c>
      <c r="BS86" s="24">
        <v>362</v>
      </c>
      <c r="BT86" s="35" t="s">
        <v>172</v>
      </c>
    </row>
    <row r="87" spans="1:72" ht="12" customHeight="1" x14ac:dyDescent="0.15">
      <c r="A87" s="49" t="s">
        <v>39</v>
      </c>
      <c r="B87" s="21" t="s">
        <v>56</v>
      </c>
      <c r="C87" s="22" t="s">
        <v>81</v>
      </c>
      <c r="D87" s="23" t="s">
        <v>83</v>
      </c>
      <c r="E87" s="24">
        <v>86</v>
      </c>
      <c r="F87" s="29" t="s">
        <v>158</v>
      </c>
      <c r="G87" s="49" t="s">
        <v>39</v>
      </c>
      <c r="H87" s="21" t="s">
        <v>56</v>
      </c>
      <c r="I87" s="22" t="s">
        <v>81</v>
      </c>
      <c r="J87" s="23" t="s">
        <v>83</v>
      </c>
      <c r="K87" s="24">
        <v>87</v>
      </c>
      <c r="L87" s="29" t="s">
        <v>175</v>
      </c>
      <c r="M87" s="49" t="s">
        <v>39</v>
      </c>
      <c r="N87" s="21" t="s">
        <v>56</v>
      </c>
      <c r="O87" s="22" t="s">
        <v>81</v>
      </c>
      <c r="P87" s="23" t="s">
        <v>83</v>
      </c>
      <c r="Q87" s="24">
        <v>80</v>
      </c>
      <c r="R87" s="29" t="s">
        <v>176</v>
      </c>
      <c r="S87" s="49" t="s">
        <v>39</v>
      </c>
      <c r="T87" s="21" t="s">
        <v>56</v>
      </c>
      <c r="U87" s="22" t="s">
        <v>81</v>
      </c>
      <c r="V87" s="23" t="s">
        <v>83</v>
      </c>
      <c r="W87" s="24">
        <v>62</v>
      </c>
      <c r="X87" s="29" t="s">
        <v>177</v>
      </c>
      <c r="Y87" s="49" t="s">
        <v>39</v>
      </c>
      <c r="Z87" s="21" t="s">
        <v>56</v>
      </c>
      <c r="AA87" s="22" t="s">
        <v>81</v>
      </c>
      <c r="AB87" s="23" t="s">
        <v>83</v>
      </c>
      <c r="AC87" s="24">
        <v>78</v>
      </c>
      <c r="AD87" s="29" t="s">
        <v>107</v>
      </c>
      <c r="AE87" s="49" t="s">
        <v>39</v>
      </c>
      <c r="AF87" s="21" t="s">
        <v>56</v>
      </c>
      <c r="AG87" s="22" t="s">
        <v>81</v>
      </c>
      <c r="AH87" s="23" t="s">
        <v>83</v>
      </c>
      <c r="AI87" s="24">
        <v>59</v>
      </c>
      <c r="AJ87" s="29" t="s">
        <v>178</v>
      </c>
      <c r="AK87" s="49" t="s">
        <v>39</v>
      </c>
      <c r="AL87" s="21" t="s">
        <v>56</v>
      </c>
      <c r="AM87" s="22" t="s">
        <v>81</v>
      </c>
      <c r="AN87" s="23" t="s">
        <v>83</v>
      </c>
      <c r="AO87" s="24">
        <v>58</v>
      </c>
      <c r="AP87" s="29" t="s">
        <v>210</v>
      </c>
      <c r="AQ87" s="49" t="s">
        <v>39</v>
      </c>
      <c r="AR87" s="21" t="s">
        <v>56</v>
      </c>
      <c r="AS87" s="22" t="s">
        <v>81</v>
      </c>
      <c r="AT87" s="23" t="s">
        <v>83</v>
      </c>
      <c r="AU87" s="24">
        <v>32</v>
      </c>
      <c r="AV87" s="33" t="s">
        <v>215</v>
      </c>
      <c r="AW87" s="49" t="s">
        <v>39</v>
      </c>
      <c r="AX87" s="21" t="s">
        <v>56</v>
      </c>
      <c r="AY87" s="22" t="s">
        <v>81</v>
      </c>
      <c r="AZ87" s="23" t="s">
        <v>83</v>
      </c>
      <c r="BA87" s="24">
        <v>40</v>
      </c>
      <c r="BB87" s="29" t="s">
        <v>179</v>
      </c>
      <c r="BC87" s="49" t="s">
        <v>39</v>
      </c>
      <c r="BD87" s="21" t="s">
        <v>56</v>
      </c>
      <c r="BE87" s="22" t="s">
        <v>81</v>
      </c>
      <c r="BF87" s="23" t="s">
        <v>83</v>
      </c>
      <c r="BG87" s="24">
        <v>46</v>
      </c>
      <c r="BH87" s="29" t="s">
        <v>180</v>
      </c>
      <c r="BI87" s="49" t="s">
        <v>39</v>
      </c>
      <c r="BJ87" s="21" t="s">
        <v>56</v>
      </c>
      <c r="BK87" s="22" t="s">
        <v>81</v>
      </c>
      <c r="BL87" s="23" t="s">
        <v>83</v>
      </c>
      <c r="BM87" s="24">
        <v>40</v>
      </c>
      <c r="BN87" s="29" t="s">
        <v>181</v>
      </c>
      <c r="BO87" s="49" t="s">
        <v>39</v>
      </c>
      <c r="BP87" s="21" t="s">
        <v>56</v>
      </c>
      <c r="BQ87" s="22" t="s">
        <v>81</v>
      </c>
      <c r="BR87" s="23" t="s">
        <v>83</v>
      </c>
      <c r="BS87" s="24">
        <v>51</v>
      </c>
      <c r="BT87" s="29" t="s">
        <v>182</v>
      </c>
    </row>
    <row r="88" spans="1:72" ht="12" customHeight="1" x14ac:dyDescent="0.15">
      <c r="A88" s="49" t="s">
        <v>39</v>
      </c>
      <c r="B88" s="21" t="s">
        <v>56</v>
      </c>
      <c r="C88" s="22" t="s">
        <v>81</v>
      </c>
      <c r="D88" s="23" t="s">
        <v>84</v>
      </c>
      <c r="E88" s="23">
        <v>300</v>
      </c>
      <c r="F88" s="34" t="s">
        <v>158</v>
      </c>
      <c r="G88" s="49" t="s">
        <v>39</v>
      </c>
      <c r="H88" s="21" t="s">
        <v>56</v>
      </c>
      <c r="I88" s="22" t="s">
        <v>81</v>
      </c>
      <c r="J88" s="23" t="s">
        <v>84</v>
      </c>
      <c r="K88" s="24">
        <v>320</v>
      </c>
      <c r="L88" s="34" t="s">
        <v>175</v>
      </c>
      <c r="M88" s="49" t="s">
        <v>39</v>
      </c>
      <c r="N88" s="21" t="s">
        <v>56</v>
      </c>
      <c r="O88" s="22" t="s">
        <v>81</v>
      </c>
      <c r="P88" s="23" t="s">
        <v>84</v>
      </c>
      <c r="Q88" s="24">
        <v>310</v>
      </c>
      <c r="R88" s="34" t="s">
        <v>176</v>
      </c>
      <c r="S88" s="49" t="s">
        <v>39</v>
      </c>
      <c r="T88" s="21" t="s">
        <v>56</v>
      </c>
      <c r="U88" s="22" t="s">
        <v>81</v>
      </c>
      <c r="V88" s="23" t="s">
        <v>84</v>
      </c>
      <c r="W88" s="24">
        <v>250</v>
      </c>
      <c r="X88" s="34" t="s">
        <v>177</v>
      </c>
      <c r="Y88" s="49" t="s">
        <v>39</v>
      </c>
      <c r="Z88" s="21" t="s">
        <v>56</v>
      </c>
      <c r="AA88" s="22" t="s">
        <v>81</v>
      </c>
      <c r="AB88" s="23" t="s">
        <v>84</v>
      </c>
      <c r="AC88" s="24">
        <v>310</v>
      </c>
      <c r="AD88" s="34" t="s">
        <v>107</v>
      </c>
      <c r="AE88" s="49" t="s">
        <v>39</v>
      </c>
      <c r="AF88" s="21" t="s">
        <v>56</v>
      </c>
      <c r="AG88" s="22" t="s">
        <v>81</v>
      </c>
      <c r="AH88" s="23" t="s">
        <v>84</v>
      </c>
      <c r="AI88" s="24">
        <v>240</v>
      </c>
      <c r="AJ88" s="34" t="s">
        <v>178</v>
      </c>
      <c r="AK88" s="49" t="s">
        <v>39</v>
      </c>
      <c r="AL88" s="21" t="s">
        <v>56</v>
      </c>
      <c r="AM88" s="22" t="s">
        <v>81</v>
      </c>
      <c r="AN88" s="23" t="s">
        <v>84</v>
      </c>
      <c r="AO88" s="24">
        <v>260</v>
      </c>
      <c r="AP88" s="34" t="s">
        <v>210</v>
      </c>
      <c r="AQ88" s="49" t="s">
        <v>39</v>
      </c>
      <c r="AR88" s="21" t="s">
        <v>56</v>
      </c>
      <c r="AS88" s="22" t="s">
        <v>81</v>
      </c>
      <c r="AT88" s="23" t="s">
        <v>84</v>
      </c>
      <c r="AU88" s="24">
        <v>150</v>
      </c>
      <c r="AV88" s="34" t="s">
        <v>203</v>
      </c>
      <c r="AW88" s="49" t="s">
        <v>39</v>
      </c>
      <c r="AX88" s="21" t="s">
        <v>56</v>
      </c>
      <c r="AY88" s="22" t="s">
        <v>81</v>
      </c>
      <c r="AZ88" s="23" t="s">
        <v>84</v>
      </c>
      <c r="BA88" s="23">
        <v>200</v>
      </c>
      <c r="BB88" s="34" t="s">
        <v>179</v>
      </c>
      <c r="BC88" s="49" t="s">
        <v>39</v>
      </c>
      <c r="BD88" s="21" t="s">
        <v>56</v>
      </c>
      <c r="BE88" s="22" t="s">
        <v>81</v>
      </c>
      <c r="BF88" s="23" t="s">
        <v>84</v>
      </c>
      <c r="BG88" s="24">
        <v>210</v>
      </c>
      <c r="BH88" s="34" t="s">
        <v>180</v>
      </c>
      <c r="BI88" s="49" t="s">
        <v>39</v>
      </c>
      <c r="BJ88" s="21" t="s">
        <v>56</v>
      </c>
      <c r="BK88" s="22" t="s">
        <v>81</v>
      </c>
      <c r="BL88" s="23" t="s">
        <v>84</v>
      </c>
      <c r="BM88" s="23">
        <v>200</v>
      </c>
      <c r="BN88" s="34" t="s">
        <v>181</v>
      </c>
      <c r="BO88" s="49" t="s">
        <v>39</v>
      </c>
      <c r="BP88" s="21" t="s">
        <v>56</v>
      </c>
      <c r="BQ88" s="22" t="s">
        <v>81</v>
      </c>
      <c r="BR88" s="23" t="s">
        <v>84</v>
      </c>
      <c r="BS88" s="24">
        <v>260</v>
      </c>
      <c r="BT88" s="34" t="s">
        <v>182</v>
      </c>
    </row>
    <row r="89" spans="1:72" ht="12" customHeight="1" x14ac:dyDescent="0.15">
      <c r="A89" s="49" t="s">
        <v>39</v>
      </c>
      <c r="B89" s="21" t="s">
        <v>56</v>
      </c>
      <c r="C89" s="22" t="s">
        <v>81</v>
      </c>
      <c r="D89" s="23" t="s">
        <v>6</v>
      </c>
      <c r="E89" s="24">
        <v>386</v>
      </c>
      <c r="F89" s="35" t="s">
        <v>158</v>
      </c>
      <c r="G89" s="49" t="s">
        <v>39</v>
      </c>
      <c r="H89" s="21" t="s">
        <v>56</v>
      </c>
      <c r="I89" s="22" t="s">
        <v>81</v>
      </c>
      <c r="J89" s="23" t="s">
        <v>6</v>
      </c>
      <c r="K89" s="24">
        <v>407</v>
      </c>
      <c r="L89" s="35" t="s">
        <v>175</v>
      </c>
      <c r="M89" s="49" t="s">
        <v>39</v>
      </c>
      <c r="N89" s="21" t="s">
        <v>56</v>
      </c>
      <c r="O89" s="22" t="s">
        <v>81</v>
      </c>
      <c r="P89" s="23" t="s">
        <v>6</v>
      </c>
      <c r="Q89" s="24">
        <v>390</v>
      </c>
      <c r="R89" s="35" t="s">
        <v>176</v>
      </c>
      <c r="S89" s="49" t="s">
        <v>39</v>
      </c>
      <c r="T89" s="21" t="s">
        <v>56</v>
      </c>
      <c r="U89" s="22" t="s">
        <v>81</v>
      </c>
      <c r="V89" s="23" t="s">
        <v>6</v>
      </c>
      <c r="W89" s="24">
        <v>312</v>
      </c>
      <c r="X89" s="35" t="s">
        <v>177</v>
      </c>
      <c r="Y89" s="49" t="s">
        <v>39</v>
      </c>
      <c r="Z89" s="21" t="s">
        <v>56</v>
      </c>
      <c r="AA89" s="22" t="s">
        <v>81</v>
      </c>
      <c r="AB89" s="23" t="s">
        <v>6</v>
      </c>
      <c r="AC89" s="24">
        <v>388</v>
      </c>
      <c r="AD89" s="35" t="s">
        <v>107</v>
      </c>
      <c r="AE89" s="49" t="s">
        <v>39</v>
      </c>
      <c r="AF89" s="21" t="s">
        <v>56</v>
      </c>
      <c r="AG89" s="22" t="s">
        <v>81</v>
      </c>
      <c r="AH89" s="23" t="s">
        <v>6</v>
      </c>
      <c r="AI89" s="24">
        <v>299</v>
      </c>
      <c r="AJ89" s="35" t="s">
        <v>178</v>
      </c>
      <c r="AK89" s="49" t="s">
        <v>39</v>
      </c>
      <c r="AL89" s="21" t="s">
        <v>56</v>
      </c>
      <c r="AM89" s="22" t="s">
        <v>81</v>
      </c>
      <c r="AN89" s="23" t="s">
        <v>6</v>
      </c>
      <c r="AO89" s="24">
        <v>318</v>
      </c>
      <c r="AP89" s="35" t="s">
        <v>210</v>
      </c>
      <c r="AQ89" s="49" t="s">
        <v>39</v>
      </c>
      <c r="AR89" s="21" t="s">
        <v>56</v>
      </c>
      <c r="AS89" s="22" t="s">
        <v>81</v>
      </c>
      <c r="AT89" s="23" t="s">
        <v>6</v>
      </c>
      <c r="AU89" s="24">
        <v>182</v>
      </c>
      <c r="AV89" s="35" t="s">
        <v>203</v>
      </c>
      <c r="AW89" s="49" t="s">
        <v>39</v>
      </c>
      <c r="AX89" s="21" t="s">
        <v>56</v>
      </c>
      <c r="AY89" s="22" t="s">
        <v>81</v>
      </c>
      <c r="AZ89" s="23" t="s">
        <v>6</v>
      </c>
      <c r="BA89" s="24">
        <v>240</v>
      </c>
      <c r="BB89" s="35" t="s">
        <v>179</v>
      </c>
      <c r="BC89" s="49" t="s">
        <v>39</v>
      </c>
      <c r="BD89" s="21" t="s">
        <v>56</v>
      </c>
      <c r="BE89" s="22" t="s">
        <v>81</v>
      </c>
      <c r="BF89" s="23" t="s">
        <v>6</v>
      </c>
      <c r="BG89" s="24">
        <v>256</v>
      </c>
      <c r="BH89" s="35" t="s">
        <v>180</v>
      </c>
      <c r="BI89" s="49" t="s">
        <v>39</v>
      </c>
      <c r="BJ89" s="21" t="s">
        <v>56</v>
      </c>
      <c r="BK89" s="22" t="s">
        <v>81</v>
      </c>
      <c r="BL89" s="23" t="s">
        <v>6</v>
      </c>
      <c r="BM89" s="24">
        <v>240</v>
      </c>
      <c r="BN89" s="35" t="s">
        <v>181</v>
      </c>
      <c r="BO89" s="49" t="s">
        <v>39</v>
      </c>
      <c r="BP89" s="21" t="s">
        <v>56</v>
      </c>
      <c r="BQ89" s="22" t="s">
        <v>81</v>
      </c>
      <c r="BR89" s="23" t="s">
        <v>6</v>
      </c>
      <c r="BS89" s="24">
        <v>311</v>
      </c>
      <c r="BT89" s="35" t="s">
        <v>182</v>
      </c>
    </row>
    <row r="90" spans="1:72" ht="12" customHeight="1" x14ac:dyDescent="0.15">
      <c r="A90" s="49" t="s">
        <v>39</v>
      </c>
      <c r="B90" s="21" t="s">
        <v>86</v>
      </c>
      <c r="C90" s="22" t="s">
        <v>53</v>
      </c>
      <c r="D90" s="23" t="s">
        <v>83</v>
      </c>
      <c r="E90" s="24">
        <v>2</v>
      </c>
      <c r="F90" s="29" t="s">
        <v>158</v>
      </c>
      <c r="G90" s="49" t="s">
        <v>39</v>
      </c>
      <c r="H90" s="21" t="s">
        <v>86</v>
      </c>
      <c r="I90" s="22" t="s">
        <v>53</v>
      </c>
      <c r="J90" s="23" t="s">
        <v>83</v>
      </c>
      <c r="K90" s="27">
        <v>1.5</v>
      </c>
      <c r="L90" s="29" t="s">
        <v>175</v>
      </c>
      <c r="M90" s="49" t="s">
        <v>39</v>
      </c>
      <c r="N90" s="21" t="s">
        <v>86</v>
      </c>
      <c r="O90" s="22" t="s">
        <v>53</v>
      </c>
      <c r="P90" s="23" t="s">
        <v>83</v>
      </c>
      <c r="Q90" s="27">
        <v>1.8</v>
      </c>
      <c r="R90" s="29" t="s">
        <v>176</v>
      </c>
      <c r="S90" s="49" t="s">
        <v>39</v>
      </c>
      <c r="T90" s="21" t="s">
        <v>86</v>
      </c>
      <c r="U90" s="22" t="s">
        <v>53</v>
      </c>
      <c r="V90" s="23" t="s">
        <v>83</v>
      </c>
      <c r="W90" s="27">
        <v>2.2999999999999998</v>
      </c>
      <c r="X90" s="29" t="s">
        <v>177</v>
      </c>
      <c r="Y90" s="49" t="s">
        <v>39</v>
      </c>
      <c r="Z90" s="21" t="s">
        <v>86</v>
      </c>
      <c r="AA90" s="22" t="s">
        <v>53</v>
      </c>
      <c r="AB90" s="23" t="s">
        <v>83</v>
      </c>
      <c r="AC90" s="27">
        <v>2.7</v>
      </c>
      <c r="AD90" s="29" t="s">
        <v>107</v>
      </c>
      <c r="AE90" s="49" t="s">
        <v>39</v>
      </c>
      <c r="AF90" s="21" t="s">
        <v>86</v>
      </c>
      <c r="AG90" s="22" t="s">
        <v>53</v>
      </c>
      <c r="AH90" s="23" t="s">
        <v>83</v>
      </c>
      <c r="AI90" s="27">
        <v>1.8</v>
      </c>
      <c r="AJ90" s="29" t="s">
        <v>183</v>
      </c>
      <c r="AK90" s="49" t="s">
        <v>39</v>
      </c>
      <c r="AL90" s="21" t="s">
        <v>86</v>
      </c>
      <c r="AM90" s="22" t="s">
        <v>53</v>
      </c>
      <c r="AN90" s="23" t="s">
        <v>83</v>
      </c>
      <c r="AO90" s="27">
        <v>1</v>
      </c>
      <c r="AP90" s="29" t="s">
        <v>211</v>
      </c>
      <c r="AQ90" s="49" t="s">
        <v>39</v>
      </c>
      <c r="AR90" s="21" t="s">
        <v>86</v>
      </c>
      <c r="AS90" s="22" t="s">
        <v>53</v>
      </c>
      <c r="AT90" s="23" t="s">
        <v>83</v>
      </c>
      <c r="AU90" s="27">
        <v>0.95</v>
      </c>
      <c r="AV90" s="29" t="s">
        <v>212</v>
      </c>
      <c r="AW90" s="49" t="s">
        <v>39</v>
      </c>
      <c r="AX90" s="21" t="s">
        <v>86</v>
      </c>
      <c r="AY90" s="22" t="s">
        <v>53</v>
      </c>
      <c r="AZ90" s="23" t="s">
        <v>83</v>
      </c>
      <c r="BA90" s="27">
        <v>1.3</v>
      </c>
      <c r="BB90" s="29" t="s">
        <v>179</v>
      </c>
      <c r="BC90" s="49" t="s">
        <v>39</v>
      </c>
      <c r="BD90" s="21" t="s">
        <v>86</v>
      </c>
      <c r="BE90" s="22" t="s">
        <v>53</v>
      </c>
      <c r="BF90" s="23" t="s">
        <v>83</v>
      </c>
      <c r="BG90" s="23" t="s">
        <v>195</v>
      </c>
      <c r="BH90" s="29" t="s">
        <v>184</v>
      </c>
      <c r="BI90" s="49" t="s">
        <v>39</v>
      </c>
      <c r="BJ90" s="21" t="s">
        <v>86</v>
      </c>
      <c r="BK90" s="22" t="s">
        <v>53</v>
      </c>
      <c r="BL90" s="23" t="s">
        <v>83</v>
      </c>
      <c r="BM90" s="23" t="s">
        <v>195</v>
      </c>
      <c r="BN90" s="29" t="s">
        <v>181</v>
      </c>
      <c r="BO90" s="49" t="s">
        <v>39</v>
      </c>
      <c r="BP90" s="21" t="s">
        <v>86</v>
      </c>
      <c r="BQ90" s="22" t="s">
        <v>53</v>
      </c>
      <c r="BR90" s="23" t="s">
        <v>83</v>
      </c>
      <c r="BS90" s="27">
        <v>0.86</v>
      </c>
      <c r="BT90" s="29" t="s">
        <v>185</v>
      </c>
    </row>
    <row r="91" spans="1:72" ht="12" customHeight="1" x14ac:dyDescent="0.15">
      <c r="A91" s="49" t="s">
        <v>39</v>
      </c>
      <c r="B91" s="21" t="s">
        <v>86</v>
      </c>
      <c r="C91" s="22" t="s">
        <v>53</v>
      </c>
      <c r="D91" s="23" t="s">
        <v>84</v>
      </c>
      <c r="E91" s="24">
        <v>8</v>
      </c>
      <c r="F91" s="34" t="s">
        <v>158</v>
      </c>
      <c r="G91" s="49" t="s">
        <v>39</v>
      </c>
      <c r="H91" s="21" t="s">
        <v>86</v>
      </c>
      <c r="I91" s="22" t="s">
        <v>53</v>
      </c>
      <c r="J91" s="23" t="s">
        <v>84</v>
      </c>
      <c r="K91" s="27">
        <v>4.2</v>
      </c>
      <c r="L91" s="34" t="s">
        <v>175</v>
      </c>
      <c r="M91" s="49" t="s">
        <v>39</v>
      </c>
      <c r="N91" s="21" t="s">
        <v>86</v>
      </c>
      <c r="O91" s="22" t="s">
        <v>53</v>
      </c>
      <c r="P91" s="23" t="s">
        <v>84</v>
      </c>
      <c r="Q91" s="27">
        <v>8.6999999999999993</v>
      </c>
      <c r="R91" s="34" t="s">
        <v>176</v>
      </c>
      <c r="S91" s="49" t="s">
        <v>39</v>
      </c>
      <c r="T91" s="21" t="s">
        <v>86</v>
      </c>
      <c r="U91" s="22" t="s">
        <v>53</v>
      </c>
      <c r="V91" s="23" t="s">
        <v>84</v>
      </c>
      <c r="W91" s="24">
        <v>10</v>
      </c>
      <c r="X91" s="34" t="s">
        <v>177</v>
      </c>
      <c r="Y91" s="49" t="s">
        <v>39</v>
      </c>
      <c r="Z91" s="21" t="s">
        <v>86</v>
      </c>
      <c r="AA91" s="22" t="s">
        <v>53</v>
      </c>
      <c r="AB91" s="23" t="s">
        <v>84</v>
      </c>
      <c r="AC91" s="24">
        <v>12</v>
      </c>
      <c r="AD91" s="34" t="s">
        <v>107</v>
      </c>
      <c r="AE91" s="49" t="s">
        <v>39</v>
      </c>
      <c r="AF91" s="21" t="s">
        <v>86</v>
      </c>
      <c r="AG91" s="22" t="s">
        <v>53</v>
      </c>
      <c r="AH91" s="23" t="s">
        <v>84</v>
      </c>
      <c r="AI91" s="27">
        <v>8.6</v>
      </c>
      <c r="AJ91" s="34" t="s">
        <v>183</v>
      </c>
      <c r="AK91" s="49" t="s">
        <v>39</v>
      </c>
      <c r="AL91" s="21" t="s">
        <v>86</v>
      </c>
      <c r="AM91" s="22" t="s">
        <v>53</v>
      </c>
      <c r="AN91" s="23" t="s">
        <v>84</v>
      </c>
      <c r="AO91" s="27">
        <v>4.2</v>
      </c>
      <c r="AP91" s="34" t="s">
        <v>211</v>
      </c>
      <c r="AQ91" s="49" t="s">
        <v>39</v>
      </c>
      <c r="AR91" s="21" t="s">
        <v>86</v>
      </c>
      <c r="AS91" s="22" t="s">
        <v>53</v>
      </c>
      <c r="AT91" s="23" t="s">
        <v>84</v>
      </c>
      <c r="AU91" s="27">
        <v>4.0999999999999996</v>
      </c>
      <c r="AV91" s="34" t="s">
        <v>212</v>
      </c>
      <c r="AW91" s="49" t="s">
        <v>39</v>
      </c>
      <c r="AX91" s="21" t="s">
        <v>86</v>
      </c>
      <c r="AY91" s="22" t="s">
        <v>53</v>
      </c>
      <c r="AZ91" s="23" t="s">
        <v>84</v>
      </c>
      <c r="BA91" s="27">
        <v>5.4</v>
      </c>
      <c r="BB91" s="34" t="s">
        <v>179</v>
      </c>
      <c r="BC91" s="49" t="s">
        <v>39</v>
      </c>
      <c r="BD91" s="21" t="s">
        <v>86</v>
      </c>
      <c r="BE91" s="22" t="s">
        <v>53</v>
      </c>
      <c r="BF91" s="23" t="s">
        <v>84</v>
      </c>
      <c r="BG91" s="27">
        <v>2.5</v>
      </c>
      <c r="BH91" s="34" t="s">
        <v>184</v>
      </c>
      <c r="BI91" s="49" t="s">
        <v>39</v>
      </c>
      <c r="BJ91" s="21" t="s">
        <v>86</v>
      </c>
      <c r="BK91" s="22" t="s">
        <v>53</v>
      </c>
      <c r="BL91" s="23" t="s">
        <v>84</v>
      </c>
      <c r="BM91" s="23" t="s">
        <v>195</v>
      </c>
      <c r="BN91" s="34" t="s">
        <v>181</v>
      </c>
      <c r="BO91" s="49" t="s">
        <v>39</v>
      </c>
      <c r="BP91" s="21" t="s">
        <v>86</v>
      </c>
      <c r="BQ91" s="22" t="s">
        <v>53</v>
      </c>
      <c r="BR91" s="23" t="s">
        <v>84</v>
      </c>
      <c r="BS91" s="27">
        <v>4.3</v>
      </c>
      <c r="BT91" s="34" t="s">
        <v>185</v>
      </c>
    </row>
    <row r="92" spans="1:72" ht="12" customHeight="1" x14ac:dyDescent="0.15">
      <c r="A92" s="49" t="s">
        <v>39</v>
      </c>
      <c r="B92" s="21" t="s">
        <v>86</v>
      </c>
      <c r="C92" s="22" t="s">
        <v>53</v>
      </c>
      <c r="D92" s="23" t="s">
        <v>6</v>
      </c>
      <c r="E92" s="24">
        <v>10</v>
      </c>
      <c r="F92" s="35" t="s">
        <v>158</v>
      </c>
      <c r="G92" s="49" t="s">
        <v>39</v>
      </c>
      <c r="H92" s="21" t="s">
        <v>86</v>
      </c>
      <c r="I92" s="22" t="s">
        <v>53</v>
      </c>
      <c r="J92" s="23" t="s">
        <v>6</v>
      </c>
      <c r="K92" s="27">
        <v>5.7</v>
      </c>
      <c r="L92" s="35" t="s">
        <v>175</v>
      </c>
      <c r="M92" s="49" t="s">
        <v>39</v>
      </c>
      <c r="N92" s="21" t="s">
        <v>86</v>
      </c>
      <c r="O92" s="22" t="s">
        <v>53</v>
      </c>
      <c r="P92" s="23" t="s">
        <v>6</v>
      </c>
      <c r="Q92" s="27">
        <v>10.5</v>
      </c>
      <c r="R92" s="35" t="s">
        <v>176</v>
      </c>
      <c r="S92" s="49" t="s">
        <v>39</v>
      </c>
      <c r="T92" s="21" t="s">
        <v>86</v>
      </c>
      <c r="U92" s="22" t="s">
        <v>53</v>
      </c>
      <c r="V92" s="23" t="s">
        <v>6</v>
      </c>
      <c r="W92" s="27">
        <v>12.3</v>
      </c>
      <c r="X92" s="35" t="s">
        <v>177</v>
      </c>
      <c r="Y92" s="49" t="s">
        <v>39</v>
      </c>
      <c r="Z92" s="21" t="s">
        <v>86</v>
      </c>
      <c r="AA92" s="22" t="s">
        <v>53</v>
      </c>
      <c r="AB92" s="23" t="s">
        <v>6</v>
      </c>
      <c r="AC92" s="27">
        <v>14.7</v>
      </c>
      <c r="AD92" s="35" t="s">
        <v>107</v>
      </c>
      <c r="AE92" s="49" t="s">
        <v>39</v>
      </c>
      <c r="AF92" s="21" t="s">
        <v>86</v>
      </c>
      <c r="AG92" s="22" t="s">
        <v>53</v>
      </c>
      <c r="AH92" s="23" t="s">
        <v>6</v>
      </c>
      <c r="AI92" s="27">
        <v>10.4</v>
      </c>
      <c r="AJ92" s="35" t="s">
        <v>183</v>
      </c>
      <c r="AK92" s="49" t="s">
        <v>39</v>
      </c>
      <c r="AL92" s="21" t="s">
        <v>86</v>
      </c>
      <c r="AM92" s="22" t="s">
        <v>53</v>
      </c>
      <c r="AN92" s="23" t="s">
        <v>6</v>
      </c>
      <c r="AO92" s="27">
        <v>5.2</v>
      </c>
      <c r="AP92" s="35" t="s">
        <v>211</v>
      </c>
      <c r="AQ92" s="49" t="s">
        <v>39</v>
      </c>
      <c r="AR92" s="21" t="s">
        <v>86</v>
      </c>
      <c r="AS92" s="22" t="s">
        <v>53</v>
      </c>
      <c r="AT92" s="23" t="s">
        <v>6</v>
      </c>
      <c r="AU92" s="27">
        <v>5.05</v>
      </c>
      <c r="AV92" s="35" t="s">
        <v>212</v>
      </c>
      <c r="AW92" s="49" t="s">
        <v>39</v>
      </c>
      <c r="AX92" s="21" t="s">
        <v>86</v>
      </c>
      <c r="AY92" s="22" t="s">
        <v>53</v>
      </c>
      <c r="AZ92" s="23" t="s">
        <v>6</v>
      </c>
      <c r="BA92" s="27">
        <v>6.7</v>
      </c>
      <c r="BB92" s="35" t="s">
        <v>179</v>
      </c>
      <c r="BC92" s="49" t="s">
        <v>39</v>
      </c>
      <c r="BD92" s="21" t="s">
        <v>86</v>
      </c>
      <c r="BE92" s="22" t="s">
        <v>53</v>
      </c>
      <c r="BF92" s="23" t="s">
        <v>6</v>
      </c>
      <c r="BG92" s="27">
        <v>2.5</v>
      </c>
      <c r="BH92" s="35" t="s">
        <v>184</v>
      </c>
      <c r="BI92" s="49" t="s">
        <v>39</v>
      </c>
      <c r="BJ92" s="21" t="s">
        <v>86</v>
      </c>
      <c r="BK92" s="22" t="s">
        <v>53</v>
      </c>
      <c r="BL92" s="23" t="s">
        <v>6</v>
      </c>
      <c r="BM92" s="23" t="s">
        <v>195</v>
      </c>
      <c r="BN92" s="35" t="s">
        <v>181</v>
      </c>
      <c r="BO92" s="49" t="s">
        <v>39</v>
      </c>
      <c r="BP92" s="21" t="s">
        <v>86</v>
      </c>
      <c r="BQ92" s="22" t="s">
        <v>53</v>
      </c>
      <c r="BR92" s="23" t="s">
        <v>6</v>
      </c>
      <c r="BS92" s="27">
        <v>5.16</v>
      </c>
      <c r="BT92" s="35" t="s">
        <v>185</v>
      </c>
    </row>
    <row r="93" spans="1:72" ht="12" customHeight="1" x14ac:dyDescent="0.15">
      <c r="A93" s="49" t="s">
        <v>42</v>
      </c>
      <c r="B93" s="22" t="s">
        <v>70</v>
      </c>
      <c r="C93" s="22" t="s">
        <v>82</v>
      </c>
      <c r="D93" s="23" t="s">
        <v>83</v>
      </c>
      <c r="E93" s="24">
        <v>14</v>
      </c>
      <c r="F93" s="21" t="s">
        <v>219</v>
      </c>
      <c r="G93" s="49" t="s">
        <v>42</v>
      </c>
      <c r="H93" s="22" t="s">
        <v>70</v>
      </c>
      <c r="I93" s="22" t="s">
        <v>82</v>
      </c>
      <c r="J93" s="23" t="s">
        <v>83</v>
      </c>
      <c r="K93" s="24">
        <v>15</v>
      </c>
      <c r="L93" s="21" t="s">
        <v>159</v>
      </c>
      <c r="M93" s="49" t="s">
        <v>42</v>
      </c>
      <c r="N93" s="22" t="s">
        <v>70</v>
      </c>
      <c r="O93" s="22" t="s">
        <v>82</v>
      </c>
      <c r="P93" s="23" t="s">
        <v>83</v>
      </c>
      <c r="Q93" s="24">
        <v>13</v>
      </c>
      <c r="R93" s="21" t="s">
        <v>201</v>
      </c>
      <c r="S93" s="49" t="s">
        <v>42</v>
      </c>
      <c r="T93" s="22" t="s">
        <v>70</v>
      </c>
      <c r="U93" s="22" t="s">
        <v>82</v>
      </c>
      <c r="V93" s="23" t="s">
        <v>83</v>
      </c>
      <c r="W93" s="24">
        <v>15</v>
      </c>
      <c r="X93" s="21" t="s">
        <v>229</v>
      </c>
      <c r="Y93" s="49" t="s">
        <v>42</v>
      </c>
      <c r="Z93" s="22" t="s">
        <v>70</v>
      </c>
      <c r="AA93" s="22" t="s">
        <v>82</v>
      </c>
      <c r="AB93" s="23" t="s">
        <v>83</v>
      </c>
      <c r="AC93" s="27">
        <v>8.6</v>
      </c>
      <c r="AD93" s="21" t="s">
        <v>233</v>
      </c>
      <c r="AE93" s="49" t="s">
        <v>42</v>
      </c>
      <c r="AF93" s="22" t="s">
        <v>70</v>
      </c>
      <c r="AG93" s="22" t="s">
        <v>82</v>
      </c>
      <c r="AH93" s="23" t="s">
        <v>83</v>
      </c>
      <c r="AI93" s="24">
        <v>13</v>
      </c>
      <c r="AJ93" s="21" t="s">
        <v>166</v>
      </c>
      <c r="AK93" s="49" t="s">
        <v>42</v>
      </c>
      <c r="AL93" s="22" t="s">
        <v>70</v>
      </c>
      <c r="AM93" s="22" t="s">
        <v>82</v>
      </c>
      <c r="AN93" s="23" t="s">
        <v>83</v>
      </c>
      <c r="AO93" s="23">
        <v>11</v>
      </c>
      <c r="AP93" s="21" t="s">
        <v>144</v>
      </c>
      <c r="AQ93" s="49" t="s">
        <v>42</v>
      </c>
      <c r="AR93" s="22" t="s">
        <v>70</v>
      </c>
      <c r="AS93" s="22" t="s">
        <v>82</v>
      </c>
      <c r="AT93" s="23" t="s">
        <v>83</v>
      </c>
      <c r="AU93" s="27">
        <v>9.8000000000000007</v>
      </c>
      <c r="AV93" s="21" t="s">
        <v>138</v>
      </c>
      <c r="AW93" s="49" t="s">
        <v>42</v>
      </c>
      <c r="AX93" s="22" t="s">
        <v>70</v>
      </c>
      <c r="AY93" s="22" t="s">
        <v>82</v>
      </c>
      <c r="AZ93" s="23" t="s">
        <v>83</v>
      </c>
      <c r="BA93" s="24">
        <v>95</v>
      </c>
      <c r="BB93" s="21" t="s">
        <v>252</v>
      </c>
      <c r="BC93" s="49" t="s">
        <v>42</v>
      </c>
      <c r="BD93" s="22" t="s">
        <v>70</v>
      </c>
      <c r="BE93" s="22" t="s">
        <v>82</v>
      </c>
      <c r="BF93" s="23" t="s">
        <v>83</v>
      </c>
      <c r="BG93" s="8"/>
      <c r="BH93" s="21" t="s">
        <v>167</v>
      </c>
      <c r="BI93" s="49" t="s">
        <v>42</v>
      </c>
      <c r="BJ93" s="22" t="s">
        <v>70</v>
      </c>
      <c r="BK93" s="22" t="s">
        <v>82</v>
      </c>
      <c r="BL93" s="23" t="s">
        <v>83</v>
      </c>
      <c r="BM93" s="24">
        <v>34</v>
      </c>
      <c r="BN93" s="21" t="s">
        <v>261</v>
      </c>
      <c r="BO93" s="49" t="s">
        <v>42</v>
      </c>
      <c r="BP93" s="22" t="s">
        <v>70</v>
      </c>
      <c r="BQ93" s="22" t="s">
        <v>82</v>
      </c>
      <c r="BR93" s="23" t="s">
        <v>83</v>
      </c>
      <c r="BS93" s="24">
        <v>35</v>
      </c>
      <c r="BT93" s="21" t="s">
        <v>98</v>
      </c>
    </row>
    <row r="94" spans="1:72" ht="12" customHeight="1" x14ac:dyDescent="0.15">
      <c r="A94" s="49" t="s">
        <v>42</v>
      </c>
      <c r="B94" s="22" t="s">
        <v>70</v>
      </c>
      <c r="C94" s="22" t="s">
        <v>82</v>
      </c>
      <c r="D94" s="23" t="s">
        <v>84</v>
      </c>
      <c r="E94" s="24">
        <v>72</v>
      </c>
      <c r="F94" s="34" t="s">
        <v>219</v>
      </c>
      <c r="G94" s="49" t="s">
        <v>42</v>
      </c>
      <c r="H94" s="22" t="s">
        <v>70</v>
      </c>
      <c r="I94" s="22" t="s">
        <v>82</v>
      </c>
      <c r="J94" s="23" t="s">
        <v>84</v>
      </c>
      <c r="K94" s="24">
        <v>84</v>
      </c>
      <c r="L94" s="34" t="s">
        <v>159</v>
      </c>
      <c r="M94" s="49" t="s">
        <v>42</v>
      </c>
      <c r="N94" s="22" t="s">
        <v>70</v>
      </c>
      <c r="O94" s="22" t="s">
        <v>82</v>
      </c>
      <c r="P94" s="23" t="s">
        <v>84</v>
      </c>
      <c r="Q94" s="24">
        <v>72</v>
      </c>
      <c r="R94" s="34" t="s">
        <v>201</v>
      </c>
      <c r="S94" s="49" t="s">
        <v>42</v>
      </c>
      <c r="T94" s="22" t="s">
        <v>70</v>
      </c>
      <c r="U94" s="22" t="s">
        <v>82</v>
      </c>
      <c r="V94" s="23" t="s">
        <v>84</v>
      </c>
      <c r="W94" s="24">
        <v>73</v>
      </c>
      <c r="X94" s="34" t="s">
        <v>229</v>
      </c>
      <c r="Y94" s="49" t="s">
        <v>42</v>
      </c>
      <c r="Z94" s="22" t="s">
        <v>70</v>
      </c>
      <c r="AA94" s="22" t="s">
        <v>82</v>
      </c>
      <c r="AB94" s="23" t="s">
        <v>84</v>
      </c>
      <c r="AC94" s="24">
        <v>54</v>
      </c>
      <c r="AD94" s="34" t="s">
        <v>233</v>
      </c>
      <c r="AE94" s="49" t="s">
        <v>42</v>
      </c>
      <c r="AF94" s="22" t="s">
        <v>70</v>
      </c>
      <c r="AG94" s="22" t="s">
        <v>82</v>
      </c>
      <c r="AH94" s="23" t="s">
        <v>84</v>
      </c>
      <c r="AI94" s="24">
        <v>72</v>
      </c>
      <c r="AJ94" s="34" t="s">
        <v>166</v>
      </c>
      <c r="AK94" s="49" t="s">
        <v>42</v>
      </c>
      <c r="AL94" s="22" t="s">
        <v>70</v>
      </c>
      <c r="AM94" s="22" t="s">
        <v>82</v>
      </c>
      <c r="AN94" s="23" t="s">
        <v>84</v>
      </c>
      <c r="AO94" s="24">
        <v>61</v>
      </c>
      <c r="AP94" s="34" t="s">
        <v>144</v>
      </c>
      <c r="AQ94" s="49" t="s">
        <v>42</v>
      </c>
      <c r="AR94" s="22" t="s">
        <v>70</v>
      </c>
      <c r="AS94" s="22" t="s">
        <v>82</v>
      </c>
      <c r="AT94" s="23" t="s">
        <v>84</v>
      </c>
      <c r="AU94" s="24">
        <v>56</v>
      </c>
      <c r="AV94" s="34" t="s">
        <v>138</v>
      </c>
      <c r="AW94" s="49" t="s">
        <v>42</v>
      </c>
      <c r="AX94" s="22" t="s">
        <v>70</v>
      </c>
      <c r="AY94" s="22" t="s">
        <v>82</v>
      </c>
      <c r="AZ94" s="23" t="s">
        <v>84</v>
      </c>
      <c r="BA94" s="24">
        <v>52</v>
      </c>
      <c r="BB94" s="34" t="s">
        <v>252</v>
      </c>
      <c r="BC94" s="49" t="s">
        <v>42</v>
      </c>
      <c r="BD94" s="22" t="s">
        <v>70</v>
      </c>
      <c r="BE94" s="22" t="s">
        <v>82</v>
      </c>
      <c r="BF94" s="23" t="s">
        <v>84</v>
      </c>
      <c r="BG94" s="24">
        <v>31</v>
      </c>
      <c r="BH94" s="34" t="s">
        <v>167</v>
      </c>
      <c r="BI94" s="49" t="s">
        <v>42</v>
      </c>
      <c r="BJ94" s="22" t="s">
        <v>70</v>
      </c>
      <c r="BK94" s="22" t="s">
        <v>82</v>
      </c>
      <c r="BL94" s="23" t="s">
        <v>84</v>
      </c>
      <c r="BM94" s="24">
        <v>20</v>
      </c>
      <c r="BN94" s="34" t="s">
        <v>261</v>
      </c>
      <c r="BO94" s="49" t="s">
        <v>42</v>
      </c>
      <c r="BP94" s="22" t="s">
        <v>70</v>
      </c>
      <c r="BQ94" s="22" t="s">
        <v>82</v>
      </c>
      <c r="BR94" s="23" t="s">
        <v>84</v>
      </c>
      <c r="BS94" s="24">
        <v>24</v>
      </c>
      <c r="BT94" s="34" t="s">
        <v>98</v>
      </c>
    </row>
    <row r="95" spans="1:72" ht="12" customHeight="1" x14ac:dyDescent="0.15">
      <c r="A95" s="49" t="s">
        <v>42</v>
      </c>
      <c r="B95" s="22" t="s">
        <v>70</v>
      </c>
      <c r="C95" s="22" t="s">
        <v>82</v>
      </c>
      <c r="D95" s="23" t="s">
        <v>6</v>
      </c>
      <c r="E95" s="24">
        <v>86</v>
      </c>
      <c r="F95" s="35" t="s">
        <v>219</v>
      </c>
      <c r="G95" s="49" t="s">
        <v>42</v>
      </c>
      <c r="H95" s="22" t="s">
        <v>70</v>
      </c>
      <c r="I95" s="22" t="s">
        <v>82</v>
      </c>
      <c r="J95" s="23" t="s">
        <v>6</v>
      </c>
      <c r="K95" s="24">
        <v>99</v>
      </c>
      <c r="L95" s="35" t="s">
        <v>159</v>
      </c>
      <c r="M95" s="49" t="s">
        <v>42</v>
      </c>
      <c r="N95" s="22" t="s">
        <v>70</v>
      </c>
      <c r="O95" s="22" t="s">
        <v>82</v>
      </c>
      <c r="P95" s="23" t="s">
        <v>6</v>
      </c>
      <c r="Q95" s="24">
        <v>85</v>
      </c>
      <c r="R95" s="35" t="s">
        <v>201</v>
      </c>
      <c r="S95" s="49" t="s">
        <v>42</v>
      </c>
      <c r="T95" s="22" t="s">
        <v>70</v>
      </c>
      <c r="U95" s="22" t="s">
        <v>82</v>
      </c>
      <c r="V95" s="23" t="s">
        <v>6</v>
      </c>
      <c r="W95" s="24">
        <v>88</v>
      </c>
      <c r="X95" s="35" t="s">
        <v>229</v>
      </c>
      <c r="Y95" s="49" t="s">
        <v>42</v>
      </c>
      <c r="Z95" s="22" t="s">
        <v>70</v>
      </c>
      <c r="AA95" s="22" t="s">
        <v>82</v>
      </c>
      <c r="AB95" s="23" t="s">
        <v>6</v>
      </c>
      <c r="AC95" s="27">
        <v>62.6</v>
      </c>
      <c r="AD95" s="35" t="s">
        <v>233</v>
      </c>
      <c r="AE95" s="49" t="s">
        <v>42</v>
      </c>
      <c r="AF95" s="22" t="s">
        <v>70</v>
      </c>
      <c r="AG95" s="22" t="s">
        <v>82</v>
      </c>
      <c r="AH95" s="23" t="s">
        <v>6</v>
      </c>
      <c r="AI95" s="24">
        <v>85</v>
      </c>
      <c r="AJ95" s="35" t="s">
        <v>166</v>
      </c>
      <c r="AK95" s="49" t="s">
        <v>42</v>
      </c>
      <c r="AL95" s="22" t="s">
        <v>70</v>
      </c>
      <c r="AM95" s="22" t="s">
        <v>82</v>
      </c>
      <c r="AN95" s="23" t="s">
        <v>6</v>
      </c>
      <c r="AO95" s="24">
        <v>72</v>
      </c>
      <c r="AP95" s="35" t="s">
        <v>144</v>
      </c>
      <c r="AQ95" s="49" t="s">
        <v>42</v>
      </c>
      <c r="AR95" s="22" t="s">
        <v>70</v>
      </c>
      <c r="AS95" s="22" t="s">
        <v>82</v>
      </c>
      <c r="AT95" s="23" t="s">
        <v>6</v>
      </c>
      <c r="AU95" s="27">
        <v>65.8</v>
      </c>
      <c r="AV95" s="35" t="s">
        <v>138</v>
      </c>
      <c r="AW95" s="49" t="s">
        <v>42</v>
      </c>
      <c r="AX95" s="22" t="s">
        <v>70</v>
      </c>
      <c r="AY95" s="22" t="s">
        <v>82</v>
      </c>
      <c r="AZ95" s="23" t="s">
        <v>6</v>
      </c>
      <c r="BA95" s="27">
        <v>61.5</v>
      </c>
      <c r="BB95" s="35" t="s">
        <v>252</v>
      </c>
      <c r="BC95" s="49" t="s">
        <v>42</v>
      </c>
      <c r="BD95" s="22" t="s">
        <v>70</v>
      </c>
      <c r="BE95" s="22" t="s">
        <v>82</v>
      </c>
      <c r="BF95" s="23" t="s">
        <v>6</v>
      </c>
      <c r="BG95" s="27">
        <v>36.700000000000003</v>
      </c>
      <c r="BH95" s="35" t="s">
        <v>167</v>
      </c>
      <c r="BI95" s="49" t="s">
        <v>42</v>
      </c>
      <c r="BJ95" s="22" t="s">
        <v>70</v>
      </c>
      <c r="BK95" s="22" t="s">
        <v>82</v>
      </c>
      <c r="BL95" s="23" t="s">
        <v>6</v>
      </c>
      <c r="BM95" s="27">
        <v>23.4</v>
      </c>
      <c r="BN95" s="35" t="s">
        <v>261</v>
      </c>
      <c r="BO95" s="49" t="s">
        <v>42</v>
      </c>
      <c r="BP95" s="22" t="s">
        <v>70</v>
      </c>
      <c r="BQ95" s="22" t="s">
        <v>82</v>
      </c>
      <c r="BR95" s="23" t="s">
        <v>6</v>
      </c>
      <c r="BS95" s="27">
        <v>27.5</v>
      </c>
      <c r="BT95" s="35" t="s">
        <v>98</v>
      </c>
    </row>
    <row r="96" spans="1:72" ht="12" customHeight="1" x14ac:dyDescent="0.15">
      <c r="A96" s="49" t="s">
        <v>42</v>
      </c>
      <c r="B96" s="22" t="s">
        <v>70</v>
      </c>
      <c r="C96" s="22" t="s">
        <v>80</v>
      </c>
      <c r="D96" s="23" t="s">
        <v>83</v>
      </c>
      <c r="E96" s="26">
        <v>90</v>
      </c>
      <c r="F96" s="21" t="s">
        <v>219</v>
      </c>
      <c r="G96" s="49" t="s">
        <v>42</v>
      </c>
      <c r="H96" s="22" t="s">
        <v>70</v>
      </c>
      <c r="I96" s="22" t="s">
        <v>80</v>
      </c>
      <c r="J96" s="23" t="s">
        <v>83</v>
      </c>
      <c r="K96" s="24">
        <v>110</v>
      </c>
      <c r="L96" s="21" t="s">
        <v>159</v>
      </c>
      <c r="M96" s="49" t="s">
        <v>42</v>
      </c>
      <c r="N96" s="22" t="s">
        <v>70</v>
      </c>
      <c r="O96" s="22" t="s">
        <v>80</v>
      </c>
      <c r="P96" s="23" t="s">
        <v>83</v>
      </c>
      <c r="Q96" s="24">
        <v>110</v>
      </c>
      <c r="R96" s="21" t="s">
        <v>201</v>
      </c>
      <c r="S96" s="49" t="s">
        <v>42</v>
      </c>
      <c r="T96" s="22" t="s">
        <v>70</v>
      </c>
      <c r="U96" s="22" t="s">
        <v>80</v>
      </c>
      <c r="V96" s="23" t="s">
        <v>83</v>
      </c>
      <c r="W96" s="24">
        <v>73</v>
      </c>
      <c r="X96" s="21" t="s">
        <v>229</v>
      </c>
      <c r="Y96" s="49" t="s">
        <v>42</v>
      </c>
      <c r="Z96" s="22" t="s">
        <v>70</v>
      </c>
      <c r="AA96" s="22" t="s">
        <v>80</v>
      </c>
      <c r="AB96" s="23" t="s">
        <v>83</v>
      </c>
      <c r="AC96" s="24">
        <v>84</v>
      </c>
      <c r="AD96" s="21" t="s">
        <v>233</v>
      </c>
      <c r="AE96" s="49" t="s">
        <v>42</v>
      </c>
      <c r="AF96" s="22" t="s">
        <v>70</v>
      </c>
      <c r="AG96" s="22" t="s">
        <v>80</v>
      </c>
      <c r="AH96" s="23" t="s">
        <v>83</v>
      </c>
      <c r="AI96" s="24">
        <v>140</v>
      </c>
      <c r="AJ96" s="21" t="s">
        <v>166</v>
      </c>
      <c r="AK96" s="49" t="s">
        <v>42</v>
      </c>
      <c r="AL96" s="22" t="s">
        <v>70</v>
      </c>
      <c r="AM96" s="22" t="s">
        <v>80</v>
      </c>
      <c r="AN96" s="23" t="s">
        <v>83</v>
      </c>
      <c r="AO96" s="24">
        <v>83</v>
      </c>
      <c r="AP96" s="21" t="s">
        <v>144</v>
      </c>
      <c r="AQ96" s="49" t="s">
        <v>42</v>
      </c>
      <c r="AR96" s="22" t="s">
        <v>70</v>
      </c>
      <c r="AS96" s="22" t="s">
        <v>80</v>
      </c>
      <c r="AT96" s="23" t="s">
        <v>83</v>
      </c>
      <c r="AU96" s="24">
        <v>58</v>
      </c>
      <c r="AV96" s="21" t="s">
        <v>138</v>
      </c>
      <c r="AW96" s="49" t="s">
        <v>42</v>
      </c>
      <c r="AX96" s="22" t="s">
        <v>70</v>
      </c>
      <c r="AY96" s="22" t="s">
        <v>80</v>
      </c>
      <c r="AZ96" s="23" t="s">
        <v>83</v>
      </c>
      <c r="BA96" s="24">
        <v>61</v>
      </c>
      <c r="BB96" s="21" t="s">
        <v>252</v>
      </c>
      <c r="BC96" s="49" t="s">
        <v>42</v>
      </c>
      <c r="BD96" s="22" t="s">
        <v>70</v>
      </c>
      <c r="BE96" s="22" t="s">
        <v>80</v>
      </c>
      <c r="BF96" s="23" t="s">
        <v>83</v>
      </c>
      <c r="BG96" s="24">
        <v>41</v>
      </c>
      <c r="BH96" s="21" t="s">
        <v>167</v>
      </c>
      <c r="BI96" s="49" t="s">
        <v>42</v>
      </c>
      <c r="BJ96" s="22" t="s">
        <v>70</v>
      </c>
      <c r="BK96" s="22" t="s">
        <v>80</v>
      </c>
      <c r="BL96" s="23" t="s">
        <v>83</v>
      </c>
      <c r="BM96" s="24">
        <v>24</v>
      </c>
      <c r="BN96" s="21" t="s">
        <v>261</v>
      </c>
      <c r="BO96" s="49" t="s">
        <v>42</v>
      </c>
      <c r="BP96" s="22" t="s">
        <v>70</v>
      </c>
      <c r="BQ96" s="22" t="s">
        <v>80</v>
      </c>
      <c r="BR96" s="23" t="s">
        <v>83</v>
      </c>
      <c r="BS96" s="24">
        <v>36</v>
      </c>
      <c r="BT96" s="21" t="s">
        <v>98</v>
      </c>
    </row>
    <row r="97" spans="1:72" ht="12" customHeight="1" x14ac:dyDescent="0.15">
      <c r="A97" s="49" t="s">
        <v>42</v>
      </c>
      <c r="B97" s="22" t="s">
        <v>70</v>
      </c>
      <c r="C97" s="22" t="s">
        <v>80</v>
      </c>
      <c r="D97" s="23" t="s">
        <v>84</v>
      </c>
      <c r="E97" s="24">
        <v>450</v>
      </c>
      <c r="F97" s="34" t="s">
        <v>219</v>
      </c>
      <c r="G97" s="49" t="s">
        <v>42</v>
      </c>
      <c r="H97" s="22" t="s">
        <v>70</v>
      </c>
      <c r="I97" s="22" t="s">
        <v>80</v>
      </c>
      <c r="J97" s="23" t="s">
        <v>84</v>
      </c>
      <c r="K97" s="24">
        <v>570</v>
      </c>
      <c r="L97" s="34" t="s">
        <v>159</v>
      </c>
      <c r="M97" s="49" t="s">
        <v>42</v>
      </c>
      <c r="N97" s="22" t="s">
        <v>70</v>
      </c>
      <c r="O97" s="22" t="s">
        <v>80</v>
      </c>
      <c r="P97" s="23" t="s">
        <v>84</v>
      </c>
      <c r="Q97" s="24">
        <v>560</v>
      </c>
      <c r="R97" s="34" t="s">
        <v>201</v>
      </c>
      <c r="S97" s="49" t="s">
        <v>42</v>
      </c>
      <c r="T97" s="22" t="s">
        <v>70</v>
      </c>
      <c r="U97" s="22" t="s">
        <v>80</v>
      </c>
      <c r="V97" s="23" t="s">
        <v>84</v>
      </c>
      <c r="W97" s="23">
        <v>390</v>
      </c>
      <c r="X97" s="34" t="s">
        <v>229</v>
      </c>
      <c r="Y97" s="49" t="s">
        <v>42</v>
      </c>
      <c r="Z97" s="22" t="s">
        <v>70</v>
      </c>
      <c r="AA97" s="22" t="s">
        <v>80</v>
      </c>
      <c r="AB97" s="23" t="s">
        <v>84</v>
      </c>
      <c r="AC97" s="24">
        <v>470</v>
      </c>
      <c r="AD97" s="34" t="s">
        <v>233</v>
      </c>
      <c r="AE97" s="49" t="s">
        <v>42</v>
      </c>
      <c r="AF97" s="22" t="s">
        <v>70</v>
      </c>
      <c r="AG97" s="22" t="s">
        <v>80</v>
      </c>
      <c r="AH97" s="23" t="s">
        <v>84</v>
      </c>
      <c r="AI97" s="24">
        <v>780</v>
      </c>
      <c r="AJ97" s="34" t="s">
        <v>166</v>
      </c>
      <c r="AK97" s="49" t="s">
        <v>42</v>
      </c>
      <c r="AL97" s="22" t="s">
        <v>70</v>
      </c>
      <c r="AM97" s="22" t="s">
        <v>80</v>
      </c>
      <c r="AN97" s="23" t="s">
        <v>84</v>
      </c>
      <c r="AO97" s="24">
        <v>470</v>
      </c>
      <c r="AP97" s="34" t="s">
        <v>144</v>
      </c>
      <c r="AQ97" s="49" t="s">
        <v>42</v>
      </c>
      <c r="AR97" s="22" t="s">
        <v>70</v>
      </c>
      <c r="AS97" s="22" t="s">
        <v>80</v>
      </c>
      <c r="AT97" s="23" t="s">
        <v>84</v>
      </c>
      <c r="AU97" s="24">
        <v>370</v>
      </c>
      <c r="AV97" s="34" t="s">
        <v>138</v>
      </c>
      <c r="AW97" s="49" t="s">
        <v>42</v>
      </c>
      <c r="AX97" s="22" t="s">
        <v>70</v>
      </c>
      <c r="AY97" s="22" t="s">
        <v>80</v>
      </c>
      <c r="AZ97" s="23" t="s">
        <v>84</v>
      </c>
      <c r="BA97" s="23">
        <v>390</v>
      </c>
      <c r="BB97" s="34" t="s">
        <v>252</v>
      </c>
      <c r="BC97" s="49" t="s">
        <v>42</v>
      </c>
      <c r="BD97" s="22" t="s">
        <v>70</v>
      </c>
      <c r="BE97" s="22" t="s">
        <v>80</v>
      </c>
      <c r="BF97" s="23" t="s">
        <v>84</v>
      </c>
      <c r="BG97" s="24">
        <v>260</v>
      </c>
      <c r="BH97" s="34" t="s">
        <v>167</v>
      </c>
      <c r="BI97" s="49" t="s">
        <v>42</v>
      </c>
      <c r="BJ97" s="22" t="s">
        <v>70</v>
      </c>
      <c r="BK97" s="22" t="s">
        <v>80</v>
      </c>
      <c r="BL97" s="23" t="s">
        <v>84</v>
      </c>
      <c r="BM97" s="24">
        <v>160</v>
      </c>
      <c r="BN97" s="34" t="s">
        <v>261</v>
      </c>
      <c r="BO97" s="49" t="s">
        <v>42</v>
      </c>
      <c r="BP97" s="22" t="s">
        <v>70</v>
      </c>
      <c r="BQ97" s="22" t="s">
        <v>80</v>
      </c>
      <c r="BR97" s="23" t="s">
        <v>84</v>
      </c>
      <c r="BS97" s="24">
        <v>230</v>
      </c>
      <c r="BT97" s="34" t="s">
        <v>98</v>
      </c>
    </row>
    <row r="98" spans="1:72" ht="12" customHeight="1" x14ac:dyDescent="0.15">
      <c r="A98" s="49" t="s">
        <v>42</v>
      </c>
      <c r="B98" s="22" t="s">
        <v>70</v>
      </c>
      <c r="C98" s="22" t="s">
        <v>80</v>
      </c>
      <c r="D98" s="23" t="s">
        <v>6</v>
      </c>
      <c r="E98" s="24">
        <v>540</v>
      </c>
      <c r="F98" s="35" t="s">
        <v>219</v>
      </c>
      <c r="G98" s="49" t="s">
        <v>42</v>
      </c>
      <c r="H98" s="22" t="s">
        <v>70</v>
      </c>
      <c r="I98" s="22" t="s">
        <v>80</v>
      </c>
      <c r="J98" s="23" t="s">
        <v>6</v>
      </c>
      <c r="K98" s="24">
        <v>680</v>
      </c>
      <c r="L98" s="35" t="s">
        <v>159</v>
      </c>
      <c r="M98" s="49" t="s">
        <v>42</v>
      </c>
      <c r="N98" s="22" t="s">
        <v>70</v>
      </c>
      <c r="O98" s="22" t="s">
        <v>80</v>
      </c>
      <c r="P98" s="23" t="s">
        <v>6</v>
      </c>
      <c r="Q98" s="24">
        <v>670</v>
      </c>
      <c r="R98" s="35" t="s">
        <v>201</v>
      </c>
      <c r="S98" s="49" t="s">
        <v>42</v>
      </c>
      <c r="T98" s="22" t="s">
        <v>70</v>
      </c>
      <c r="U98" s="22" t="s">
        <v>80</v>
      </c>
      <c r="V98" s="23" t="s">
        <v>6</v>
      </c>
      <c r="W98" s="24">
        <v>463</v>
      </c>
      <c r="X98" s="35" t="s">
        <v>229</v>
      </c>
      <c r="Y98" s="49" t="s">
        <v>42</v>
      </c>
      <c r="Z98" s="22" t="s">
        <v>70</v>
      </c>
      <c r="AA98" s="22" t="s">
        <v>80</v>
      </c>
      <c r="AB98" s="23" t="s">
        <v>6</v>
      </c>
      <c r="AC98" s="24">
        <v>463</v>
      </c>
      <c r="AD98" s="35" t="s">
        <v>233</v>
      </c>
      <c r="AE98" s="49" t="s">
        <v>42</v>
      </c>
      <c r="AF98" s="22" t="s">
        <v>70</v>
      </c>
      <c r="AG98" s="22" t="s">
        <v>80</v>
      </c>
      <c r="AH98" s="23" t="s">
        <v>6</v>
      </c>
      <c r="AI98" s="24">
        <v>920</v>
      </c>
      <c r="AJ98" s="35" t="s">
        <v>166</v>
      </c>
      <c r="AK98" s="49" t="s">
        <v>42</v>
      </c>
      <c r="AL98" s="22" t="s">
        <v>70</v>
      </c>
      <c r="AM98" s="22" t="s">
        <v>80</v>
      </c>
      <c r="AN98" s="23" t="s">
        <v>6</v>
      </c>
      <c r="AO98" s="24">
        <v>553</v>
      </c>
      <c r="AP98" s="35" t="s">
        <v>144</v>
      </c>
      <c r="AQ98" s="49" t="s">
        <v>42</v>
      </c>
      <c r="AR98" s="22" t="s">
        <v>70</v>
      </c>
      <c r="AS98" s="22" t="s">
        <v>80</v>
      </c>
      <c r="AT98" s="23" t="s">
        <v>6</v>
      </c>
      <c r="AU98" s="24">
        <v>428</v>
      </c>
      <c r="AV98" s="35" t="s">
        <v>138</v>
      </c>
      <c r="AW98" s="49" t="s">
        <v>42</v>
      </c>
      <c r="AX98" s="22" t="s">
        <v>70</v>
      </c>
      <c r="AY98" s="22" t="s">
        <v>80</v>
      </c>
      <c r="AZ98" s="23" t="s">
        <v>6</v>
      </c>
      <c r="BA98" s="24">
        <v>451</v>
      </c>
      <c r="BB98" s="35" t="s">
        <v>252</v>
      </c>
      <c r="BC98" s="49" t="s">
        <v>42</v>
      </c>
      <c r="BD98" s="22" t="s">
        <v>70</v>
      </c>
      <c r="BE98" s="22" t="s">
        <v>80</v>
      </c>
      <c r="BF98" s="23" t="s">
        <v>6</v>
      </c>
      <c r="BG98" s="24">
        <v>301</v>
      </c>
      <c r="BH98" s="35" t="s">
        <v>167</v>
      </c>
      <c r="BI98" s="49" t="s">
        <v>42</v>
      </c>
      <c r="BJ98" s="22" t="s">
        <v>70</v>
      </c>
      <c r="BK98" s="22" t="s">
        <v>80</v>
      </c>
      <c r="BL98" s="23" t="s">
        <v>6</v>
      </c>
      <c r="BM98" s="24">
        <v>184</v>
      </c>
      <c r="BN98" s="35" t="s">
        <v>261</v>
      </c>
      <c r="BO98" s="49" t="s">
        <v>42</v>
      </c>
      <c r="BP98" s="22" t="s">
        <v>70</v>
      </c>
      <c r="BQ98" s="22" t="s">
        <v>80</v>
      </c>
      <c r="BR98" s="23" t="s">
        <v>6</v>
      </c>
      <c r="BS98" s="24">
        <v>266</v>
      </c>
      <c r="BT98" s="35" t="s">
        <v>98</v>
      </c>
    </row>
    <row r="99" spans="1:72" ht="12" customHeight="1" x14ac:dyDescent="0.15">
      <c r="A99" s="49" t="s">
        <v>42</v>
      </c>
      <c r="B99" s="22" t="s">
        <v>56</v>
      </c>
      <c r="C99" s="22" t="s">
        <v>81</v>
      </c>
      <c r="D99" s="23" t="s">
        <v>83</v>
      </c>
      <c r="E99" s="23">
        <v>100</v>
      </c>
      <c r="F99" s="21" t="s">
        <v>219</v>
      </c>
      <c r="G99" s="49" t="s">
        <v>42</v>
      </c>
      <c r="H99" s="22" t="s">
        <v>56</v>
      </c>
      <c r="I99" s="22" t="s">
        <v>81</v>
      </c>
      <c r="J99" s="23" t="s">
        <v>83</v>
      </c>
      <c r="K99" s="24">
        <v>87</v>
      </c>
      <c r="L99" s="21" t="s">
        <v>175</v>
      </c>
      <c r="M99" s="49" t="s">
        <v>42</v>
      </c>
      <c r="N99" s="22" t="s">
        <v>56</v>
      </c>
      <c r="O99" s="22" t="s">
        <v>81</v>
      </c>
      <c r="P99" s="23" t="s">
        <v>83</v>
      </c>
      <c r="Q99" s="24">
        <v>63</v>
      </c>
      <c r="R99" s="21" t="s">
        <v>224</v>
      </c>
      <c r="S99" s="49" t="s">
        <v>42</v>
      </c>
      <c r="T99" s="22" t="s">
        <v>56</v>
      </c>
      <c r="U99" s="22" t="s">
        <v>81</v>
      </c>
      <c r="V99" s="23" t="s">
        <v>83</v>
      </c>
      <c r="W99" s="24">
        <v>48</v>
      </c>
      <c r="X99" s="21" t="s">
        <v>230</v>
      </c>
      <c r="Y99" s="49" t="s">
        <v>42</v>
      </c>
      <c r="Z99" s="22" t="s">
        <v>56</v>
      </c>
      <c r="AA99" s="22" t="s">
        <v>81</v>
      </c>
      <c r="AB99" s="23" t="s">
        <v>83</v>
      </c>
      <c r="AC99" s="24">
        <v>55</v>
      </c>
      <c r="AD99" s="21" t="s">
        <v>234</v>
      </c>
      <c r="AE99" s="49" t="s">
        <v>42</v>
      </c>
      <c r="AF99" s="22" t="s">
        <v>56</v>
      </c>
      <c r="AG99" s="22" t="s">
        <v>81</v>
      </c>
      <c r="AH99" s="23" t="s">
        <v>83</v>
      </c>
      <c r="AI99" s="24">
        <v>50</v>
      </c>
      <c r="AJ99" s="21" t="s">
        <v>237</v>
      </c>
      <c r="AK99" s="49" t="s">
        <v>42</v>
      </c>
      <c r="AL99" s="22" t="s">
        <v>56</v>
      </c>
      <c r="AM99" s="22" t="s">
        <v>81</v>
      </c>
      <c r="AN99" s="23" t="s">
        <v>83</v>
      </c>
      <c r="AO99" s="24">
        <v>35</v>
      </c>
      <c r="AP99" s="21" t="s">
        <v>241</v>
      </c>
      <c r="AQ99" s="49" t="s">
        <v>42</v>
      </c>
      <c r="AR99" s="22" t="s">
        <v>56</v>
      </c>
      <c r="AS99" s="22" t="s">
        <v>81</v>
      </c>
      <c r="AT99" s="23" t="s">
        <v>83</v>
      </c>
      <c r="AU99" s="24">
        <v>32</v>
      </c>
      <c r="AV99" s="21" t="s">
        <v>249</v>
      </c>
      <c r="AW99" s="49" t="s">
        <v>42</v>
      </c>
      <c r="AX99" s="22" t="s">
        <v>56</v>
      </c>
      <c r="AY99" s="22" t="s">
        <v>81</v>
      </c>
      <c r="AZ99" s="23" t="s">
        <v>83</v>
      </c>
      <c r="BA99" s="24">
        <v>28</v>
      </c>
      <c r="BB99" s="21" t="s">
        <v>253</v>
      </c>
      <c r="BC99" s="49" t="s">
        <v>42</v>
      </c>
      <c r="BD99" s="22" t="s">
        <v>56</v>
      </c>
      <c r="BE99" s="22" t="s">
        <v>81</v>
      </c>
      <c r="BF99" s="23" t="s">
        <v>83</v>
      </c>
      <c r="BG99" s="24">
        <v>31</v>
      </c>
      <c r="BH99" s="21" t="s">
        <v>257</v>
      </c>
      <c r="BI99" s="49" t="s">
        <v>42</v>
      </c>
      <c r="BJ99" s="22" t="s">
        <v>56</v>
      </c>
      <c r="BK99" s="22" t="s">
        <v>81</v>
      </c>
      <c r="BL99" s="23" t="s">
        <v>83</v>
      </c>
      <c r="BM99" s="24">
        <v>26</v>
      </c>
      <c r="BN99" s="21" t="s">
        <v>262</v>
      </c>
      <c r="BO99" s="49" t="s">
        <v>42</v>
      </c>
      <c r="BP99" s="22" t="s">
        <v>56</v>
      </c>
      <c r="BQ99" s="22" t="s">
        <v>81</v>
      </c>
      <c r="BR99" s="23" t="s">
        <v>83</v>
      </c>
      <c r="BS99" s="24">
        <v>28</v>
      </c>
      <c r="BT99" s="21" t="s">
        <v>88</v>
      </c>
    </row>
    <row r="100" spans="1:72" ht="12" customHeight="1" x14ac:dyDescent="0.15">
      <c r="A100" s="49" t="s">
        <v>42</v>
      </c>
      <c r="B100" s="22" t="s">
        <v>56</v>
      </c>
      <c r="C100" s="22" t="s">
        <v>81</v>
      </c>
      <c r="D100" s="23" t="s">
        <v>84</v>
      </c>
      <c r="E100" s="23">
        <v>500</v>
      </c>
      <c r="F100" s="34" t="s">
        <v>219</v>
      </c>
      <c r="G100" s="49" t="s">
        <v>42</v>
      </c>
      <c r="H100" s="22" t="s">
        <v>56</v>
      </c>
      <c r="I100" s="22" t="s">
        <v>81</v>
      </c>
      <c r="J100" s="23" t="s">
        <v>84</v>
      </c>
      <c r="K100" s="24">
        <v>460</v>
      </c>
      <c r="L100" s="34" t="s">
        <v>175</v>
      </c>
      <c r="M100" s="49" t="s">
        <v>42</v>
      </c>
      <c r="N100" s="22" t="s">
        <v>56</v>
      </c>
      <c r="O100" s="22" t="s">
        <v>81</v>
      </c>
      <c r="P100" s="23" t="s">
        <v>84</v>
      </c>
      <c r="Q100" s="24">
        <v>310</v>
      </c>
      <c r="R100" s="34" t="s">
        <v>224</v>
      </c>
      <c r="S100" s="49" t="s">
        <v>42</v>
      </c>
      <c r="T100" s="22" t="s">
        <v>56</v>
      </c>
      <c r="U100" s="22" t="s">
        <v>81</v>
      </c>
      <c r="V100" s="23" t="s">
        <v>84</v>
      </c>
      <c r="W100" s="24">
        <v>270</v>
      </c>
      <c r="X100" s="34" t="s">
        <v>230</v>
      </c>
      <c r="Y100" s="49" t="s">
        <v>42</v>
      </c>
      <c r="Z100" s="22" t="s">
        <v>56</v>
      </c>
      <c r="AA100" s="22" t="s">
        <v>81</v>
      </c>
      <c r="AB100" s="23" t="s">
        <v>84</v>
      </c>
      <c r="AC100" s="23">
        <v>290</v>
      </c>
      <c r="AD100" s="34" t="s">
        <v>234</v>
      </c>
      <c r="AE100" s="49" t="s">
        <v>42</v>
      </c>
      <c r="AF100" s="22" t="s">
        <v>56</v>
      </c>
      <c r="AG100" s="22" t="s">
        <v>81</v>
      </c>
      <c r="AH100" s="23" t="s">
        <v>84</v>
      </c>
      <c r="AI100" s="24">
        <v>270</v>
      </c>
      <c r="AJ100" s="34" t="s">
        <v>237</v>
      </c>
      <c r="AK100" s="49" t="s">
        <v>42</v>
      </c>
      <c r="AL100" s="22" t="s">
        <v>56</v>
      </c>
      <c r="AM100" s="22" t="s">
        <v>81</v>
      </c>
      <c r="AN100" s="23" t="s">
        <v>84</v>
      </c>
      <c r="AO100" s="23">
        <v>200</v>
      </c>
      <c r="AP100" s="34" t="s">
        <v>241</v>
      </c>
      <c r="AQ100" s="49" t="s">
        <v>42</v>
      </c>
      <c r="AR100" s="22" t="s">
        <v>56</v>
      </c>
      <c r="AS100" s="22" t="s">
        <v>81</v>
      </c>
      <c r="AT100" s="23" t="s">
        <v>84</v>
      </c>
      <c r="AU100" s="23">
        <v>190</v>
      </c>
      <c r="AV100" s="34" t="s">
        <v>249</v>
      </c>
      <c r="AW100" s="49" t="s">
        <v>42</v>
      </c>
      <c r="AX100" s="22" t="s">
        <v>56</v>
      </c>
      <c r="AY100" s="22" t="s">
        <v>81</v>
      </c>
      <c r="AZ100" s="23" t="s">
        <v>84</v>
      </c>
      <c r="BA100" s="24">
        <v>170</v>
      </c>
      <c r="BB100" s="34" t="s">
        <v>253</v>
      </c>
      <c r="BC100" s="49" t="s">
        <v>42</v>
      </c>
      <c r="BD100" s="22" t="s">
        <v>56</v>
      </c>
      <c r="BE100" s="22" t="s">
        <v>81</v>
      </c>
      <c r="BF100" s="23" t="s">
        <v>84</v>
      </c>
      <c r="BG100" s="23">
        <v>200</v>
      </c>
      <c r="BH100" s="34" t="s">
        <v>257</v>
      </c>
      <c r="BI100" s="49" t="s">
        <v>42</v>
      </c>
      <c r="BJ100" s="22" t="s">
        <v>56</v>
      </c>
      <c r="BK100" s="22" t="s">
        <v>81</v>
      </c>
      <c r="BL100" s="23" t="s">
        <v>84</v>
      </c>
      <c r="BM100" s="24">
        <v>180</v>
      </c>
      <c r="BN100" s="34" t="s">
        <v>262</v>
      </c>
      <c r="BO100" s="49" t="s">
        <v>42</v>
      </c>
      <c r="BP100" s="22" t="s">
        <v>56</v>
      </c>
      <c r="BQ100" s="22" t="s">
        <v>81</v>
      </c>
      <c r="BR100" s="23" t="s">
        <v>84</v>
      </c>
      <c r="BS100" s="24">
        <v>160</v>
      </c>
      <c r="BT100" s="34" t="s">
        <v>88</v>
      </c>
    </row>
    <row r="101" spans="1:72" ht="12" customHeight="1" x14ac:dyDescent="0.15">
      <c r="A101" s="49" t="s">
        <v>42</v>
      </c>
      <c r="B101" s="22" t="s">
        <v>56</v>
      </c>
      <c r="C101" s="22" t="s">
        <v>81</v>
      </c>
      <c r="D101" s="23" t="s">
        <v>6</v>
      </c>
      <c r="E101" s="24">
        <v>600</v>
      </c>
      <c r="F101" s="35" t="s">
        <v>219</v>
      </c>
      <c r="G101" s="49" t="s">
        <v>42</v>
      </c>
      <c r="H101" s="22" t="s">
        <v>56</v>
      </c>
      <c r="I101" s="22" t="s">
        <v>81</v>
      </c>
      <c r="J101" s="23" t="s">
        <v>6</v>
      </c>
      <c r="K101" s="24">
        <v>547</v>
      </c>
      <c r="L101" s="35" t="s">
        <v>175</v>
      </c>
      <c r="M101" s="49" t="s">
        <v>42</v>
      </c>
      <c r="N101" s="22" t="s">
        <v>56</v>
      </c>
      <c r="O101" s="22" t="s">
        <v>81</v>
      </c>
      <c r="P101" s="23" t="s">
        <v>6</v>
      </c>
      <c r="Q101" s="24">
        <v>373</v>
      </c>
      <c r="R101" s="35" t="s">
        <v>224</v>
      </c>
      <c r="S101" s="49" t="s">
        <v>42</v>
      </c>
      <c r="T101" s="22" t="s">
        <v>56</v>
      </c>
      <c r="U101" s="22" t="s">
        <v>81</v>
      </c>
      <c r="V101" s="23" t="s">
        <v>6</v>
      </c>
      <c r="W101" s="24">
        <v>318</v>
      </c>
      <c r="X101" s="35" t="s">
        <v>230</v>
      </c>
      <c r="Y101" s="49" t="s">
        <v>42</v>
      </c>
      <c r="Z101" s="22" t="s">
        <v>56</v>
      </c>
      <c r="AA101" s="22" t="s">
        <v>81</v>
      </c>
      <c r="AB101" s="23" t="s">
        <v>6</v>
      </c>
      <c r="AC101" s="24">
        <v>345</v>
      </c>
      <c r="AD101" s="35" t="s">
        <v>234</v>
      </c>
      <c r="AE101" s="49" t="s">
        <v>42</v>
      </c>
      <c r="AF101" s="22" t="s">
        <v>56</v>
      </c>
      <c r="AG101" s="22" t="s">
        <v>81</v>
      </c>
      <c r="AH101" s="23" t="s">
        <v>6</v>
      </c>
      <c r="AI101" s="24">
        <v>320</v>
      </c>
      <c r="AJ101" s="35" t="s">
        <v>237</v>
      </c>
      <c r="AK101" s="49" t="s">
        <v>42</v>
      </c>
      <c r="AL101" s="22" t="s">
        <v>56</v>
      </c>
      <c r="AM101" s="22" t="s">
        <v>81</v>
      </c>
      <c r="AN101" s="23" t="s">
        <v>6</v>
      </c>
      <c r="AO101" s="24">
        <v>235</v>
      </c>
      <c r="AP101" s="35" t="s">
        <v>241</v>
      </c>
      <c r="AQ101" s="49" t="s">
        <v>42</v>
      </c>
      <c r="AR101" s="22" t="s">
        <v>56</v>
      </c>
      <c r="AS101" s="22" t="s">
        <v>81</v>
      </c>
      <c r="AT101" s="23" t="s">
        <v>6</v>
      </c>
      <c r="AU101" s="24">
        <v>222</v>
      </c>
      <c r="AV101" s="35" t="s">
        <v>249</v>
      </c>
      <c r="AW101" s="49" t="s">
        <v>42</v>
      </c>
      <c r="AX101" s="22" t="s">
        <v>56</v>
      </c>
      <c r="AY101" s="22" t="s">
        <v>81</v>
      </c>
      <c r="AZ101" s="23" t="s">
        <v>6</v>
      </c>
      <c r="BA101" s="24">
        <v>198</v>
      </c>
      <c r="BB101" s="35" t="s">
        <v>253</v>
      </c>
      <c r="BC101" s="49" t="s">
        <v>42</v>
      </c>
      <c r="BD101" s="22" t="s">
        <v>56</v>
      </c>
      <c r="BE101" s="22" t="s">
        <v>81</v>
      </c>
      <c r="BF101" s="23" t="s">
        <v>6</v>
      </c>
      <c r="BG101" s="24">
        <v>231</v>
      </c>
      <c r="BH101" s="35" t="s">
        <v>257</v>
      </c>
      <c r="BI101" s="49" t="s">
        <v>42</v>
      </c>
      <c r="BJ101" s="22" t="s">
        <v>56</v>
      </c>
      <c r="BK101" s="22" t="s">
        <v>81</v>
      </c>
      <c r="BL101" s="23" t="s">
        <v>6</v>
      </c>
      <c r="BM101" s="24">
        <v>206</v>
      </c>
      <c r="BN101" s="35" t="s">
        <v>262</v>
      </c>
      <c r="BO101" s="49" t="s">
        <v>42</v>
      </c>
      <c r="BP101" s="22" t="s">
        <v>56</v>
      </c>
      <c r="BQ101" s="22" t="s">
        <v>81</v>
      </c>
      <c r="BR101" s="23" t="s">
        <v>6</v>
      </c>
      <c r="BS101" s="24">
        <v>188</v>
      </c>
      <c r="BT101" s="35" t="s">
        <v>88</v>
      </c>
    </row>
    <row r="102" spans="1:72" ht="12" customHeight="1" x14ac:dyDescent="0.15">
      <c r="A102" s="49" t="s">
        <v>42</v>
      </c>
      <c r="B102" s="22" t="s">
        <v>86</v>
      </c>
      <c r="C102" s="22" t="s">
        <v>53</v>
      </c>
      <c r="D102" s="23" t="s">
        <v>83</v>
      </c>
      <c r="E102" s="27">
        <v>1.1000000000000001</v>
      </c>
      <c r="F102" s="21" t="s">
        <v>89</v>
      </c>
      <c r="G102" s="49" t="s">
        <v>42</v>
      </c>
      <c r="H102" s="22" t="s">
        <v>86</v>
      </c>
      <c r="I102" s="22" t="s">
        <v>53</v>
      </c>
      <c r="J102" s="23" t="s">
        <v>83</v>
      </c>
      <c r="K102" s="23" t="s">
        <v>195</v>
      </c>
      <c r="L102" s="21" t="s">
        <v>175</v>
      </c>
      <c r="M102" s="49" t="s">
        <v>42</v>
      </c>
      <c r="N102" s="22" t="s">
        <v>86</v>
      </c>
      <c r="O102" s="22" t="s">
        <v>53</v>
      </c>
      <c r="P102" s="23" t="s">
        <v>83</v>
      </c>
      <c r="Q102" s="23" t="s">
        <v>195</v>
      </c>
      <c r="R102" s="21" t="s">
        <v>224</v>
      </c>
      <c r="S102" s="49" t="s">
        <v>42</v>
      </c>
      <c r="T102" s="22" t="s">
        <v>86</v>
      </c>
      <c r="U102" s="22" t="s">
        <v>53</v>
      </c>
      <c r="V102" s="23" t="s">
        <v>83</v>
      </c>
      <c r="W102" s="23" t="s">
        <v>195</v>
      </c>
      <c r="X102" s="21" t="s">
        <v>230</v>
      </c>
      <c r="Y102" s="49" t="s">
        <v>42</v>
      </c>
      <c r="Z102" s="22" t="s">
        <v>86</v>
      </c>
      <c r="AA102" s="22" t="s">
        <v>53</v>
      </c>
      <c r="AB102" s="23" t="s">
        <v>83</v>
      </c>
      <c r="AC102" s="24">
        <v>15</v>
      </c>
      <c r="AD102" s="21" t="s">
        <v>234</v>
      </c>
      <c r="AE102" s="49" t="s">
        <v>42</v>
      </c>
      <c r="AF102" s="22" t="s">
        <v>86</v>
      </c>
      <c r="AG102" s="22" t="s">
        <v>53</v>
      </c>
      <c r="AH102" s="23" t="s">
        <v>83</v>
      </c>
      <c r="AI102" s="27">
        <v>1.3</v>
      </c>
      <c r="AJ102" s="21" t="s">
        <v>237</v>
      </c>
      <c r="AK102" s="49" t="s">
        <v>42</v>
      </c>
      <c r="AL102" s="22" t="s">
        <v>86</v>
      </c>
      <c r="AM102" s="22" t="s">
        <v>53</v>
      </c>
      <c r="AN102" s="23" t="s">
        <v>83</v>
      </c>
      <c r="AO102" s="27">
        <v>0.85</v>
      </c>
      <c r="AP102" s="21" t="s">
        <v>241</v>
      </c>
      <c r="AQ102" s="49" t="s">
        <v>42</v>
      </c>
      <c r="AR102" s="22" t="s">
        <v>86</v>
      </c>
      <c r="AS102" s="22" t="s">
        <v>53</v>
      </c>
      <c r="AT102" s="23" t="s">
        <v>83</v>
      </c>
      <c r="AU102" s="23" t="s">
        <v>195</v>
      </c>
      <c r="AV102" s="21" t="s">
        <v>203</v>
      </c>
      <c r="AW102" s="49" t="s">
        <v>42</v>
      </c>
      <c r="AX102" s="22" t="s">
        <v>86</v>
      </c>
      <c r="AY102" s="22" t="s">
        <v>53</v>
      </c>
      <c r="AZ102" s="23" t="s">
        <v>83</v>
      </c>
      <c r="BA102" s="23" t="s">
        <v>195</v>
      </c>
      <c r="BB102" s="21" t="s">
        <v>253</v>
      </c>
      <c r="BC102" s="49" t="s">
        <v>42</v>
      </c>
      <c r="BD102" s="22" t="s">
        <v>86</v>
      </c>
      <c r="BE102" s="22" t="s">
        <v>53</v>
      </c>
      <c r="BF102" s="23" t="s">
        <v>83</v>
      </c>
      <c r="BG102" s="27">
        <v>1.1000000000000001</v>
      </c>
      <c r="BH102" s="21" t="s">
        <v>257</v>
      </c>
      <c r="BI102" s="49" t="s">
        <v>42</v>
      </c>
      <c r="BJ102" s="22" t="s">
        <v>86</v>
      </c>
      <c r="BK102" s="22" t="s">
        <v>53</v>
      </c>
      <c r="BL102" s="23" t="s">
        <v>83</v>
      </c>
      <c r="BM102" s="23" t="s">
        <v>195</v>
      </c>
      <c r="BN102" s="21" t="s">
        <v>262</v>
      </c>
      <c r="BO102" s="49" t="s">
        <v>42</v>
      </c>
      <c r="BP102" s="22" t="s">
        <v>86</v>
      </c>
      <c r="BQ102" s="22" t="s">
        <v>53</v>
      </c>
      <c r="BR102" s="23" t="s">
        <v>83</v>
      </c>
      <c r="BS102" s="27">
        <v>0.88</v>
      </c>
      <c r="BT102" s="21" t="s">
        <v>88</v>
      </c>
    </row>
    <row r="103" spans="1:72" ht="12" customHeight="1" x14ac:dyDescent="0.15">
      <c r="A103" s="49" t="s">
        <v>42</v>
      </c>
      <c r="B103" s="22" t="s">
        <v>86</v>
      </c>
      <c r="C103" s="22" t="s">
        <v>53</v>
      </c>
      <c r="D103" s="23" t="s">
        <v>84</v>
      </c>
      <c r="E103" s="27">
        <v>6.6</v>
      </c>
      <c r="F103" s="34" t="s">
        <v>89</v>
      </c>
      <c r="G103" s="49" t="s">
        <v>42</v>
      </c>
      <c r="H103" s="22" t="s">
        <v>86</v>
      </c>
      <c r="I103" s="22" t="s">
        <v>53</v>
      </c>
      <c r="J103" s="23" t="s">
        <v>84</v>
      </c>
      <c r="K103" s="23" t="s">
        <v>195</v>
      </c>
      <c r="L103" s="34" t="s">
        <v>175</v>
      </c>
      <c r="M103" s="49" t="s">
        <v>42</v>
      </c>
      <c r="N103" s="22" t="s">
        <v>86</v>
      </c>
      <c r="O103" s="22" t="s">
        <v>53</v>
      </c>
      <c r="P103" s="23" t="s">
        <v>84</v>
      </c>
      <c r="Q103" s="27">
        <v>4.3</v>
      </c>
      <c r="R103" s="34" t="s">
        <v>224</v>
      </c>
      <c r="S103" s="49" t="s">
        <v>42</v>
      </c>
      <c r="T103" s="22" t="s">
        <v>86</v>
      </c>
      <c r="U103" s="22" t="s">
        <v>53</v>
      </c>
      <c r="V103" s="23" t="s">
        <v>84</v>
      </c>
      <c r="W103" s="27">
        <v>3.3</v>
      </c>
      <c r="X103" s="34" t="s">
        <v>230</v>
      </c>
      <c r="Y103" s="49" t="s">
        <v>42</v>
      </c>
      <c r="Z103" s="22" t="s">
        <v>86</v>
      </c>
      <c r="AA103" s="22" t="s">
        <v>53</v>
      </c>
      <c r="AB103" s="23" t="s">
        <v>84</v>
      </c>
      <c r="AC103" s="27">
        <v>9.1</v>
      </c>
      <c r="AD103" s="34" t="s">
        <v>234</v>
      </c>
      <c r="AE103" s="49" t="s">
        <v>42</v>
      </c>
      <c r="AF103" s="22" t="s">
        <v>86</v>
      </c>
      <c r="AG103" s="22" t="s">
        <v>53</v>
      </c>
      <c r="AH103" s="23" t="s">
        <v>84</v>
      </c>
      <c r="AI103" s="23">
        <v>7.8</v>
      </c>
      <c r="AJ103" s="34" t="s">
        <v>237</v>
      </c>
      <c r="AK103" s="49" t="s">
        <v>42</v>
      </c>
      <c r="AL103" s="22" t="s">
        <v>86</v>
      </c>
      <c r="AM103" s="22" t="s">
        <v>53</v>
      </c>
      <c r="AN103" s="23" t="s">
        <v>84</v>
      </c>
      <c r="AO103" s="27">
        <v>5.0999999999999996</v>
      </c>
      <c r="AP103" s="34" t="s">
        <v>241</v>
      </c>
      <c r="AQ103" s="49" t="s">
        <v>42</v>
      </c>
      <c r="AR103" s="22" t="s">
        <v>86</v>
      </c>
      <c r="AS103" s="22" t="s">
        <v>53</v>
      </c>
      <c r="AT103" s="23" t="s">
        <v>84</v>
      </c>
      <c r="AU103" s="27">
        <v>5.2</v>
      </c>
      <c r="AV103" s="34" t="s">
        <v>203</v>
      </c>
      <c r="AW103" s="49" t="s">
        <v>42</v>
      </c>
      <c r="AX103" s="22" t="s">
        <v>86</v>
      </c>
      <c r="AY103" s="22" t="s">
        <v>53</v>
      </c>
      <c r="AZ103" s="23" t="s">
        <v>84</v>
      </c>
      <c r="BA103" s="24">
        <v>55</v>
      </c>
      <c r="BB103" s="34" t="s">
        <v>253</v>
      </c>
      <c r="BC103" s="49" t="s">
        <v>42</v>
      </c>
      <c r="BD103" s="22" t="s">
        <v>86</v>
      </c>
      <c r="BE103" s="22" t="s">
        <v>53</v>
      </c>
      <c r="BF103" s="23" t="s">
        <v>84</v>
      </c>
      <c r="BG103" s="24">
        <v>64</v>
      </c>
      <c r="BH103" s="34" t="s">
        <v>257</v>
      </c>
      <c r="BI103" s="49" t="s">
        <v>42</v>
      </c>
      <c r="BJ103" s="22" t="s">
        <v>86</v>
      </c>
      <c r="BK103" s="22" t="s">
        <v>53</v>
      </c>
      <c r="BL103" s="23" t="s">
        <v>84</v>
      </c>
      <c r="BM103" s="27">
        <v>5.6</v>
      </c>
      <c r="BN103" s="34" t="s">
        <v>262</v>
      </c>
      <c r="BO103" s="49" t="s">
        <v>42</v>
      </c>
      <c r="BP103" s="22" t="s">
        <v>86</v>
      </c>
      <c r="BQ103" s="22" t="s">
        <v>53</v>
      </c>
      <c r="BR103" s="23" t="s">
        <v>84</v>
      </c>
      <c r="BS103" s="27">
        <v>6.6</v>
      </c>
      <c r="BT103" s="34" t="s">
        <v>88</v>
      </c>
    </row>
    <row r="104" spans="1:72" ht="12" customHeight="1" x14ac:dyDescent="0.15">
      <c r="A104" s="49" t="s">
        <v>42</v>
      </c>
      <c r="B104" s="22" t="s">
        <v>86</v>
      </c>
      <c r="C104" s="22" t="s">
        <v>53</v>
      </c>
      <c r="D104" s="23" t="s">
        <v>6</v>
      </c>
      <c r="E104" s="23">
        <v>7.7</v>
      </c>
      <c r="F104" s="35" t="s">
        <v>89</v>
      </c>
      <c r="G104" s="49" t="s">
        <v>42</v>
      </c>
      <c r="H104" s="22" t="s">
        <v>86</v>
      </c>
      <c r="I104" s="22" t="s">
        <v>53</v>
      </c>
      <c r="J104" s="23" t="s">
        <v>6</v>
      </c>
      <c r="K104" s="23" t="s">
        <v>195</v>
      </c>
      <c r="L104" s="35" t="s">
        <v>175</v>
      </c>
      <c r="M104" s="49" t="s">
        <v>42</v>
      </c>
      <c r="N104" s="22" t="s">
        <v>86</v>
      </c>
      <c r="O104" s="22" t="s">
        <v>53</v>
      </c>
      <c r="P104" s="23" t="s">
        <v>6</v>
      </c>
      <c r="Q104" s="27">
        <v>4.3</v>
      </c>
      <c r="R104" s="35" t="s">
        <v>224</v>
      </c>
      <c r="S104" s="49" t="s">
        <v>42</v>
      </c>
      <c r="T104" s="22" t="s">
        <v>86</v>
      </c>
      <c r="U104" s="22" t="s">
        <v>53</v>
      </c>
      <c r="V104" s="23" t="s">
        <v>6</v>
      </c>
      <c r="W104" s="27">
        <v>3.3</v>
      </c>
      <c r="X104" s="35" t="s">
        <v>230</v>
      </c>
      <c r="Y104" s="49" t="s">
        <v>42</v>
      </c>
      <c r="Z104" s="22" t="s">
        <v>86</v>
      </c>
      <c r="AA104" s="22" t="s">
        <v>53</v>
      </c>
      <c r="AB104" s="23" t="s">
        <v>6</v>
      </c>
      <c r="AC104" s="23">
        <v>10.6</v>
      </c>
      <c r="AD104" s="35" t="s">
        <v>234</v>
      </c>
      <c r="AE104" s="49" t="s">
        <v>42</v>
      </c>
      <c r="AF104" s="22" t="s">
        <v>86</v>
      </c>
      <c r="AG104" s="22" t="s">
        <v>53</v>
      </c>
      <c r="AH104" s="23" t="s">
        <v>6</v>
      </c>
      <c r="AI104" s="27">
        <v>9.1</v>
      </c>
      <c r="AJ104" s="35" t="s">
        <v>237</v>
      </c>
      <c r="AK104" s="49" t="s">
        <v>42</v>
      </c>
      <c r="AL104" s="22" t="s">
        <v>86</v>
      </c>
      <c r="AM104" s="22" t="s">
        <v>53</v>
      </c>
      <c r="AN104" s="23" t="s">
        <v>6</v>
      </c>
      <c r="AO104" s="27">
        <v>5.95</v>
      </c>
      <c r="AP104" s="35" t="s">
        <v>241</v>
      </c>
      <c r="AQ104" s="49" t="s">
        <v>42</v>
      </c>
      <c r="AR104" s="22" t="s">
        <v>86</v>
      </c>
      <c r="AS104" s="22" t="s">
        <v>53</v>
      </c>
      <c r="AT104" s="23" t="s">
        <v>6</v>
      </c>
      <c r="AU104" s="27">
        <v>5.2</v>
      </c>
      <c r="AV104" s="35" t="s">
        <v>203</v>
      </c>
      <c r="AW104" s="49" t="s">
        <v>42</v>
      </c>
      <c r="AX104" s="22" t="s">
        <v>86</v>
      </c>
      <c r="AY104" s="22" t="s">
        <v>53</v>
      </c>
      <c r="AZ104" s="23" t="s">
        <v>6</v>
      </c>
      <c r="BA104" s="27">
        <v>5.5</v>
      </c>
      <c r="BB104" s="35" t="s">
        <v>253</v>
      </c>
      <c r="BC104" s="49" t="s">
        <v>42</v>
      </c>
      <c r="BD104" s="22" t="s">
        <v>86</v>
      </c>
      <c r="BE104" s="22" t="s">
        <v>53</v>
      </c>
      <c r="BF104" s="23" t="s">
        <v>6</v>
      </c>
      <c r="BG104" s="23">
        <v>7.5</v>
      </c>
      <c r="BH104" s="35" t="s">
        <v>257</v>
      </c>
      <c r="BI104" s="49" t="s">
        <v>42</v>
      </c>
      <c r="BJ104" s="22" t="s">
        <v>86</v>
      </c>
      <c r="BK104" s="22" t="s">
        <v>53</v>
      </c>
      <c r="BL104" s="23" t="s">
        <v>6</v>
      </c>
      <c r="BM104" s="27">
        <v>5.6</v>
      </c>
      <c r="BN104" s="35" t="s">
        <v>262</v>
      </c>
      <c r="BO104" s="49" t="s">
        <v>42</v>
      </c>
      <c r="BP104" s="22" t="s">
        <v>86</v>
      </c>
      <c r="BQ104" s="22" t="s">
        <v>53</v>
      </c>
      <c r="BR104" s="23" t="s">
        <v>6</v>
      </c>
      <c r="BS104" s="27">
        <v>7.48</v>
      </c>
      <c r="BT104" s="35" t="s">
        <v>88</v>
      </c>
    </row>
    <row r="105" spans="1:72" ht="12" customHeight="1" x14ac:dyDescent="0.15">
      <c r="A105" s="49" t="s">
        <v>44</v>
      </c>
      <c r="B105" s="28" t="s">
        <v>70</v>
      </c>
      <c r="C105" s="22" t="s">
        <v>62</v>
      </c>
      <c r="D105" s="23" t="s">
        <v>83</v>
      </c>
      <c r="E105" s="27">
        <v>9.1999999999999993</v>
      </c>
      <c r="F105" s="21" t="s">
        <v>121</v>
      </c>
      <c r="G105" s="49" t="s">
        <v>44</v>
      </c>
      <c r="H105" s="28" t="s">
        <v>70</v>
      </c>
      <c r="I105" s="22" t="s">
        <v>62</v>
      </c>
      <c r="J105" s="23" t="s">
        <v>83</v>
      </c>
      <c r="K105" s="27">
        <v>8.3000000000000007</v>
      </c>
      <c r="L105" s="21" t="s">
        <v>222</v>
      </c>
      <c r="M105" s="49" t="s">
        <v>44</v>
      </c>
      <c r="N105" s="28" t="s">
        <v>70</v>
      </c>
      <c r="O105" s="22" t="s">
        <v>62</v>
      </c>
      <c r="P105" s="23" t="s">
        <v>83</v>
      </c>
      <c r="Q105" s="27">
        <v>9.5</v>
      </c>
      <c r="R105" s="21" t="s">
        <v>225</v>
      </c>
      <c r="S105" s="49" t="s">
        <v>44</v>
      </c>
      <c r="T105" s="28" t="s">
        <v>70</v>
      </c>
      <c r="U105" s="22" t="s">
        <v>62</v>
      </c>
      <c r="V105" s="23" t="s">
        <v>83</v>
      </c>
      <c r="W105" s="27">
        <v>5.7</v>
      </c>
      <c r="X105" s="21" t="s">
        <v>229</v>
      </c>
      <c r="Y105" s="49" t="s">
        <v>44</v>
      </c>
      <c r="Z105" s="28" t="s">
        <v>70</v>
      </c>
      <c r="AA105" s="22" t="s">
        <v>62</v>
      </c>
      <c r="AB105" s="23" t="s">
        <v>83</v>
      </c>
      <c r="AC105" s="27">
        <v>8.1999999999999993</v>
      </c>
      <c r="AD105" s="21" t="s">
        <v>233</v>
      </c>
      <c r="AE105" s="49" t="s">
        <v>44</v>
      </c>
      <c r="AF105" s="28" t="s">
        <v>70</v>
      </c>
      <c r="AG105" s="22" t="s">
        <v>62</v>
      </c>
      <c r="AH105" s="23" t="s">
        <v>83</v>
      </c>
      <c r="AI105" s="27">
        <v>9.8000000000000007</v>
      </c>
      <c r="AJ105" s="21" t="s">
        <v>238</v>
      </c>
      <c r="AK105" s="49" t="s">
        <v>44</v>
      </c>
      <c r="AL105" s="28" t="s">
        <v>70</v>
      </c>
      <c r="AM105" s="22" t="s">
        <v>62</v>
      </c>
      <c r="AN105" s="23" t="s">
        <v>83</v>
      </c>
      <c r="AO105" s="27">
        <v>6.8</v>
      </c>
      <c r="AP105" s="21" t="s">
        <v>242</v>
      </c>
      <c r="AQ105" s="49" t="s">
        <v>44</v>
      </c>
      <c r="AR105" s="28" t="s">
        <v>70</v>
      </c>
      <c r="AS105" s="22" t="s">
        <v>62</v>
      </c>
      <c r="AT105" s="23" t="s">
        <v>83</v>
      </c>
      <c r="AU105" s="24">
        <v>6</v>
      </c>
      <c r="AV105" s="21" t="s">
        <v>204</v>
      </c>
      <c r="AW105" s="49" t="s">
        <v>44</v>
      </c>
      <c r="AX105" s="28" t="s">
        <v>70</v>
      </c>
      <c r="AY105" s="22" t="s">
        <v>62</v>
      </c>
      <c r="AZ105" s="23" t="s">
        <v>83</v>
      </c>
      <c r="BA105" s="27">
        <v>2.7</v>
      </c>
      <c r="BB105" s="21" t="s">
        <v>254</v>
      </c>
      <c r="BC105" s="49" t="s">
        <v>44</v>
      </c>
      <c r="BD105" s="28" t="s">
        <v>70</v>
      </c>
      <c r="BE105" s="22" t="s">
        <v>62</v>
      </c>
      <c r="BF105" s="23" t="s">
        <v>83</v>
      </c>
      <c r="BG105" s="8"/>
      <c r="BH105" s="21" t="s">
        <v>258</v>
      </c>
      <c r="BI105" s="49" t="s">
        <v>44</v>
      </c>
      <c r="BJ105" s="28" t="s">
        <v>70</v>
      </c>
      <c r="BK105" s="22" t="s">
        <v>62</v>
      </c>
      <c r="BL105" s="23" t="s">
        <v>83</v>
      </c>
      <c r="BM105" s="23" t="s">
        <v>195</v>
      </c>
      <c r="BN105" s="21" t="s">
        <v>163</v>
      </c>
      <c r="BO105" s="49" t="s">
        <v>44</v>
      </c>
      <c r="BP105" s="28" t="s">
        <v>70</v>
      </c>
      <c r="BQ105" s="22" t="s">
        <v>62</v>
      </c>
      <c r="BR105" s="23" t="s">
        <v>83</v>
      </c>
      <c r="BS105" s="27">
        <v>2.1</v>
      </c>
      <c r="BT105" s="21" t="s">
        <v>88</v>
      </c>
    </row>
    <row r="106" spans="1:72" ht="12" customHeight="1" x14ac:dyDescent="0.15">
      <c r="A106" s="49" t="s">
        <v>44</v>
      </c>
      <c r="B106" s="28" t="s">
        <v>70</v>
      </c>
      <c r="C106" s="22" t="s">
        <v>62</v>
      </c>
      <c r="D106" s="23" t="s">
        <v>84</v>
      </c>
      <c r="E106" s="24">
        <v>63</v>
      </c>
      <c r="F106" s="34" t="s">
        <v>121</v>
      </c>
      <c r="G106" s="49" t="s">
        <v>44</v>
      </c>
      <c r="H106" s="28" t="s">
        <v>70</v>
      </c>
      <c r="I106" s="22" t="s">
        <v>62</v>
      </c>
      <c r="J106" s="23" t="s">
        <v>84</v>
      </c>
      <c r="K106" s="24">
        <v>64</v>
      </c>
      <c r="L106" s="34" t="s">
        <v>222</v>
      </c>
      <c r="M106" s="49" t="s">
        <v>44</v>
      </c>
      <c r="N106" s="28" t="s">
        <v>70</v>
      </c>
      <c r="O106" s="22" t="s">
        <v>62</v>
      </c>
      <c r="P106" s="23" t="s">
        <v>84</v>
      </c>
      <c r="Q106" s="24">
        <v>74</v>
      </c>
      <c r="R106" s="34" t="s">
        <v>225</v>
      </c>
      <c r="S106" s="49" t="s">
        <v>44</v>
      </c>
      <c r="T106" s="28" t="s">
        <v>70</v>
      </c>
      <c r="U106" s="22" t="s">
        <v>62</v>
      </c>
      <c r="V106" s="23" t="s">
        <v>84</v>
      </c>
      <c r="W106" s="24">
        <v>42</v>
      </c>
      <c r="X106" s="34" t="s">
        <v>229</v>
      </c>
      <c r="Y106" s="49" t="s">
        <v>44</v>
      </c>
      <c r="Z106" s="28" t="s">
        <v>70</v>
      </c>
      <c r="AA106" s="22" t="s">
        <v>62</v>
      </c>
      <c r="AB106" s="23" t="s">
        <v>84</v>
      </c>
      <c r="AC106" s="24">
        <v>66</v>
      </c>
      <c r="AD106" s="34" t="s">
        <v>233</v>
      </c>
      <c r="AE106" s="49" t="s">
        <v>44</v>
      </c>
      <c r="AF106" s="28" t="s">
        <v>70</v>
      </c>
      <c r="AG106" s="22" t="s">
        <v>62</v>
      </c>
      <c r="AH106" s="23" t="s">
        <v>84</v>
      </c>
      <c r="AI106" s="24">
        <v>95</v>
      </c>
      <c r="AJ106" s="34" t="s">
        <v>238</v>
      </c>
      <c r="AK106" s="49" t="s">
        <v>44</v>
      </c>
      <c r="AL106" s="28" t="s">
        <v>70</v>
      </c>
      <c r="AM106" s="22" t="s">
        <v>62</v>
      </c>
      <c r="AN106" s="23" t="s">
        <v>84</v>
      </c>
      <c r="AO106" s="24">
        <v>49</v>
      </c>
      <c r="AP106" s="34" t="s">
        <v>242</v>
      </c>
      <c r="AQ106" s="49" t="s">
        <v>44</v>
      </c>
      <c r="AR106" s="28" t="s">
        <v>70</v>
      </c>
      <c r="AS106" s="22" t="s">
        <v>62</v>
      </c>
      <c r="AT106" s="23" t="s">
        <v>84</v>
      </c>
      <c r="AU106" s="24">
        <v>54</v>
      </c>
      <c r="AV106" s="34" t="s">
        <v>204</v>
      </c>
      <c r="AW106" s="49" t="s">
        <v>44</v>
      </c>
      <c r="AX106" s="28" t="s">
        <v>70</v>
      </c>
      <c r="AY106" s="22" t="s">
        <v>62</v>
      </c>
      <c r="AZ106" s="23" t="s">
        <v>84</v>
      </c>
      <c r="BA106" s="24">
        <v>19</v>
      </c>
      <c r="BB106" s="34" t="s">
        <v>254</v>
      </c>
      <c r="BC106" s="49" t="s">
        <v>44</v>
      </c>
      <c r="BD106" s="28" t="s">
        <v>70</v>
      </c>
      <c r="BE106" s="22" t="s">
        <v>62</v>
      </c>
      <c r="BF106" s="23" t="s">
        <v>84</v>
      </c>
      <c r="BG106" s="24">
        <v>25</v>
      </c>
      <c r="BH106" s="34" t="s">
        <v>258</v>
      </c>
      <c r="BI106" s="49" t="s">
        <v>44</v>
      </c>
      <c r="BJ106" s="28" t="s">
        <v>70</v>
      </c>
      <c r="BK106" s="22" t="s">
        <v>62</v>
      </c>
      <c r="BL106" s="23" t="s">
        <v>84</v>
      </c>
      <c r="BM106" s="24">
        <v>10</v>
      </c>
      <c r="BN106" s="34" t="s">
        <v>163</v>
      </c>
      <c r="BO106" s="49" t="s">
        <v>44</v>
      </c>
      <c r="BP106" s="28" t="s">
        <v>70</v>
      </c>
      <c r="BQ106" s="22" t="s">
        <v>62</v>
      </c>
      <c r="BR106" s="23" t="s">
        <v>84</v>
      </c>
      <c r="BS106" s="24">
        <v>18</v>
      </c>
      <c r="BT106" s="34" t="s">
        <v>88</v>
      </c>
    </row>
    <row r="107" spans="1:72" ht="12" customHeight="1" x14ac:dyDescent="0.15">
      <c r="A107" s="49" t="s">
        <v>44</v>
      </c>
      <c r="B107" s="28" t="s">
        <v>70</v>
      </c>
      <c r="C107" s="22" t="s">
        <v>62</v>
      </c>
      <c r="D107" s="23" t="s">
        <v>6</v>
      </c>
      <c r="E107" s="27">
        <v>72.2</v>
      </c>
      <c r="F107" s="35" t="s">
        <v>121</v>
      </c>
      <c r="G107" s="49" t="s">
        <v>44</v>
      </c>
      <c r="H107" s="28" t="s">
        <v>70</v>
      </c>
      <c r="I107" s="22" t="s">
        <v>62</v>
      </c>
      <c r="J107" s="23" t="s">
        <v>6</v>
      </c>
      <c r="K107" s="27">
        <v>72.3</v>
      </c>
      <c r="L107" s="35" t="s">
        <v>222</v>
      </c>
      <c r="M107" s="49" t="s">
        <v>44</v>
      </c>
      <c r="N107" s="28" t="s">
        <v>70</v>
      </c>
      <c r="O107" s="22" t="s">
        <v>62</v>
      </c>
      <c r="P107" s="23" t="s">
        <v>6</v>
      </c>
      <c r="Q107" s="27">
        <v>83.5</v>
      </c>
      <c r="R107" s="35" t="s">
        <v>225</v>
      </c>
      <c r="S107" s="49" t="s">
        <v>44</v>
      </c>
      <c r="T107" s="28" t="s">
        <v>70</v>
      </c>
      <c r="U107" s="22" t="s">
        <v>62</v>
      </c>
      <c r="V107" s="23" t="s">
        <v>6</v>
      </c>
      <c r="W107" s="27">
        <v>47.7</v>
      </c>
      <c r="X107" s="35" t="s">
        <v>229</v>
      </c>
      <c r="Y107" s="49" t="s">
        <v>44</v>
      </c>
      <c r="Z107" s="28" t="s">
        <v>70</v>
      </c>
      <c r="AA107" s="22" t="s">
        <v>62</v>
      </c>
      <c r="AB107" s="23" t="s">
        <v>6</v>
      </c>
      <c r="AC107" s="27">
        <v>74.2</v>
      </c>
      <c r="AD107" s="35" t="s">
        <v>233</v>
      </c>
      <c r="AE107" s="49" t="s">
        <v>44</v>
      </c>
      <c r="AF107" s="28" t="s">
        <v>70</v>
      </c>
      <c r="AG107" s="22" t="s">
        <v>62</v>
      </c>
      <c r="AH107" s="23" t="s">
        <v>6</v>
      </c>
      <c r="AI107" s="45">
        <v>104.8</v>
      </c>
      <c r="AJ107" s="35" t="s">
        <v>238</v>
      </c>
      <c r="AK107" s="49" t="s">
        <v>44</v>
      </c>
      <c r="AL107" s="28" t="s">
        <v>70</v>
      </c>
      <c r="AM107" s="22" t="s">
        <v>62</v>
      </c>
      <c r="AN107" s="23" t="s">
        <v>6</v>
      </c>
      <c r="AO107" s="27">
        <v>55.8</v>
      </c>
      <c r="AP107" s="35" t="s">
        <v>242</v>
      </c>
      <c r="AQ107" s="49" t="s">
        <v>44</v>
      </c>
      <c r="AR107" s="28" t="s">
        <v>70</v>
      </c>
      <c r="AS107" s="22" t="s">
        <v>62</v>
      </c>
      <c r="AT107" s="23" t="s">
        <v>6</v>
      </c>
      <c r="AU107" s="24">
        <v>60</v>
      </c>
      <c r="AV107" s="35" t="s">
        <v>204</v>
      </c>
      <c r="AW107" s="49" t="s">
        <v>44</v>
      </c>
      <c r="AX107" s="28" t="s">
        <v>70</v>
      </c>
      <c r="AY107" s="22" t="s">
        <v>62</v>
      </c>
      <c r="AZ107" s="23" t="s">
        <v>6</v>
      </c>
      <c r="BA107" s="27">
        <v>21.7</v>
      </c>
      <c r="BB107" s="35" t="s">
        <v>254</v>
      </c>
      <c r="BC107" s="49" t="s">
        <v>44</v>
      </c>
      <c r="BD107" s="28" t="s">
        <v>70</v>
      </c>
      <c r="BE107" s="22" t="s">
        <v>62</v>
      </c>
      <c r="BF107" s="23" t="s">
        <v>6</v>
      </c>
      <c r="BG107" s="24">
        <v>25</v>
      </c>
      <c r="BH107" s="35" t="s">
        <v>258</v>
      </c>
      <c r="BI107" s="49" t="s">
        <v>44</v>
      </c>
      <c r="BJ107" s="28" t="s">
        <v>70</v>
      </c>
      <c r="BK107" s="22" t="s">
        <v>62</v>
      </c>
      <c r="BL107" s="23" t="s">
        <v>6</v>
      </c>
      <c r="BM107" s="24">
        <v>10</v>
      </c>
      <c r="BN107" s="35" t="s">
        <v>163</v>
      </c>
      <c r="BO107" s="49" t="s">
        <v>44</v>
      </c>
      <c r="BP107" s="28" t="s">
        <v>70</v>
      </c>
      <c r="BQ107" s="22" t="s">
        <v>62</v>
      </c>
      <c r="BR107" s="23" t="s">
        <v>6</v>
      </c>
      <c r="BS107" s="27">
        <v>20.100000000000001</v>
      </c>
      <c r="BT107" s="35" t="s">
        <v>88</v>
      </c>
    </row>
    <row r="108" spans="1:72" ht="12" customHeight="1" x14ac:dyDescent="0.15">
      <c r="A108" s="49" t="s">
        <v>44</v>
      </c>
      <c r="B108" s="28" t="s">
        <v>70</v>
      </c>
      <c r="C108" s="22" t="s">
        <v>80</v>
      </c>
      <c r="D108" s="23" t="s">
        <v>83</v>
      </c>
      <c r="E108" s="24">
        <v>43</v>
      </c>
      <c r="F108" s="21" t="s">
        <v>121</v>
      </c>
      <c r="G108" s="49" t="s">
        <v>44</v>
      </c>
      <c r="H108" s="28" t="s">
        <v>70</v>
      </c>
      <c r="I108" s="22" t="s">
        <v>80</v>
      </c>
      <c r="J108" s="23" t="s">
        <v>83</v>
      </c>
      <c r="K108" s="24">
        <v>48</v>
      </c>
      <c r="L108" s="21" t="s">
        <v>222</v>
      </c>
      <c r="M108" s="49" t="s">
        <v>44</v>
      </c>
      <c r="N108" s="28" t="s">
        <v>70</v>
      </c>
      <c r="O108" s="22" t="s">
        <v>80</v>
      </c>
      <c r="P108" s="23" t="s">
        <v>83</v>
      </c>
      <c r="Q108" s="24">
        <v>58</v>
      </c>
      <c r="R108" s="21" t="s">
        <v>225</v>
      </c>
      <c r="S108" s="49" t="s">
        <v>44</v>
      </c>
      <c r="T108" s="28" t="s">
        <v>70</v>
      </c>
      <c r="U108" s="22" t="s">
        <v>80</v>
      </c>
      <c r="V108" s="23" t="s">
        <v>83</v>
      </c>
      <c r="W108" s="24">
        <v>56</v>
      </c>
      <c r="X108" s="21" t="s">
        <v>229</v>
      </c>
      <c r="Y108" s="49" t="s">
        <v>44</v>
      </c>
      <c r="Z108" s="28" t="s">
        <v>70</v>
      </c>
      <c r="AA108" s="22" t="s">
        <v>80</v>
      </c>
      <c r="AB108" s="23" t="s">
        <v>83</v>
      </c>
      <c r="AC108" s="24">
        <v>43</v>
      </c>
      <c r="AD108" s="21" t="s">
        <v>233</v>
      </c>
      <c r="AE108" s="49" t="s">
        <v>44</v>
      </c>
      <c r="AF108" s="28" t="s">
        <v>70</v>
      </c>
      <c r="AG108" s="22" t="s">
        <v>80</v>
      </c>
      <c r="AH108" s="23" t="s">
        <v>83</v>
      </c>
      <c r="AI108" s="24">
        <v>31</v>
      </c>
      <c r="AJ108" s="21" t="s">
        <v>238</v>
      </c>
      <c r="AK108" s="49" t="s">
        <v>44</v>
      </c>
      <c r="AL108" s="28" t="s">
        <v>70</v>
      </c>
      <c r="AM108" s="22" t="s">
        <v>80</v>
      </c>
      <c r="AN108" s="23" t="s">
        <v>83</v>
      </c>
      <c r="AO108" s="24">
        <v>42</v>
      </c>
      <c r="AP108" s="21" t="s">
        <v>242</v>
      </c>
      <c r="AQ108" s="49" t="s">
        <v>44</v>
      </c>
      <c r="AR108" s="28" t="s">
        <v>70</v>
      </c>
      <c r="AS108" s="22" t="s">
        <v>80</v>
      </c>
      <c r="AT108" s="23" t="s">
        <v>83</v>
      </c>
      <c r="AU108" s="24">
        <v>40</v>
      </c>
      <c r="AV108" s="21" t="s">
        <v>204</v>
      </c>
      <c r="AW108" s="49" t="s">
        <v>44</v>
      </c>
      <c r="AX108" s="28" t="s">
        <v>70</v>
      </c>
      <c r="AY108" s="22" t="s">
        <v>80</v>
      </c>
      <c r="AZ108" s="23" t="s">
        <v>83</v>
      </c>
      <c r="BA108" s="24">
        <v>31</v>
      </c>
      <c r="BB108" s="21" t="s">
        <v>254</v>
      </c>
      <c r="BC108" s="49" t="s">
        <v>44</v>
      </c>
      <c r="BD108" s="28" t="s">
        <v>70</v>
      </c>
      <c r="BE108" s="22" t="s">
        <v>80</v>
      </c>
      <c r="BF108" s="23" t="s">
        <v>83</v>
      </c>
      <c r="BG108" s="24">
        <v>17</v>
      </c>
      <c r="BH108" s="21" t="s">
        <v>258</v>
      </c>
      <c r="BI108" s="49" t="s">
        <v>44</v>
      </c>
      <c r="BJ108" s="28" t="s">
        <v>70</v>
      </c>
      <c r="BK108" s="22" t="s">
        <v>80</v>
      </c>
      <c r="BL108" s="23" t="s">
        <v>83</v>
      </c>
      <c r="BM108" s="27">
        <v>8.4</v>
      </c>
      <c r="BN108" s="21" t="s">
        <v>163</v>
      </c>
      <c r="BO108" s="49" t="s">
        <v>44</v>
      </c>
      <c r="BP108" s="28" t="s">
        <v>70</v>
      </c>
      <c r="BQ108" s="22" t="s">
        <v>80</v>
      </c>
      <c r="BR108" s="23" t="s">
        <v>83</v>
      </c>
      <c r="BS108" s="24">
        <v>12</v>
      </c>
      <c r="BT108" s="21" t="s">
        <v>88</v>
      </c>
    </row>
    <row r="109" spans="1:72" ht="12" customHeight="1" x14ac:dyDescent="0.15">
      <c r="A109" s="49" t="s">
        <v>44</v>
      </c>
      <c r="B109" s="28" t="s">
        <v>70</v>
      </c>
      <c r="C109" s="22" t="s">
        <v>80</v>
      </c>
      <c r="D109" s="23" t="s">
        <v>84</v>
      </c>
      <c r="E109" s="24">
        <v>290</v>
      </c>
      <c r="F109" s="34" t="s">
        <v>121</v>
      </c>
      <c r="G109" s="49" t="s">
        <v>44</v>
      </c>
      <c r="H109" s="28" t="s">
        <v>70</v>
      </c>
      <c r="I109" s="22" t="s">
        <v>80</v>
      </c>
      <c r="J109" s="23" t="s">
        <v>84</v>
      </c>
      <c r="K109" s="24">
        <v>340</v>
      </c>
      <c r="L109" s="34" t="s">
        <v>222</v>
      </c>
      <c r="M109" s="49" t="s">
        <v>44</v>
      </c>
      <c r="N109" s="28" t="s">
        <v>70</v>
      </c>
      <c r="O109" s="22" t="s">
        <v>80</v>
      </c>
      <c r="P109" s="23" t="s">
        <v>84</v>
      </c>
      <c r="Q109" s="24">
        <v>420</v>
      </c>
      <c r="R109" s="34" t="s">
        <v>225</v>
      </c>
      <c r="S109" s="49" t="s">
        <v>44</v>
      </c>
      <c r="T109" s="28" t="s">
        <v>70</v>
      </c>
      <c r="U109" s="22" t="s">
        <v>80</v>
      </c>
      <c r="V109" s="23" t="s">
        <v>84</v>
      </c>
      <c r="W109" s="24">
        <v>440</v>
      </c>
      <c r="X109" s="34" t="s">
        <v>229</v>
      </c>
      <c r="Y109" s="49" t="s">
        <v>44</v>
      </c>
      <c r="Z109" s="28" t="s">
        <v>70</v>
      </c>
      <c r="AA109" s="22" t="s">
        <v>80</v>
      </c>
      <c r="AB109" s="23" t="s">
        <v>84</v>
      </c>
      <c r="AC109" s="24">
        <v>310</v>
      </c>
      <c r="AD109" s="34" t="s">
        <v>233</v>
      </c>
      <c r="AE109" s="49" t="s">
        <v>44</v>
      </c>
      <c r="AF109" s="28" t="s">
        <v>70</v>
      </c>
      <c r="AG109" s="22" t="s">
        <v>80</v>
      </c>
      <c r="AH109" s="23" t="s">
        <v>84</v>
      </c>
      <c r="AI109" s="24">
        <v>250</v>
      </c>
      <c r="AJ109" s="34" t="s">
        <v>238</v>
      </c>
      <c r="AK109" s="49" t="s">
        <v>44</v>
      </c>
      <c r="AL109" s="28" t="s">
        <v>70</v>
      </c>
      <c r="AM109" s="22" t="s">
        <v>80</v>
      </c>
      <c r="AN109" s="23" t="s">
        <v>84</v>
      </c>
      <c r="AO109" s="24">
        <v>370</v>
      </c>
      <c r="AP109" s="34" t="s">
        <v>242</v>
      </c>
      <c r="AQ109" s="49" t="s">
        <v>44</v>
      </c>
      <c r="AR109" s="28" t="s">
        <v>70</v>
      </c>
      <c r="AS109" s="22" t="s">
        <v>80</v>
      </c>
      <c r="AT109" s="23" t="s">
        <v>84</v>
      </c>
      <c r="AU109" s="24">
        <v>310</v>
      </c>
      <c r="AV109" s="34" t="s">
        <v>204</v>
      </c>
      <c r="AW109" s="49" t="s">
        <v>44</v>
      </c>
      <c r="AX109" s="28" t="s">
        <v>70</v>
      </c>
      <c r="AY109" s="22" t="s">
        <v>80</v>
      </c>
      <c r="AZ109" s="23" t="s">
        <v>84</v>
      </c>
      <c r="BA109" s="24">
        <v>240</v>
      </c>
      <c r="BB109" s="34" t="s">
        <v>254</v>
      </c>
      <c r="BC109" s="49" t="s">
        <v>44</v>
      </c>
      <c r="BD109" s="28" t="s">
        <v>70</v>
      </c>
      <c r="BE109" s="22" t="s">
        <v>80</v>
      </c>
      <c r="BF109" s="23" t="s">
        <v>84</v>
      </c>
      <c r="BG109" s="23">
        <v>170</v>
      </c>
      <c r="BH109" s="34" t="s">
        <v>258</v>
      </c>
      <c r="BI109" s="49" t="s">
        <v>44</v>
      </c>
      <c r="BJ109" s="28" t="s">
        <v>70</v>
      </c>
      <c r="BK109" s="22" t="s">
        <v>80</v>
      </c>
      <c r="BL109" s="23" t="s">
        <v>84</v>
      </c>
      <c r="BM109" s="24">
        <v>72</v>
      </c>
      <c r="BN109" s="34" t="s">
        <v>163</v>
      </c>
      <c r="BO109" s="49" t="s">
        <v>44</v>
      </c>
      <c r="BP109" s="28" t="s">
        <v>70</v>
      </c>
      <c r="BQ109" s="22" t="s">
        <v>80</v>
      </c>
      <c r="BR109" s="23" t="s">
        <v>84</v>
      </c>
      <c r="BS109" s="24">
        <v>120</v>
      </c>
      <c r="BT109" s="34" t="s">
        <v>88</v>
      </c>
    </row>
    <row r="110" spans="1:72" ht="12" customHeight="1" x14ac:dyDescent="0.15">
      <c r="A110" s="49" t="s">
        <v>44</v>
      </c>
      <c r="B110" s="28" t="s">
        <v>70</v>
      </c>
      <c r="C110" s="22" t="s">
        <v>80</v>
      </c>
      <c r="D110" s="23" t="s">
        <v>6</v>
      </c>
      <c r="E110" s="24">
        <v>333</v>
      </c>
      <c r="F110" s="35" t="s">
        <v>121</v>
      </c>
      <c r="G110" s="49" t="s">
        <v>44</v>
      </c>
      <c r="H110" s="28" t="s">
        <v>70</v>
      </c>
      <c r="I110" s="22" t="s">
        <v>80</v>
      </c>
      <c r="J110" s="23" t="s">
        <v>6</v>
      </c>
      <c r="K110" s="24">
        <v>388</v>
      </c>
      <c r="L110" s="35" t="s">
        <v>222</v>
      </c>
      <c r="M110" s="49" t="s">
        <v>44</v>
      </c>
      <c r="N110" s="28" t="s">
        <v>70</v>
      </c>
      <c r="O110" s="22" t="s">
        <v>80</v>
      </c>
      <c r="P110" s="23" t="s">
        <v>6</v>
      </c>
      <c r="Q110" s="24">
        <v>478</v>
      </c>
      <c r="R110" s="35" t="s">
        <v>225</v>
      </c>
      <c r="S110" s="49" t="s">
        <v>44</v>
      </c>
      <c r="T110" s="28" t="s">
        <v>70</v>
      </c>
      <c r="U110" s="22" t="s">
        <v>80</v>
      </c>
      <c r="V110" s="23" t="s">
        <v>6</v>
      </c>
      <c r="W110" s="24">
        <v>496</v>
      </c>
      <c r="X110" s="35" t="s">
        <v>229</v>
      </c>
      <c r="Y110" s="49" t="s">
        <v>44</v>
      </c>
      <c r="Z110" s="28" t="s">
        <v>70</v>
      </c>
      <c r="AA110" s="22" t="s">
        <v>80</v>
      </c>
      <c r="AB110" s="23" t="s">
        <v>6</v>
      </c>
      <c r="AC110" s="24">
        <v>353</v>
      </c>
      <c r="AD110" s="35" t="s">
        <v>233</v>
      </c>
      <c r="AE110" s="49" t="s">
        <v>44</v>
      </c>
      <c r="AF110" s="28" t="s">
        <v>70</v>
      </c>
      <c r="AG110" s="22" t="s">
        <v>80</v>
      </c>
      <c r="AH110" s="23" t="s">
        <v>6</v>
      </c>
      <c r="AI110" s="24">
        <v>281</v>
      </c>
      <c r="AJ110" s="35" t="s">
        <v>238</v>
      </c>
      <c r="AK110" s="49" t="s">
        <v>44</v>
      </c>
      <c r="AL110" s="28" t="s">
        <v>70</v>
      </c>
      <c r="AM110" s="22" t="s">
        <v>80</v>
      </c>
      <c r="AN110" s="23" t="s">
        <v>6</v>
      </c>
      <c r="AO110" s="24">
        <v>412</v>
      </c>
      <c r="AP110" s="35" t="s">
        <v>242</v>
      </c>
      <c r="AQ110" s="49" t="s">
        <v>44</v>
      </c>
      <c r="AR110" s="28" t="s">
        <v>70</v>
      </c>
      <c r="AS110" s="22" t="s">
        <v>80</v>
      </c>
      <c r="AT110" s="23" t="s">
        <v>6</v>
      </c>
      <c r="AU110" s="24">
        <v>350</v>
      </c>
      <c r="AV110" s="35" t="s">
        <v>204</v>
      </c>
      <c r="AW110" s="49" t="s">
        <v>44</v>
      </c>
      <c r="AX110" s="28" t="s">
        <v>70</v>
      </c>
      <c r="AY110" s="22" t="s">
        <v>80</v>
      </c>
      <c r="AZ110" s="23" t="s">
        <v>6</v>
      </c>
      <c r="BA110" s="24">
        <v>271</v>
      </c>
      <c r="BB110" s="35" t="s">
        <v>254</v>
      </c>
      <c r="BC110" s="49" t="s">
        <v>44</v>
      </c>
      <c r="BD110" s="28" t="s">
        <v>70</v>
      </c>
      <c r="BE110" s="22" t="s">
        <v>80</v>
      </c>
      <c r="BF110" s="23" t="s">
        <v>6</v>
      </c>
      <c r="BG110" s="24">
        <v>187</v>
      </c>
      <c r="BH110" s="35" t="s">
        <v>258</v>
      </c>
      <c r="BI110" s="49" t="s">
        <v>44</v>
      </c>
      <c r="BJ110" s="28" t="s">
        <v>70</v>
      </c>
      <c r="BK110" s="22" t="s">
        <v>80</v>
      </c>
      <c r="BL110" s="23" t="s">
        <v>6</v>
      </c>
      <c r="BM110" s="27">
        <v>80.400000000000006</v>
      </c>
      <c r="BN110" s="35" t="s">
        <v>163</v>
      </c>
      <c r="BO110" s="49" t="s">
        <v>44</v>
      </c>
      <c r="BP110" s="28" t="s">
        <v>70</v>
      </c>
      <c r="BQ110" s="22" t="s">
        <v>80</v>
      </c>
      <c r="BR110" s="23" t="s">
        <v>6</v>
      </c>
      <c r="BS110" s="24">
        <v>132</v>
      </c>
      <c r="BT110" s="35" t="s">
        <v>88</v>
      </c>
    </row>
    <row r="111" spans="1:72" ht="12" customHeight="1" x14ac:dyDescent="0.15">
      <c r="A111" s="49" t="s">
        <v>44</v>
      </c>
      <c r="B111" s="28" t="s">
        <v>56</v>
      </c>
      <c r="C111" s="22" t="s">
        <v>81</v>
      </c>
      <c r="D111" s="23" t="s">
        <v>83</v>
      </c>
      <c r="E111" s="24">
        <v>34</v>
      </c>
      <c r="F111" s="21" t="s">
        <v>220</v>
      </c>
      <c r="G111" s="49" t="s">
        <v>44</v>
      </c>
      <c r="H111" s="28" t="s">
        <v>56</v>
      </c>
      <c r="I111" s="22" t="s">
        <v>81</v>
      </c>
      <c r="J111" s="23" t="s">
        <v>83</v>
      </c>
      <c r="K111" s="24">
        <v>31</v>
      </c>
      <c r="L111" s="21" t="s">
        <v>133</v>
      </c>
      <c r="M111" s="49" t="s">
        <v>44</v>
      </c>
      <c r="N111" s="28" t="s">
        <v>56</v>
      </c>
      <c r="O111" s="22" t="s">
        <v>81</v>
      </c>
      <c r="P111" s="23" t="s">
        <v>83</v>
      </c>
      <c r="Q111" s="24">
        <v>20</v>
      </c>
      <c r="R111" s="21" t="s">
        <v>226</v>
      </c>
      <c r="S111" s="49" t="s">
        <v>44</v>
      </c>
      <c r="T111" s="28" t="s">
        <v>56</v>
      </c>
      <c r="U111" s="22" t="s">
        <v>81</v>
      </c>
      <c r="V111" s="23" t="s">
        <v>83</v>
      </c>
      <c r="W111" s="24">
        <v>25</v>
      </c>
      <c r="X111" s="21" t="s">
        <v>190</v>
      </c>
      <c r="Y111" s="49" t="s">
        <v>44</v>
      </c>
      <c r="Z111" s="28" t="s">
        <v>56</v>
      </c>
      <c r="AA111" s="22" t="s">
        <v>81</v>
      </c>
      <c r="AB111" s="23" t="s">
        <v>83</v>
      </c>
      <c r="AC111" s="24">
        <v>19</v>
      </c>
      <c r="AD111" s="21" t="s">
        <v>99</v>
      </c>
      <c r="AE111" s="49" t="s">
        <v>44</v>
      </c>
      <c r="AF111" s="28" t="s">
        <v>56</v>
      </c>
      <c r="AG111" s="22" t="s">
        <v>81</v>
      </c>
      <c r="AH111" s="23" t="s">
        <v>83</v>
      </c>
      <c r="AI111" s="24">
        <v>16</v>
      </c>
      <c r="AJ111" s="21" t="s">
        <v>239</v>
      </c>
      <c r="AK111" s="49" t="s">
        <v>44</v>
      </c>
      <c r="AL111" s="28" t="s">
        <v>56</v>
      </c>
      <c r="AM111" s="22" t="s">
        <v>81</v>
      </c>
      <c r="AN111" s="23" t="s">
        <v>83</v>
      </c>
      <c r="AO111" s="23">
        <v>17</v>
      </c>
      <c r="AP111" s="21" t="s">
        <v>137</v>
      </c>
      <c r="AQ111" s="49" t="s">
        <v>44</v>
      </c>
      <c r="AR111" s="28" t="s">
        <v>56</v>
      </c>
      <c r="AS111" s="22" t="s">
        <v>81</v>
      </c>
      <c r="AT111" s="23" t="s">
        <v>83</v>
      </c>
      <c r="AU111" s="24">
        <v>15</v>
      </c>
      <c r="AV111" s="21" t="s">
        <v>250</v>
      </c>
      <c r="AW111" s="49" t="s">
        <v>44</v>
      </c>
      <c r="AX111" s="28" t="s">
        <v>56</v>
      </c>
      <c r="AY111" s="22" t="s">
        <v>81</v>
      </c>
      <c r="AZ111" s="23" t="s">
        <v>83</v>
      </c>
      <c r="BA111" s="24">
        <v>13</v>
      </c>
      <c r="BB111" s="21" t="s">
        <v>255</v>
      </c>
      <c r="BC111" s="49" t="s">
        <v>44</v>
      </c>
      <c r="BD111" s="28" t="s">
        <v>56</v>
      </c>
      <c r="BE111" s="22" t="s">
        <v>81</v>
      </c>
      <c r="BF111" s="23" t="s">
        <v>83</v>
      </c>
      <c r="BG111" s="23">
        <v>11</v>
      </c>
      <c r="BH111" s="21" t="s">
        <v>259</v>
      </c>
      <c r="BI111" s="49" t="s">
        <v>44</v>
      </c>
      <c r="BJ111" s="28" t="s">
        <v>56</v>
      </c>
      <c r="BK111" s="22" t="s">
        <v>81</v>
      </c>
      <c r="BL111" s="23" t="s">
        <v>83</v>
      </c>
      <c r="BM111" s="24">
        <v>13</v>
      </c>
      <c r="BN111" s="21" t="s">
        <v>263</v>
      </c>
      <c r="BO111" s="49" t="s">
        <v>44</v>
      </c>
      <c r="BP111" s="28" t="s">
        <v>56</v>
      </c>
      <c r="BQ111" s="22" t="s">
        <v>81</v>
      </c>
      <c r="BR111" s="23" t="s">
        <v>83</v>
      </c>
      <c r="BS111" s="24">
        <v>12</v>
      </c>
      <c r="BT111" s="21" t="s">
        <v>264</v>
      </c>
    </row>
    <row r="112" spans="1:72" ht="12" customHeight="1" x14ac:dyDescent="0.15">
      <c r="A112" s="49" t="s">
        <v>44</v>
      </c>
      <c r="B112" s="28" t="s">
        <v>56</v>
      </c>
      <c r="C112" s="22" t="s">
        <v>81</v>
      </c>
      <c r="D112" s="23" t="s">
        <v>84</v>
      </c>
      <c r="E112" s="24">
        <v>230</v>
      </c>
      <c r="F112" s="34" t="s">
        <v>220</v>
      </c>
      <c r="G112" s="49" t="s">
        <v>44</v>
      </c>
      <c r="H112" s="28" t="s">
        <v>56</v>
      </c>
      <c r="I112" s="22" t="s">
        <v>81</v>
      </c>
      <c r="J112" s="23" t="s">
        <v>84</v>
      </c>
      <c r="K112" s="24">
        <v>180</v>
      </c>
      <c r="L112" s="34" t="s">
        <v>133</v>
      </c>
      <c r="M112" s="49" t="s">
        <v>44</v>
      </c>
      <c r="N112" s="28" t="s">
        <v>56</v>
      </c>
      <c r="O112" s="22" t="s">
        <v>81</v>
      </c>
      <c r="P112" s="23" t="s">
        <v>84</v>
      </c>
      <c r="Q112" s="24">
        <v>160</v>
      </c>
      <c r="R112" s="34" t="s">
        <v>226</v>
      </c>
      <c r="S112" s="49" t="s">
        <v>44</v>
      </c>
      <c r="T112" s="28" t="s">
        <v>56</v>
      </c>
      <c r="U112" s="22" t="s">
        <v>81</v>
      </c>
      <c r="V112" s="23" t="s">
        <v>84</v>
      </c>
      <c r="W112" s="24">
        <v>170</v>
      </c>
      <c r="X112" s="34" t="s">
        <v>190</v>
      </c>
      <c r="Y112" s="49" t="s">
        <v>44</v>
      </c>
      <c r="Z112" s="28" t="s">
        <v>56</v>
      </c>
      <c r="AA112" s="22" t="s">
        <v>81</v>
      </c>
      <c r="AB112" s="23" t="s">
        <v>84</v>
      </c>
      <c r="AC112" s="24">
        <v>140</v>
      </c>
      <c r="AD112" s="34" t="s">
        <v>99</v>
      </c>
      <c r="AE112" s="49" t="s">
        <v>44</v>
      </c>
      <c r="AF112" s="28" t="s">
        <v>56</v>
      </c>
      <c r="AG112" s="22" t="s">
        <v>81</v>
      </c>
      <c r="AH112" s="23" t="s">
        <v>84</v>
      </c>
      <c r="AI112" s="24">
        <v>140</v>
      </c>
      <c r="AJ112" s="34" t="s">
        <v>239</v>
      </c>
      <c r="AK112" s="49" t="s">
        <v>44</v>
      </c>
      <c r="AL112" s="28" t="s">
        <v>56</v>
      </c>
      <c r="AM112" s="22" t="s">
        <v>81</v>
      </c>
      <c r="AN112" s="23" t="s">
        <v>84</v>
      </c>
      <c r="AO112" s="24">
        <v>140</v>
      </c>
      <c r="AP112" s="34" t="s">
        <v>137</v>
      </c>
      <c r="AQ112" s="49" t="s">
        <v>44</v>
      </c>
      <c r="AR112" s="28" t="s">
        <v>56</v>
      </c>
      <c r="AS112" s="22" t="s">
        <v>81</v>
      </c>
      <c r="AT112" s="23" t="s">
        <v>84</v>
      </c>
      <c r="AU112" s="24">
        <v>120</v>
      </c>
      <c r="AV112" s="34" t="s">
        <v>250</v>
      </c>
      <c r="AW112" s="49" t="s">
        <v>44</v>
      </c>
      <c r="AX112" s="28" t="s">
        <v>56</v>
      </c>
      <c r="AY112" s="22" t="s">
        <v>81</v>
      </c>
      <c r="AZ112" s="23" t="s">
        <v>84</v>
      </c>
      <c r="BA112" s="24">
        <v>110</v>
      </c>
      <c r="BB112" s="34" t="s">
        <v>255</v>
      </c>
      <c r="BC112" s="49" t="s">
        <v>44</v>
      </c>
      <c r="BD112" s="28" t="s">
        <v>56</v>
      </c>
      <c r="BE112" s="22" t="s">
        <v>81</v>
      </c>
      <c r="BF112" s="23" t="s">
        <v>84</v>
      </c>
      <c r="BG112" s="24">
        <v>110</v>
      </c>
      <c r="BH112" s="34" t="s">
        <v>259</v>
      </c>
      <c r="BI112" s="49" t="s">
        <v>44</v>
      </c>
      <c r="BJ112" s="28" t="s">
        <v>56</v>
      </c>
      <c r="BK112" s="22" t="s">
        <v>81</v>
      </c>
      <c r="BL112" s="23" t="s">
        <v>84</v>
      </c>
      <c r="BM112" s="24">
        <v>110</v>
      </c>
      <c r="BN112" s="34" t="s">
        <v>263</v>
      </c>
      <c r="BO112" s="49" t="s">
        <v>44</v>
      </c>
      <c r="BP112" s="28" t="s">
        <v>56</v>
      </c>
      <c r="BQ112" s="22" t="s">
        <v>81</v>
      </c>
      <c r="BR112" s="23" t="s">
        <v>84</v>
      </c>
      <c r="BS112" s="24">
        <v>120</v>
      </c>
      <c r="BT112" s="34" t="s">
        <v>264</v>
      </c>
    </row>
    <row r="113" spans="1:72" ht="12" customHeight="1" x14ac:dyDescent="0.15">
      <c r="A113" s="49" t="s">
        <v>44</v>
      </c>
      <c r="B113" s="28" t="s">
        <v>56</v>
      </c>
      <c r="C113" s="22" t="s">
        <v>81</v>
      </c>
      <c r="D113" s="23" t="s">
        <v>6</v>
      </c>
      <c r="E113" s="24">
        <v>264</v>
      </c>
      <c r="F113" s="35" t="s">
        <v>220</v>
      </c>
      <c r="G113" s="49" t="s">
        <v>44</v>
      </c>
      <c r="H113" s="28" t="s">
        <v>56</v>
      </c>
      <c r="I113" s="22" t="s">
        <v>81</v>
      </c>
      <c r="J113" s="23" t="s">
        <v>6</v>
      </c>
      <c r="K113" s="24">
        <v>211</v>
      </c>
      <c r="L113" s="35" t="s">
        <v>133</v>
      </c>
      <c r="M113" s="49" t="s">
        <v>44</v>
      </c>
      <c r="N113" s="28" t="s">
        <v>56</v>
      </c>
      <c r="O113" s="22" t="s">
        <v>81</v>
      </c>
      <c r="P113" s="23" t="s">
        <v>6</v>
      </c>
      <c r="Q113" s="24">
        <v>180</v>
      </c>
      <c r="R113" s="35" t="s">
        <v>226</v>
      </c>
      <c r="S113" s="49" t="s">
        <v>44</v>
      </c>
      <c r="T113" s="28" t="s">
        <v>56</v>
      </c>
      <c r="U113" s="22" t="s">
        <v>81</v>
      </c>
      <c r="V113" s="23" t="s">
        <v>6</v>
      </c>
      <c r="W113" s="24">
        <v>195</v>
      </c>
      <c r="X113" s="35" t="s">
        <v>190</v>
      </c>
      <c r="Y113" s="49" t="s">
        <v>44</v>
      </c>
      <c r="Z113" s="28" t="s">
        <v>56</v>
      </c>
      <c r="AA113" s="22" t="s">
        <v>81</v>
      </c>
      <c r="AB113" s="23" t="s">
        <v>6</v>
      </c>
      <c r="AC113" s="24">
        <v>159</v>
      </c>
      <c r="AD113" s="35" t="s">
        <v>99</v>
      </c>
      <c r="AE113" s="49" t="s">
        <v>44</v>
      </c>
      <c r="AF113" s="28" t="s">
        <v>56</v>
      </c>
      <c r="AG113" s="22" t="s">
        <v>81</v>
      </c>
      <c r="AH113" s="23" t="s">
        <v>6</v>
      </c>
      <c r="AI113" s="24">
        <v>156</v>
      </c>
      <c r="AJ113" s="35" t="s">
        <v>239</v>
      </c>
      <c r="AK113" s="49" t="s">
        <v>44</v>
      </c>
      <c r="AL113" s="28" t="s">
        <v>56</v>
      </c>
      <c r="AM113" s="22" t="s">
        <v>81</v>
      </c>
      <c r="AN113" s="23" t="s">
        <v>6</v>
      </c>
      <c r="AO113" s="24">
        <v>157</v>
      </c>
      <c r="AP113" s="35" t="s">
        <v>137</v>
      </c>
      <c r="AQ113" s="49" t="s">
        <v>44</v>
      </c>
      <c r="AR113" s="28" t="s">
        <v>56</v>
      </c>
      <c r="AS113" s="22" t="s">
        <v>81</v>
      </c>
      <c r="AT113" s="23" t="s">
        <v>6</v>
      </c>
      <c r="AU113" s="24">
        <v>135</v>
      </c>
      <c r="AV113" s="35" t="s">
        <v>250</v>
      </c>
      <c r="AW113" s="49" t="s">
        <v>44</v>
      </c>
      <c r="AX113" s="28" t="s">
        <v>56</v>
      </c>
      <c r="AY113" s="22" t="s">
        <v>81</v>
      </c>
      <c r="AZ113" s="23" t="s">
        <v>6</v>
      </c>
      <c r="BA113" s="24">
        <v>123</v>
      </c>
      <c r="BB113" s="35" t="s">
        <v>255</v>
      </c>
      <c r="BC113" s="49" t="s">
        <v>44</v>
      </c>
      <c r="BD113" s="28" t="s">
        <v>56</v>
      </c>
      <c r="BE113" s="22" t="s">
        <v>81</v>
      </c>
      <c r="BF113" s="23" t="s">
        <v>6</v>
      </c>
      <c r="BG113" s="24">
        <v>121</v>
      </c>
      <c r="BH113" s="35" t="s">
        <v>259</v>
      </c>
      <c r="BI113" s="49" t="s">
        <v>44</v>
      </c>
      <c r="BJ113" s="28" t="s">
        <v>56</v>
      </c>
      <c r="BK113" s="22" t="s">
        <v>81</v>
      </c>
      <c r="BL113" s="23" t="s">
        <v>6</v>
      </c>
      <c r="BM113" s="24">
        <v>123</v>
      </c>
      <c r="BN113" s="35" t="s">
        <v>263</v>
      </c>
      <c r="BO113" s="49" t="s">
        <v>44</v>
      </c>
      <c r="BP113" s="28" t="s">
        <v>56</v>
      </c>
      <c r="BQ113" s="22" t="s">
        <v>81</v>
      </c>
      <c r="BR113" s="23" t="s">
        <v>6</v>
      </c>
      <c r="BS113" s="24">
        <v>132</v>
      </c>
      <c r="BT113" s="35" t="s">
        <v>264</v>
      </c>
    </row>
    <row r="114" spans="1:72" ht="12" customHeight="1" x14ac:dyDescent="0.15">
      <c r="A114" s="49" t="s">
        <v>44</v>
      </c>
      <c r="B114" s="28" t="s">
        <v>86</v>
      </c>
      <c r="C114" s="22" t="s">
        <v>53</v>
      </c>
      <c r="D114" s="23" t="s">
        <v>83</v>
      </c>
      <c r="E114" s="27">
        <v>1.4</v>
      </c>
      <c r="F114" s="21" t="s">
        <v>220</v>
      </c>
      <c r="G114" s="49" t="s">
        <v>44</v>
      </c>
      <c r="H114" s="28" t="s">
        <v>86</v>
      </c>
      <c r="I114" s="22" t="s">
        <v>53</v>
      </c>
      <c r="J114" s="23" t="s">
        <v>83</v>
      </c>
      <c r="K114" s="27">
        <v>1.4</v>
      </c>
      <c r="L114" s="21" t="s">
        <v>133</v>
      </c>
      <c r="M114" s="49" t="s">
        <v>44</v>
      </c>
      <c r="N114" s="28" t="s">
        <v>86</v>
      </c>
      <c r="O114" s="22" t="s">
        <v>53</v>
      </c>
      <c r="P114" s="23" t="s">
        <v>83</v>
      </c>
      <c r="Q114" s="27">
        <v>0.79</v>
      </c>
      <c r="R114" s="21" t="s">
        <v>226</v>
      </c>
      <c r="S114" s="49" t="s">
        <v>44</v>
      </c>
      <c r="T114" s="28" t="s">
        <v>86</v>
      </c>
      <c r="U114" s="22" t="s">
        <v>53</v>
      </c>
      <c r="V114" s="23" t="s">
        <v>83</v>
      </c>
      <c r="W114" s="27">
        <v>1.2</v>
      </c>
      <c r="X114" s="21" t="s">
        <v>231</v>
      </c>
      <c r="Y114" s="49" t="s">
        <v>44</v>
      </c>
      <c r="Z114" s="28" t="s">
        <v>86</v>
      </c>
      <c r="AA114" s="22" t="s">
        <v>53</v>
      </c>
      <c r="AB114" s="23" t="s">
        <v>83</v>
      </c>
      <c r="AC114" s="27">
        <v>1.2</v>
      </c>
      <c r="AD114" s="21" t="s">
        <v>99</v>
      </c>
      <c r="AE114" s="49" t="s">
        <v>44</v>
      </c>
      <c r="AF114" s="28" t="s">
        <v>86</v>
      </c>
      <c r="AG114" s="22" t="s">
        <v>53</v>
      </c>
      <c r="AH114" s="23" t="s">
        <v>83</v>
      </c>
      <c r="AI114" s="27">
        <v>0.86</v>
      </c>
      <c r="AJ114" s="21" t="s">
        <v>239</v>
      </c>
      <c r="AK114" s="49" t="s">
        <v>44</v>
      </c>
      <c r="AL114" s="28" t="s">
        <v>86</v>
      </c>
      <c r="AM114" s="22" t="s">
        <v>53</v>
      </c>
      <c r="AN114" s="23" t="s">
        <v>83</v>
      </c>
      <c r="AO114" s="23" t="s">
        <v>195</v>
      </c>
      <c r="AP114" s="21" t="s">
        <v>137</v>
      </c>
      <c r="AQ114" s="49" t="s">
        <v>44</v>
      </c>
      <c r="AR114" s="28" t="s">
        <v>86</v>
      </c>
      <c r="AS114" s="22" t="s">
        <v>53</v>
      </c>
      <c r="AT114" s="23" t="s">
        <v>83</v>
      </c>
      <c r="AU114" s="27">
        <v>0.99</v>
      </c>
      <c r="AV114" s="21" t="s">
        <v>245</v>
      </c>
      <c r="AW114" s="49" t="s">
        <v>44</v>
      </c>
      <c r="AX114" s="28" t="s">
        <v>86</v>
      </c>
      <c r="AY114" s="22" t="s">
        <v>53</v>
      </c>
      <c r="AZ114" s="23" t="s">
        <v>83</v>
      </c>
      <c r="BA114" s="23" t="s">
        <v>195</v>
      </c>
      <c r="BB114" s="21" t="s">
        <v>117</v>
      </c>
      <c r="BC114" s="49" t="s">
        <v>44</v>
      </c>
      <c r="BD114" s="28" t="s">
        <v>86</v>
      </c>
      <c r="BE114" s="22" t="s">
        <v>53</v>
      </c>
      <c r="BF114" s="23" t="s">
        <v>83</v>
      </c>
      <c r="BG114" s="23" t="s">
        <v>195</v>
      </c>
      <c r="BH114" s="21" t="s">
        <v>259</v>
      </c>
      <c r="BI114" s="49" t="s">
        <v>44</v>
      </c>
      <c r="BJ114" s="28" t="s">
        <v>86</v>
      </c>
      <c r="BK114" s="22" t="s">
        <v>53</v>
      </c>
      <c r="BL114" s="23" t="s">
        <v>83</v>
      </c>
      <c r="BM114" s="23" t="s">
        <v>195</v>
      </c>
      <c r="BN114" s="21" t="s">
        <v>97</v>
      </c>
      <c r="BO114" s="49" t="s">
        <v>44</v>
      </c>
      <c r="BP114" s="28" t="s">
        <v>86</v>
      </c>
      <c r="BQ114" s="22" t="s">
        <v>53</v>
      </c>
      <c r="BR114" s="23" t="s">
        <v>83</v>
      </c>
      <c r="BS114" s="23" t="s">
        <v>195</v>
      </c>
      <c r="BT114" s="21" t="s">
        <v>264</v>
      </c>
    </row>
    <row r="115" spans="1:72" ht="12" customHeight="1" x14ac:dyDescent="0.15">
      <c r="A115" s="49" t="s">
        <v>44</v>
      </c>
      <c r="B115" s="28" t="s">
        <v>86</v>
      </c>
      <c r="C115" s="22" t="s">
        <v>53</v>
      </c>
      <c r="D115" s="23" t="s">
        <v>84</v>
      </c>
      <c r="E115" s="27">
        <v>9.6999999999999993</v>
      </c>
      <c r="F115" s="34" t="s">
        <v>220</v>
      </c>
      <c r="G115" s="49" t="s">
        <v>44</v>
      </c>
      <c r="H115" s="28" t="s">
        <v>86</v>
      </c>
      <c r="I115" s="22" t="s">
        <v>53</v>
      </c>
      <c r="J115" s="23" t="s">
        <v>84</v>
      </c>
      <c r="K115" s="24">
        <v>12</v>
      </c>
      <c r="L115" s="34" t="s">
        <v>133</v>
      </c>
      <c r="M115" s="49" t="s">
        <v>44</v>
      </c>
      <c r="N115" s="28" t="s">
        <v>86</v>
      </c>
      <c r="O115" s="22" t="s">
        <v>53</v>
      </c>
      <c r="P115" s="23" t="s">
        <v>84</v>
      </c>
      <c r="Q115" s="23">
        <v>7.9</v>
      </c>
      <c r="R115" s="34" t="s">
        <v>226</v>
      </c>
      <c r="S115" s="49" t="s">
        <v>44</v>
      </c>
      <c r="T115" s="28" t="s">
        <v>86</v>
      </c>
      <c r="U115" s="22" t="s">
        <v>53</v>
      </c>
      <c r="V115" s="23" t="s">
        <v>84</v>
      </c>
      <c r="W115" s="24">
        <v>14</v>
      </c>
      <c r="X115" s="34" t="s">
        <v>231</v>
      </c>
      <c r="Y115" s="49" t="s">
        <v>44</v>
      </c>
      <c r="Z115" s="28" t="s">
        <v>86</v>
      </c>
      <c r="AA115" s="22" t="s">
        <v>53</v>
      </c>
      <c r="AB115" s="23" t="s">
        <v>84</v>
      </c>
      <c r="AC115" s="26">
        <v>11</v>
      </c>
      <c r="AD115" s="34" t="s">
        <v>99</v>
      </c>
      <c r="AE115" s="49" t="s">
        <v>44</v>
      </c>
      <c r="AF115" s="28" t="s">
        <v>86</v>
      </c>
      <c r="AG115" s="22" t="s">
        <v>53</v>
      </c>
      <c r="AH115" s="23" t="s">
        <v>84</v>
      </c>
      <c r="AI115" s="23">
        <v>7.4</v>
      </c>
      <c r="AJ115" s="34" t="s">
        <v>239</v>
      </c>
      <c r="AK115" s="49" t="s">
        <v>44</v>
      </c>
      <c r="AL115" s="28" t="s">
        <v>86</v>
      </c>
      <c r="AM115" s="22" t="s">
        <v>53</v>
      </c>
      <c r="AN115" s="23" t="s">
        <v>84</v>
      </c>
      <c r="AO115" s="23">
        <v>7.2</v>
      </c>
      <c r="AP115" s="34" t="s">
        <v>137</v>
      </c>
      <c r="AQ115" s="49" t="s">
        <v>44</v>
      </c>
      <c r="AR115" s="28" t="s">
        <v>86</v>
      </c>
      <c r="AS115" s="22" t="s">
        <v>53</v>
      </c>
      <c r="AT115" s="23" t="s">
        <v>84</v>
      </c>
      <c r="AU115" s="23">
        <v>7.7</v>
      </c>
      <c r="AV115" s="34" t="s">
        <v>245</v>
      </c>
      <c r="AW115" s="49" t="s">
        <v>44</v>
      </c>
      <c r="AX115" s="28" t="s">
        <v>86</v>
      </c>
      <c r="AY115" s="22" t="s">
        <v>53</v>
      </c>
      <c r="AZ115" s="23" t="s">
        <v>84</v>
      </c>
      <c r="BA115" s="27">
        <v>6.2</v>
      </c>
      <c r="BB115" s="34" t="s">
        <v>117</v>
      </c>
      <c r="BC115" s="49" t="s">
        <v>44</v>
      </c>
      <c r="BD115" s="28" t="s">
        <v>86</v>
      </c>
      <c r="BE115" s="22" t="s">
        <v>53</v>
      </c>
      <c r="BF115" s="23" t="s">
        <v>84</v>
      </c>
      <c r="BG115" s="27">
        <v>6.6</v>
      </c>
      <c r="BH115" s="34" t="s">
        <v>259</v>
      </c>
      <c r="BI115" s="49" t="s">
        <v>44</v>
      </c>
      <c r="BJ115" s="28" t="s">
        <v>86</v>
      </c>
      <c r="BK115" s="22" t="s">
        <v>53</v>
      </c>
      <c r="BL115" s="23" t="s">
        <v>84</v>
      </c>
      <c r="BM115" s="23" t="s">
        <v>195</v>
      </c>
      <c r="BN115" s="34" t="s">
        <v>97</v>
      </c>
      <c r="BO115" s="49" t="s">
        <v>44</v>
      </c>
      <c r="BP115" s="28" t="s">
        <v>86</v>
      </c>
      <c r="BQ115" s="22" t="s">
        <v>53</v>
      </c>
      <c r="BR115" s="23" t="s">
        <v>84</v>
      </c>
      <c r="BS115" s="23" t="s">
        <v>195</v>
      </c>
      <c r="BT115" s="34" t="s">
        <v>264</v>
      </c>
    </row>
    <row r="116" spans="1:72" ht="12" customHeight="1" x14ac:dyDescent="0.15">
      <c r="A116" s="49" t="s">
        <v>44</v>
      </c>
      <c r="B116" s="28" t="s">
        <v>86</v>
      </c>
      <c r="C116" s="22" t="s">
        <v>53</v>
      </c>
      <c r="D116" s="23" t="s">
        <v>6</v>
      </c>
      <c r="E116" s="27">
        <v>11.1</v>
      </c>
      <c r="F116" s="35" t="s">
        <v>220</v>
      </c>
      <c r="G116" s="49" t="s">
        <v>44</v>
      </c>
      <c r="H116" s="28" t="s">
        <v>86</v>
      </c>
      <c r="I116" s="22" t="s">
        <v>53</v>
      </c>
      <c r="J116" s="23" t="s">
        <v>6</v>
      </c>
      <c r="K116" s="27">
        <v>13.4</v>
      </c>
      <c r="L116" s="35" t="s">
        <v>133</v>
      </c>
      <c r="M116" s="49" t="s">
        <v>44</v>
      </c>
      <c r="N116" s="28" t="s">
        <v>86</v>
      </c>
      <c r="O116" s="22" t="s">
        <v>53</v>
      </c>
      <c r="P116" s="23" t="s">
        <v>6</v>
      </c>
      <c r="Q116" s="27">
        <v>8.69</v>
      </c>
      <c r="R116" s="35" t="s">
        <v>226</v>
      </c>
      <c r="S116" s="49" t="s">
        <v>44</v>
      </c>
      <c r="T116" s="28" t="s">
        <v>86</v>
      </c>
      <c r="U116" s="22" t="s">
        <v>53</v>
      </c>
      <c r="V116" s="23" t="s">
        <v>6</v>
      </c>
      <c r="W116" s="27">
        <v>15.2</v>
      </c>
      <c r="X116" s="35" t="s">
        <v>231</v>
      </c>
      <c r="Y116" s="49" t="s">
        <v>44</v>
      </c>
      <c r="Z116" s="28" t="s">
        <v>86</v>
      </c>
      <c r="AA116" s="22" t="s">
        <v>53</v>
      </c>
      <c r="AB116" s="23" t="s">
        <v>6</v>
      </c>
      <c r="AC116" s="27">
        <v>12.2</v>
      </c>
      <c r="AD116" s="35" t="s">
        <v>99</v>
      </c>
      <c r="AE116" s="49" t="s">
        <v>44</v>
      </c>
      <c r="AF116" s="28" t="s">
        <v>86</v>
      </c>
      <c r="AG116" s="22" t="s">
        <v>53</v>
      </c>
      <c r="AH116" s="23" t="s">
        <v>6</v>
      </c>
      <c r="AI116" s="27">
        <v>8.26</v>
      </c>
      <c r="AJ116" s="35" t="s">
        <v>239</v>
      </c>
      <c r="AK116" s="49" t="s">
        <v>44</v>
      </c>
      <c r="AL116" s="28" t="s">
        <v>86</v>
      </c>
      <c r="AM116" s="22" t="s">
        <v>53</v>
      </c>
      <c r="AN116" s="23" t="s">
        <v>6</v>
      </c>
      <c r="AO116" s="23">
        <v>7.2</v>
      </c>
      <c r="AP116" s="35" t="s">
        <v>137</v>
      </c>
      <c r="AQ116" s="49" t="s">
        <v>44</v>
      </c>
      <c r="AR116" s="28" t="s">
        <v>86</v>
      </c>
      <c r="AS116" s="22" t="s">
        <v>53</v>
      </c>
      <c r="AT116" s="23" t="s">
        <v>6</v>
      </c>
      <c r="AU116" s="27">
        <v>8.69</v>
      </c>
      <c r="AV116" s="35" t="s">
        <v>245</v>
      </c>
      <c r="AW116" s="49" t="s">
        <v>44</v>
      </c>
      <c r="AX116" s="28" t="s">
        <v>86</v>
      </c>
      <c r="AY116" s="22" t="s">
        <v>53</v>
      </c>
      <c r="AZ116" s="23" t="s">
        <v>6</v>
      </c>
      <c r="BA116" s="27">
        <v>6.2</v>
      </c>
      <c r="BB116" s="35" t="s">
        <v>117</v>
      </c>
      <c r="BC116" s="49" t="s">
        <v>44</v>
      </c>
      <c r="BD116" s="28" t="s">
        <v>86</v>
      </c>
      <c r="BE116" s="22" t="s">
        <v>53</v>
      </c>
      <c r="BF116" s="23" t="s">
        <v>6</v>
      </c>
      <c r="BG116" s="27">
        <v>6.6</v>
      </c>
      <c r="BH116" s="35" t="s">
        <v>259</v>
      </c>
      <c r="BI116" s="49" t="s">
        <v>44</v>
      </c>
      <c r="BJ116" s="28" t="s">
        <v>86</v>
      </c>
      <c r="BK116" s="22" t="s">
        <v>53</v>
      </c>
      <c r="BL116" s="23" t="s">
        <v>6</v>
      </c>
      <c r="BM116" s="23" t="s">
        <v>195</v>
      </c>
      <c r="BN116" s="35" t="s">
        <v>97</v>
      </c>
      <c r="BO116" s="49" t="s">
        <v>44</v>
      </c>
      <c r="BP116" s="28" t="s">
        <v>86</v>
      </c>
      <c r="BQ116" s="22" t="s">
        <v>53</v>
      </c>
      <c r="BR116" s="23" t="s">
        <v>6</v>
      </c>
      <c r="BS116" s="23" t="s">
        <v>195</v>
      </c>
      <c r="BT116" s="35" t="s">
        <v>264</v>
      </c>
    </row>
    <row r="117" spans="1:72" ht="14.1" customHeight="1" x14ac:dyDescent="0.15">
      <c r="A117" s="49" t="s">
        <v>45</v>
      </c>
      <c r="B117" s="22" t="s">
        <v>70</v>
      </c>
      <c r="C117" s="22" t="s">
        <v>62</v>
      </c>
      <c r="D117" s="23" t="s">
        <v>83</v>
      </c>
      <c r="E117" s="37">
        <v>43</v>
      </c>
      <c r="F117" s="38" t="s">
        <v>221</v>
      </c>
      <c r="G117" s="49" t="s">
        <v>45</v>
      </c>
      <c r="H117" s="22" t="s">
        <v>70</v>
      </c>
      <c r="I117" s="22" t="s">
        <v>62</v>
      </c>
      <c r="J117" s="23" t="s">
        <v>83</v>
      </c>
      <c r="K117" s="37">
        <v>67</v>
      </c>
      <c r="L117" s="38" t="s">
        <v>223</v>
      </c>
      <c r="M117" s="49" t="s">
        <v>45</v>
      </c>
      <c r="N117" s="22" t="s">
        <v>70</v>
      </c>
      <c r="O117" s="22" t="s">
        <v>62</v>
      </c>
      <c r="P117" s="23" t="s">
        <v>83</v>
      </c>
      <c r="Q117" s="39">
        <v>4.3</v>
      </c>
      <c r="R117" s="38" t="s">
        <v>227</v>
      </c>
      <c r="S117" s="49" t="s">
        <v>45</v>
      </c>
      <c r="T117" s="22" t="s">
        <v>70</v>
      </c>
      <c r="U117" s="22" t="s">
        <v>62</v>
      </c>
      <c r="V117" s="23" t="s">
        <v>83</v>
      </c>
      <c r="W117" s="37">
        <v>45</v>
      </c>
      <c r="X117" s="38" t="s">
        <v>232</v>
      </c>
      <c r="Y117" s="49" t="s">
        <v>45</v>
      </c>
      <c r="Z117" s="22" t="s">
        <v>70</v>
      </c>
      <c r="AA117" s="22" t="s">
        <v>62</v>
      </c>
      <c r="AB117" s="23" t="s">
        <v>83</v>
      </c>
      <c r="AC117" s="37">
        <v>47</v>
      </c>
      <c r="AD117" s="38" t="s">
        <v>235</v>
      </c>
      <c r="AE117" s="49" t="s">
        <v>45</v>
      </c>
      <c r="AF117" s="22" t="s">
        <v>70</v>
      </c>
      <c r="AG117" s="22" t="s">
        <v>62</v>
      </c>
      <c r="AH117" s="23" t="s">
        <v>83</v>
      </c>
      <c r="AI117" s="37">
        <v>44</v>
      </c>
      <c r="AJ117" s="38" t="s">
        <v>240</v>
      </c>
      <c r="AK117" s="49" t="s">
        <v>45</v>
      </c>
      <c r="AL117" s="22" t="s">
        <v>70</v>
      </c>
      <c r="AM117" s="22" t="s">
        <v>62</v>
      </c>
      <c r="AN117" s="23" t="s">
        <v>83</v>
      </c>
      <c r="AO117" s="39">
        <v>4.2</v>
      </c>
      <c r="AP117" s="38" t="s">
        <v>137</v>
      </c>
      <c r="AQ117" s="49" t="s">
        <v>45</v>
      </c>
      <c r="AR117" s="22" t="s">
        <v>70</v>
      </c>
      <c r="AS117" s="22" t="s">
        <v>62</v>
      </c>
      <c r="AT117" s="23" t="s">
        <v>83</v>
      </c>
      <c r="AU117" s="37">
        <v>22</v>
      </c>
      <c r="AV117" s="38" t="s">
        <v>250</v>
      </c>
      <c r="AW117" s="49" t="s">
        <v>45</v>
      </c>
      <c r="AX117" s="22" t="s">
        <v>70</v>
      </c>
      <c r="AY117" s="22" t="s">
        <v>62</v>
      </c>
      <c r="AZ117" s="23" t="s">
        <v>83</v>
      </c>
      <c r="BA117" s="40" t="s">
        <v>195</v>
      </c>
      <c r="BB117" s="38" t="s">
        <v>256</v>
      </c>
      <c r="BC117" s="49" t="s">
        <v>45</v>
      </c>
      <c r="BD117" s="22" t="s">
        <v>70</v>
      </c>
      <c r="BE117" s="22" t="s">
        <v>62</v>
      </c>
      <c r="BF117" s="23" t="s">
        <v>83</v>
      </c>
      <c r="BG117" s="40" t="s">
        <v>195</v>
      </c>
      <c r="BH117" s="38" t="s">
        <v>152</v>
      </c>
      <c r="BI117" s="49" t="s">
        <v>45</v>
      </c>
      <c r="BJ117" s="22" t="s">
        <v>70</v>
      </c>
      <c r="BK117" s="22" t="s">
        <v>62</v>
      </c>
      <c r="BL117" s="23" t="s">
        <v>83</v>
      </c>
      <c r="BM117" s="40" t="s">
        <v>195</v>
      </c>
      <c r="BN117" s="213" t="s">
        <v>382</v>
      </c>
      <c r="BO117" s="49" t="s">
        <v>45</v>
      </c>
      <c r="BP117" s="22" t="s">
        <v>70</v>
      </c>
      <c r="BQ117" s="22" t="s">
        <v>62</v>
      </c>
      <c r="BR117" s="23" t="s">
        <v>83</v>
      </c>
      <c r="BS117" s="41">
        <v>1.5</v>
      </c>
      <c r="BT117" s="214" t="s">
        <v>386</v>
      </c>
    </row>
    <row r="118" spans="1:72" ht="12.95" customHeight="1" x14ac:dyDescent="0.15">
      <c r="A118" s="49" t="s">
        <v>45</v>
      </c>
      <c r="B118" s="22" t="s">
        <v>70</v>
      </c>
      <c r="C118" s="22" t="s">
        <v>62</v>
      </c>
      <c r="D118" s="23" t="s">
        <v>84</v>
      </c>
      <c r="E118" s="37">
        <v>37</v>
      </c>
      <c r="F118" s="42" t="s">
        <v>221</v>
      </c>
      <c r="G118" s="49" t="s">
        <v>45</v>
      </c>
      <c r="H118" s="22" t="s">
        <v>70</v>
      </c>
      <c r="I118" s="22" t="s">
        <v>62</v>
      </c>
      <c r="J118" s="23" t="s">
        <v>84</v>
      </c>
      <c r="K118" s="37">
        <v>61</v>
      </c>
      <c r="L118" s="42" t="s">
        <v>223</v>
      </c>
      <c r="M118" s="49" t="s">
        <v>45</v>
      </c>
      <c r="N118" s="22" t="s">
        <v>70</v>
      </c>
      <c r="O118" s="22" t="s">
        <v>62</v>
      </c>
      <c r="P118" s="23" t="s">
        <v>84</v>
      </c>
      <c r="Q118" s="37">
        <v>45</v>
      </c>
      <c r="R118" s="42" t="s">
        <v>227</v>
      </c>
      <c r="S118" s="49" t="s">
        <v>45</v>
      </c>
      <c r="T118" s="22" t="s">
        <v>70</v>
      </c>
      <c r="U118" s="22" t="s">
        <v>62</v>
      </c>
      <c r="V118" s="23" t="s">
        <v>84</v>
      </c>
      <c r="W118" s="37">
        <v>52</v>
      </c>
      <c r="X118" s="42" t="s">
        <v>232</v>
      </c>
      <c r="Y118" s="49" t="s">
        <v>45</v>
      </c>
      <c r="Z118" s="22" t="s">
        <v>70</v>
      </c>
      <c r="AA118" s="22" t="s">
        <v>62</v>
      </c>
      <c r="AB118" s="23" t="s">
        <v>84</v>
      </c>
      <c r="AC118" s="37">
        <v>45</v>
      </c>
      <c r="AD118" s="42" t="s">
        <v>235</v>
      </c>
      <c r="AE118" s="49" t="s">
        <v>45</v>
      </c>
      <c r="AF118" s="22" t="s">
        <v>70</v>
      </c>
      <c r="AG118" s="22" t="s">
        <v>62</v>
      </c>
      <c r="AH118" s="23" t="s">
        <v>84</v>
      </c>
      <c r="AI118" s="37">
        <v>39</v>
      </c>
      <c r="AJ118" s="42" t="s">
        <v>240</v>
      </c>
      <c r="AK118" s="49" t="s">
        <v>45</v>
      </c>
      <c r="AL118" s="22" t="s">
        <v>70</v>
      </c>
      <c r="AM118" s="22" t="s">
        <v>62</v>
      </c>
      <c r="AN118" s="23" t="s">
        <v>84</v>
      </c>
      <c r="AO118" s="37">
        <v>42</v>
      </c>
      <c r="AP118" s="42" t="s">
        <v>137</v>
      </c>
      <c r="AQ118" s="49" t="s">
        <v>45</v>
      </c>
      <c r="AR118" s="22" t="s">
        <v>70</v>
      </c>
      <c r="AS118" s="22" t="s">
        <v>62</v>
      </c>
      <c r="AT118" s="23" t="s">
        <v>84</v>
      </c>
      <c r="AU118" s="37">
        <v>230</v>
      </c>
      <c r="AV118" s="42" t="s">
        <v>250</v>
      </c>
      <c r="AW118" s="49" t="s">
        <v>45</v>
      </c>
      <c r="AX118" s="22" t="s">
        <v>70</v>
      </c>
      <c r="AY118" s="22" t="s">
        <v>62</v>
      </c>
      <c r="AZ118" s="23" t="s">
        <v>84</v>
      </c>
      <c r="BA118" s="37">
        <v>18</v>
      </c>
      <c r="BB118" s="42" t="s">
        <v>256</v>
      </c>
      <c r="BC118" s="49" t="s">
        <v>45</v>
      </c>
      <c r="BD118" s="22" t="s">
        <v>70</v>
      </c>
      <c r="BE118" s="22" t="s">
        <v>62</v>
      </c>
      <c r="BF118" s="23" t="s">
        <v>84</v>
      </c>
      <c r="BG118" s="37">
        <v>14</v>
      </c>
      <c r="BH118" s="42" t="s">
        <v>152</v>
      </c>
      <c r="BI118" s="49" t="s">
        <v>45</v>
      </c>
      <c r="BJ118" s="22" t="s">
        <v>70</v>
      </c>
      <c r="BK118" s="22" t="s">
        <v>62</v>
      </c>
      <c r="BL118" s="23" t="s">
        <v>84</v>
      </c>
      <c r="BM118" s="37">
        <v>14</v>
      </c>
      <c r="BN118" s="213" t="s">
        <v>382</v>
      </c>
      <c r="BO118" s="49" t="s">
        <v>45</v>
      </c>
      <c r="BP118" s="22" t="s">
        <v>70</v>
      </c>
      <c r="BQ118" s="22" t="s">
        <v>62</v>
      </c>
      <c r="BR118" s="23" t="s">
        <v>84</v>
      </c>
      <c r="BS118" s="41">
        <v>16</v>
      </c>
      <c r="BT118" s="214" t="s">
        <v>386</v>
      </c>
    </row>
    <row r="119" spans="1:72" ht="12.95" customHeight="1" x14ac:dyDescent="0.15">
      <c r="A119" s="49" t="s">
        <v>45</v>
      </c>
      <c r="B119" s="22" t="s">
        <v>70</v>
      </c>
      <c r="C119" s="22" t="s">
        <v>62</v>
      </c>
      <c r="D119" s="23" t="s">
        <v>6</v>
      </c>
      <c r="E119" s="39">
        <v>41.3</v>
      </c>
      <c r="F119" s="43" t="s">
        <v>221</v>
      </c>
      <c r="G119" s="49" t="s">
        <v>45</v>
      </c>
      <c r="H119" s="22" t="s">
        <v>70</v>
      </c>
      <c r="I119" s="22" t="s">
        <v>62</v>
      </c>
      <c r="J119" s="23" t="s">
        <v>6</v>
      </c>
      <c r="K119" s="39">
        <v>67.7</v>
      </c>
      <c r="L119" s="43" t="s">
        <v>223</v>
      </c>
      <c r="M119" s="49" t="s">
        <v>45</v>
      </c>
      <c r="N119" s="22" t="s">
        <v>70</v>
      </c>
      <c r="O119" s="22" t="s">
        <v>62</v>
      </c>
      <c r="P119" s="23" t="s">
        <v>6</v>
      </c>
      <c r="Q119" s="39">
        <v>49.3</v>
      </c>
      <c r="R119" s="43" t="s">
        <v>227</v>
      </c>
      <c r="S119" s="49" t="s">
        <v>45</v>
      </c>
      <c r="T119" s="22" t="s">
        <v>70</v>
      </c>
      <c r="U119" s="22" t="s">
        <v>62</v>
      </c>
      <c r="V119" s="23" t="s">
        <v>6</v>
      </c>
      <c r="W119" s="39">
        <v>56.5</v>
      </c>
      <c r="X119" s="43" t="s">
        <v>232</v>
      </c>
      <c r="Y119" s="49" t="s">
        <v>45</v>
      </c>
      <c r="Z119" s="22" t="s">
        <v>70</v>
      </c>
      <c r="AA119" s="22" t="s">
        <v>62</v>
      </c>
      <c r="AB119" s="23" t="s">
        <v>6</v>
      </c>
      <c r="AC119" s="39">
        <v>49.7</v>
      </c>
      <c r="AD119" s="43" t="s">
        <v>235</v>
      </c>
      <c r="AE119" s="49" t="s">
        <v>45</v>
      </c>
      <c r="AF119" s="22" t="s">
        <v>70</v>
      </c>
      <c r="AG119" s="22" t="s">
        <v>62</v>
      </c>
      <c r="AH119" s="23" t="s">
        <v>6</v>
      </c>
      <c r="AI119" s="39">
        <v>43.4</v>
      </c>
      <c r="AJ119" s="43" t="s">
        <v>240</v>
      </c>
      <c r="AK119" s="49" t="s">
        <v>45</v>
      </c>
      <c r="AL119" s="22" t="s">
        <v>70</v>
      </c>
      <c r="AM119" s="22" t="s">
        <v>62</v>
      </c>
      <c r="AN119" s="23" t="s">
        <v>6</v>
      </c>
      <c r="AO119" s="39">
        <v>46.2</v>
      </c>
      <c r="AP119" s="43" t="s">
        <v>137</v>
      </c>
      <c r="AQ119" s="49" t="s">
        <v>45</v>
      </c>
      <c r="AR119" s="22" t="s">
        <v>70</v>
      </c>
      <c r="AS119" s="22" t="s">
        <v>62</v>
      </c>
      <c r="AT119" s="23" t="s">
        <v>6</v>
      </c>
      <c r="AU119" s="37">
        <v>252</v>
      </c>
      <c r="AV119" s="43" t="s">
        <v>250</v>
      </c>
      <c r="AW119" s="49" t="s">
        <v>45</v>
      </c>
      <c r="AX119" s="22" t="s">
        <v>70</v>
      </c>
      <c r="AY119" s="22" t="s">
        <v>62</v>
      </c>
      <c r="AZ119" s="23" t="s">
        <v>6</v>
      </c>
      <c r="BA119" s="37">
        <v>18</v>
      </c>
      <c r="BB119" s="43" t="s">
        <v>256</v>
      </c>
      <c r="BC119" s="49" t="s">
        <v>45</v>
      </c>
      <c r="BD119" s="22" t="s">
        <v>70</v>
      </c>
      <c r="BE119" s="22" t="s">
        <v>62</v>
      </c>
      <c r="BF119" s="23" t="s">
        <v>6</v>
      </c>
      <c r="BG119" s="37">
        <v>14</v>
      </c>
      <c r="BH119" s="43" t="s">
        <v>152</v>
      </c>
      <c r="BI119" s="49" t="s">
        <v>45</v>
      </c>
      <c r="BJ119" s="22" t="s">
        <v>70</v>
      </c>
      <c r="BK119" s="22" t="s">
        <v>62</v>
      </c>
      <c r="BL119" s="23" t="s">
        <v>6</v>
      </c>
      <c r="BM119" s="37">
        <v>14</v>
      </c>
      <c r="BN119" s="213" t="s">
        <v>382</v>
      </c>
      <c r="BO119" s="49" t="s">
        <v>45</v>
      </c>
      <c r="BP119" s="22" t="s">
        <v>70</v>
      </c>
      <c r="BQ119" s="22" t="s">
        <v>62</v>
      </c>
      <c r="BR119" s="23" t="s">
        <v>6</v>
      </c>
      <c r="BS119" s="41">
        <v>17.5</v>
      </c>
      <c r="BT119" s="214" t="s">
        <v>386</v>
      </c>
    </row>
    <row r="120" spans="1:72" ht="12.95" customHeight="1" x14ac:dyDescent="0.15">
      <c r="A120" s="49" t="s">
        <v>45</v>
      </c>
      <c r="B120" s="22" t="s">
        <v>70</v>
      </c>
      <c r="C120" s="22" t="s">
        <v>80</v>
      </c>
      <c r="D120" s="23" t="s">
        <v>83</v>
      </c>
      <c r="E120" s="37">
        <v>29</v>
      </c>
      <c r="F120" s="38" t="s">
        <v>221</v>
      </c>
      <c r="G120" s="49" t="s">
        <v>45</v>
      </c>
      <c r="H120" s="22" t="s">
        <v>70</v>
      </c>
      <c r="I120" s="22" t="s">
        <v>80</v>
      </c>
      <c r="J120" s="23" t="s">
        <v>83</v>
      </c>
      <c r="K120" s="37">
        <v>37</v>
      </c>
      <c r="L120" s="38" t="s">
        <v>223</v>
      </c>
      <c r="M120" s="49" t="s">
        <v>45</v>
      </c>
      <c r="N120" s="22" t="s">
        <v>70</v>
      </c>
      <c r="O120" s="22" t="s">
        <v>80</v>
      </c>
      <c r="P120" s="23" t="s">
        <v>83</v>
      </c>
      <c r="Q120" s="37">
        <v>29</v>
      </c>
      <c r="R120" s="38" t="s">
        <v>227</v>
      </c>
      <c r="S120" s="49" t="s">
        <v>45</v>
      </c>
      <c r="T120" s="22" t="s">
        <v>70</v>
      </c>
      <c r="U120" s="22" t="s">
        <v>80</v>
      </c>
      <c r="V120" s="23" t="s">
        <v>83</v>
      </c>
      <c r="W120" s="37">
        <v>30</v>
      </c>
      <c r="X120" s="38" t="s">
        <v>232</v>
      </c>
      <c r="Y120" s="49" t="s">
        <v>45</v>
      </c>
      <c r="Z120" s="22" t="s">
        <v>70</v>
      </c>
      <c r="AA120" s="22" t="s">
        <v>80</v>
      </c>
      <c r="AB120" s="23" t="s">
        <v>83</v>
      </c>
      <c r="AC120" s="37">
        <v>29</v>
      </c>
      <c r="AD120" s="38" t="s">
        <v>235</v>
      </c>
      <c r="AE120" s="49" t="s">
        <v>45</v>
      </c>
      <c r="AF120" s="22" t="s">
        <v>70</v>
      </c>
      <c r="AG120" s="22" t="s">
        <v>80</v>
      </c>
      <c r="AH120" s="23" t="s">
        <v>83</v>
      </c>
      <c r="AI120" s="37">
        <v>26</v>
      </c>
      <c r="AJ120" s="38" t="s">
        <v>240</v>
      </c>
      <c r="AK120" s="49" t="s">
        <v>45</v>
      </c>
      <c r="AL120" s="22" t="s">
        <v>70</v>
      </c>
      <c r="AM120" s="22" t="s">
        <v>80</v>
      </c>
      <c r="AN120" s="23" t="s">
        <v>83</v>
      </c>
      <c r="AO120" s="37">
        <v>25</v>
      </c>
      <c r="AP120" s="38" t="s">
        <v>137</v>
      </c>
      <c r="AQ120" s="49" t="s">
        <v>45</v>
      </c>
      <c r="AR120" s="22" t="s">
        <v>70</v>
      </c>
      <c r="AS120" s="22" t="s">
        <v>80</v>
      </c>
      <c r="AT120" s="23" t="s">
        <v>83</v>
      </c>
      <c r="AU120" s="39">
        <v>3.9</v>
      </c>
      <c r="AV120" s="38" t="s">
        <v>250</v>
      </c>
      <c r="AW120" s="49" t="s">
        <v>45</v>
      </c>
      <c r="AX120" s="22" t="s">
        <v>70</v>
      </c>
      <c r="AY120" s="22" t="s">
        <v>80</v>
      </c>
      <c r="AZ120" s="23" t="s">
        <v>83</v>
      </c>
      <c r="BA120" s="37">
        <v>11</v>
      </c>
      <c r="BB120" s="38" t="s">
        <v>256</v>
      </c>
      <c r="BC120" s="49" t="s">
        <v>45</v>
      </c>
      <c r="BD120" s="22" t="s">
        <v>70</v>
      </c>
      <c r="BE120" s="22" t="s">
        <v>80</v>
      </c>
      <c r="BF120" s="23" t="s">
        <v>83</v>
      </c>
      <c r="BG120" s="39">
        <v>8.3000000000000007</v>
      </c>
      <c r="BH120" s="38" t="s">
        <v>152</v>
      </c>
      <c r="BI120" s="49" t="s">
        <v>45</v>
      </c>
      <c r="BJ120" s="22" t="s">
        <v>70</v>
      </c>
      <c r="BK120" s="22" t="s">
        <v>80</v>
      </c>
      <c r="BL120" s="23" t="s">
        <v>83</v>
      </c>
      <c r="BM120" s="41">
        <v>8.5</v>
      </c>
      <c r="BN120" s="213" t="s">
        <v>383</v>
      </c>
      <c r="BO120" s="49" t="s">
        <v>45</v>
      </c>
      <c r="BP120" s="22" t="s">
        <v>70</v>
      </c>
      <c r="BQ120" s="22" t="s">
        <v>80</v>
      </c>
      <c r="BR120" s="23" t="s">
        <v>83</v>
      </c>
      <c r="BS120" s="41">
        <v>13</v>
      </c>
      <c r="BT120" s="214" t="s">
        <v>386</v>
      </c>
    </row>
    <row r="121" spans="1:72" ht="12.95" customHeight="1" x14ac:dyDescent="0.15">
      <c r="A121" s="49" t="s">
        <v>45</v>
      </c>
      <c r="B121" s="22" t="s">
        <v>70</v>
      </c>
      <c r="C121" s="22" t="s">
        <v>80</v>
      </c>
      <c r="D121" s="23" t="s">
        <v>84</v>
      </c>
      <c r="E121" s="37">
        <v>290</v>
      </c>
      <c r="F121" s="42" t="s">
        <v>221</v>
      </c>
      <c r="G121" s="49" t="s">
        <v>45</v>
      </c>
      <c r="H121" s="22" t="s">
        <v>70</v>
      </c>
      <c r="I121" s="22" t="s">
        <v>80</v>
      </c>
      <c r="J121" s="23" t="s">
        <v>84</v>
      </c>
      <c r="K121" s="37">
        <v>370</v>
      </c>
      <c r="L121" s="42" t="s">
        <v>223</v>
      </c>
      <c r="M121" s="49" t="s">
        <v>45</v>
      </c>
      <c r="N121" s="22" t="s">
        <v>70</v>
      </c>
      <c r="O121" s="22" t="s">
        <v>80</v>
      </c>
      <c r="P121" s="23" t="s">
        <v>84</v>
      </c>
      <c r="Q121" s="37">
        <v>270</v>
      </c>
      <c r="R121" s="42" t="s">
        <v>227</v>
      </c>
      <c r="S121" s="49" t="s">
        <v>45</v>
      </c>
      <c r="T121" s="22" t="s">
        <v>70</v>
      </c>
      <c r="U121" s="22" t="s">
        <v>80</v>
      </c>
      <c r="V121" s="23" t="s">
        <v>84</v>
      </c>
      <c r="W121" s="37">
        <v>310</v>
      </c>
      <c r="X121" s="42" t="s">
        <v>232</v>
      </c>
      <c r="Y121" s="49" t="s">
        <v>45</v>
      </c>
      <c r="Z121" s="22" t="s">
        <v>70</v>
      </c>
      <c r="AA121" s="22" t="s">
        <v>80</v>
      </c>
      <c r="AB121" s="23" t="s">
        <v>84</v>
      </c>
      <c r="AC121" s="37">
        <v>310</v>
      </c>
      <c r="AD121" s="42" t="s">
        <v>235</v>
      </c>
      <c r="AE121" s="49" t="s">
        <v>45</v>
      </c>
      <c r="AF121" s="22" t="s">
        <v>70</v>
      </c>
      <c r="AG121" s="22" t="s">
        <v>80</v>
      </c>
      <c r="AH121" s="23" t="s">
        <v>84</v>
      </c>
      <c r="AI121" s="37">
        <v>260</v>
      </c>
      <c r="AJ121" s="42" t="s">
        <v>240</v>
      </c>
      <c r="AK121" s="49" t="s">
        <v>45</v>
      </c>
      <c r="AL121" s="22" t="s">
        <v>70</v>
      </c>
      <c r="AM121" s="22" t="s">
        <v>80</v>
      </c>
      <c r="AN121" s="23" t="s">
        <v>84</v>
      </c>
      <c r="AO121" s="37">
        <v>270</v>
      </c>
      <c r="AP121" s="42" t="s">
        <v>137</v>
      </c>
      <c r="AQ121" s="49" t="s">
        <v>45</v>
      </c>
      <c r="AR121" s="22" t="s">
        <v>70</v>
      </c>
      <c r="AS121" s="22" t="s">
        <v>80</v>
      </c>
      <c r="AT121" s="23" t="s">
        <v>84</v>
      </c>
      <c r="AU121" s="37">
        <v>39</v>
      </c>
      <c r="AV121" s="42" t="s">
        <v>250</v>
      </c>
      <c r="AW121" s="49" t="s">
        <v>45</v>
      </c>
      <c r="AX121" s="22" t="s">
        <v>70</v>
      </c>
      <c r="AY121" s="22" t="s">
        <v>80</v>
      </c>
      <c r="AZ121" s="23" t="s">
        <v>84</v>
      </c>
      <c r="BA121" s="37">
        <v>130</v>
      </c>
      <c r="BB121" s="42" t="s">
        <v>256</v>
      </c>
      <c r="BC121" s="49" t="s">
        <v>45</v>
      </c>
      <c r="BD121" s="22" t="s">
        <v>70</v>
      </c>
      <c r="BE121" s="22" t="s">
        <v>80</v>
      </c>
      <c r="BF121" s="23" t="s">
        <v>84</v>
      </c>
      <c r="BG121" s="37">
        <v>98</v>
      </c>
      <c r="BH121" s="42" t="s">
        <v>152</v>
      </c>
      <c r="BI121" s="49" t="s">
        <v>45</v>
      </c>
      <c r="BJ121" s="22" t="s">
        <v>70</v>
      </c>
      <c r="BK121" s="22" t="s">
        <v>80</v>
      </c>
      <c r="BL121" s="23" t="s">
        <v>84</v>
      </c>
      <c r="BM121" s="41">
        <v>96</v>
      </c>
      <c r="BN121" s="213" t="s">
        <v>383</v>
      </c>
      <c r="BO121" s="49" t="s">
        <v>45</v>
      </c>
      <c r="BP121" s="22" t="s">
        <v>70</v>
      </c>
      <c r="BQ121" s="22" t="s">
        <v>80</v>
      </c>
      <c r="BR121" s="23" t="s">
        <v>84</v>
      </c>
      <c r="BS121" s="41">
        <v>130</v>
      </c>
      <c r="BT121" s="214" t="s">
        <v>386</v>
      </c>
    </row>
    <row r="122" spans="1:72" ht="12.95" customHeight="1" x14ac:dyDescent="0.15">
      <c r="A122" s="49" t="s">
        <v>45</v>
      </c>
      <c r="B122" s="22" t="s">
        <v>70</v>
      </c>
      <c r="C122" s="22" t="s">
        <v>80</v>
      </c>
      <c r="D122" s="23" t="s">
        <v>6</v>
      </c>
      <c r="E122" s="37">
        <v>319</v>
      </c>
      <c r="F122" s="43" t="s">
        <v>221</v>
      </c>
      <c r="G122" s="49" t="s">
        <v>45</v>
      </c>
      <c r="H122" s="22" t="s">
        <v>70</v>
      </c>
      <c r="I122" s="22" t="s">
        <v>80</v>
      </c>
      <c r="J122" s="23" t="s">
        <v>6</v>
      </c>
      <c r="K122" s="37">
        <v>407</v>
      </c>
      <c r="L122" s="43" t="s">
        <v>223</v>
      </c>
      <c r="M122" s="49" t="s">
        <v>45</v>
      </c>
      <c r="N122" s="22" t="s">
        <v>70</v>
      </c>
      <c r="O122" s="22" t="s">
        <v>80</v>
      </c>
      <c r="P122" s="23" t="s">
        <v>6</v>
      </c>
      <c r="Q122" s="37">
        <v>299</v>
      </c>
      <c r="R122" s="43" t="s">
        <v>227</v>
      </c>
      <c r="S122" s="49" t="s">
        <v>45</v>
      </c>
      <c r="T122" s="22" t="s">
        <v>70</v>
      </c>
      <c r="U122" s="22" t="s">
        <v>80</v>
      </c>
      <c r="V122" s="23" t="s">
        <v>6</v>
      </c>
      <c r="W122" s="37">
        <v>340</v>
      </c>
      <c r="X122" s="43" t="s">
        <v>232</v>
      </c>
      <c r="Y122" s="49" t="s">
        <v>45</v>
      </c>
      <c r="Z122" s="22" t="s">
        <v>70</v>
      </c>
      <c r="AA122" s="22" t="s">
        <v>80</v>
      </c>
      <c r="AB122" s="23" t="s">
        <v>6</v>
      </c>
      <c r="AC122" s="37">
        <v>339</v>
      </c>
      <c r="AD122" s="43" t="s">
        <v>235</v>
      </c>
      <c r="AE122" s="49" t="s">
        <v>45</v>
      </c>
      <c r="AF122" s="22" t="s">
        <v>70</v>
      </c>
      <c r="AG122" s="22" t="s">
        <v>80</v>
      </c>
      <c r="AH122" s="23" t="s">
        <v>6</v>
      </c>
      <c r="AI122" s="37">
        <v>286</v>
      </c>
      <c r="AJ122" s="43" t="s">
        <v>240</v>
      </c>
      <c r="AK122" s="49" t="s">
        <v>45</v>
      </c>
      <c r="AL122" s="22" t="s">
        <v>70</v>
      </c>
      <c r="AM122" s="22" t="s">
        <v>80</v>
      </c>
      <c r="AN122" s="23" t="s">
        <v>6</v>
      </c>
      <c r="AO122" s="37">
        <v>295</v>
      </c>
      <c r="AP122" s="43" t="s">
        <v>137</v>
      </c>
      <c r="AQ122" s="49" t="s">
        <v>45</v>
      </c>
      <c r="AR122" s="22" t="s">
        <v>70</v>
      </c>
      <c r="AS122" s="22" t="s">
        <v>80</v>
      </c>
      <c r="AT122" s="23" t="s">
        <v>6</v>
      </c>
      <c r="AU122" s="39">
        <v>42.9</v>
      </c>
      <c r="AV122" s="43" t="s">
        <v>250</v>
      </c>
      <c r="AW122" s="49" t="s">
        <v>45</v>
      </c>
      <c r="AX122" s="22" t="s">
        <v>70</v>
      </c>
      <c r="AY122" s="22" t="s">
        <v>80</v>
      </c>
      <c r="AZ122" s="23" t="s">
        <v>6</v>
      </c>
      <c r="BA122" s="37">
        <v>141</v>
      </c>
      <c r="BB122" s="43" t="s">
        <v>256</v>
      </c>
      <c r="BC122" s="49" t="s">
        <v>45</v>
      </c>
      <c r="BD122" s="22" t="s">
        <v>70</v>
      </c>
      <c r="BE122" s="22" t="s">
        <v>80</v>
      </c>
      <c r="BF122" s="23" t="s">
        <v>6</v>
      </c>
      <c r="BG122" s="39">
        <v>106.3</v>
      </c>
      <c r="BH122" s="43" t="s">
        <v>152</v>
      </c>
      <c r="BI122" s="49" t="s">
        <v>45</v>
      </c>
      <c r="BJ122" s="22" t="s">
        <v>70</v>
      </c>
      <c r="BK122" s="22" t="s">
        <v>80</v>
      </c>
      <c r="BL122" s="23" t="s">
        <v>6</v>
      </c>
      <c r="BM122" s="41">
        <v>104.5</v>
      </c>
      <c r="BN122" s="213" t="s">
        <v>383</v>
      </c>
      <c r="BO122" s="49" t="s">
        <v>45</v>
      </c>
      <c r="BP122" s="22" t="s">
        <v>70</v>
      </c>
      <c r="BQ122" s="22" t="s">
        <v>80</v>
      </c>
      <c r="BR122" s="23" t="s">
        <v>6</v>
      </c>
      <c r="BS122" s="41">
        <v>143</v>
      </c>
      <c r="BT122" s="214" t="s">
        <v>386</v>
      </c>
    </row>
    <row r="123" spans="1:72" ht="12.95" customHeight="1" x14ac:dyDescent="0.15">
      <c r="A123" s="49" t="s">
        <v>45</v>
      </c>
      <c r="B123" s="22" t="s">
        <v>56</v>
      </c>
      <c r="C123" s="22" t="s">
        <v>81</v>
      </c>
      <c r="D123" s="23" t="s">
        <v>83</v>
      </c>
      <c r="E123" s="37">
        <v>15</v>
      </c>
      <c r="F123" s="38" t="s">
        <v>89</v>
      </c>
      <c r="G123" s="49" t="s">
        <v>45</v>
      </c>
      <c r="H123" s="22" t="s">
        <v>56</v>
      </c>
      <c r="I123" s="22" t="s">
        <v>81</v>
      </c>
      <c r="J123" s="23" t="s">
        <v>83</v>
      </c>
      <c r="K123" s="37">
        <v>11</v>
      </c>
      <c r="L123" s="38" t="s">
        <v>90</v>
      </c>
      <c r="M123" s="49" t="s">
        <v>45</v>
      </c>
      <c r="N123" s="22" t="s">
        <v>56</v>
      </c>
      <c r="O123" s="22" t="s">
        <v>81</v>
      </c>
      <c r="P123" s="23" t="s">
        <v>83</v>
      </c>
      <c r="Q123" s="37">
        <v>10</v>
      </c>
      <c r="R123" s="38" t="s">
        <v>228</v>
      </c>
      <c r="S123" s="49" t="s">
        <v>45</v>
      </c>
      <c r="T123" s="22" t="s">
        <v>56</v>
      </c>
      <c r="U123" s="22" t="s">
        <v>81</v>
      </c>
      <c r="V123" s="23" t="s">
        <v>83</v>
      </c>
      <c r="W123" s="37">
        <v>9</v>
      </c>
      <c r="X123" s="38" t="s">
        <v>189</v>
      </c>
      <c r="Y123" s="49" t="s">
        <v>45</v>
      </c>
      <c r="Z123" s="22" t="s">
        <v>56</v>
      </c>
      <c r="AA123" s="22" t="s">
        <v>81</v>
      </c>
      <c r="AB123" s="23" t="s">
        <v>83</v>
      </c>
      <c r="AC123" s="37">
        <v>13</v>
      </c>
      <c r="AD123" s="38" t="s">
        <v>236</v>
      </c>
      <c r="AE123" s="49" t="s">
        <v>45</v>
      </c>
      <c r="AF123" s="22" t="s">
        <v>56</v>
      </c>
      <c r="AG123" s="22" t="s">
        <v>81</v>
      </c>
      <c r="AH123" s="23" t="s">
        <v>83</v>
      </c>
      <c r="AI123" s="37">
        <v>15</v>
      </c>
      <c r="AJ123" s="38" t="s">
        <v>114</v>
      </c>
      <c r="AK123" s="49" t="s">
        <v>45</v>
      </c>
      <c r="AL123" s="22" t="s">
        <v>56</v>
      </c>
      <c r="AM123" s="22" t="s">
        <v>81</v>
      </c>
      <c r="AN123" s="23" t="s">
        <v>83</v>
      </c>
      <c r="AO123" s="39">
        <v>8.4</v>
      </c>
      <c r="AP123" s="38" t="s">
        <v>144</v>
      </c>
      <c r="AQ123" s="49" t="s">
        <v>45</v>
      </c>
      <c r="AR123" s="22" t="s">
        <v>56</v>
      </c>
      <c r="AS123" s="22" t="s">
        <v>81</v>
      </c>
      <c r="AT123" s="23" t="s">
        <v>83</v>
      </c>
      <c r="AU123" s="37">
        <v>10</v>
      </c>
      <c r="AV123" s="38" t="s">
        <v>251</v>
      </c>
      <c r="AW123" s="49" t="s">
        <v>45</v>
      </c>
      <c r="AX123" s="22" t="s">
        <v>56</v>
      </c>
      <c r="AY123" s="22" t="s">
        <v>81</v>
      </c>
      <c r="AZ123" s="23" t="s">
        <v>83</v>
      </c>
      <c r="BA123" s="39">
        <v>8.3000000000000007</v>
      </c>
      <c r="BB123" s="38" t="s">
        <v>128</v>
      </c>
      <c r="BC123" s="49" t="s">
        <v>45</v>
      </c>
      <c r="BD123" s="22" t="s">
        <v>56</v>
      </c>
      <c r="BE123" s="22" t="s">
        <v>81</v>
      </c>
      <c r="BF123" s="23" t="s">
        <v>83</v>
      </c>
      <c r="BG123" s="44">
        <v>6.8</v>
      </c>
      <c r="BH123" s="38" t="s">
        <v>260</v>
      </c>
      <c r="BI123" s="49" t="s">
        <v>45</v>
      </c>
      <c r="BJ123" s="22" t="s">
        <v>56</v>
      </c>
      <c r="BK123" s="22" t="s">
        <v>81</v>
      </c>
      <c r="BL123" s="23" t="s">
        <v>83</v>
      </c>
      <c r="BM123" s="41">
        <v>8.4</v>
      </c>
      <c r="BN123" s="213" t="s">
        <v>384</v>
      </c>
      <c r="BO123" s="49" t="s">
        <v>45</v>
      </c>
      <c r="BP123" s="22" t="s">
        <v>56</v>
      </c>
      <c r="BQ123" s="22" t="s">
        <v>81</v>
      </c>
      <c r="BR123" s="23" t="s">
        <v>83</v>
      </c>
      <c r="BS123" s="41">
        <v>4.8</v>
      </c>
      <c r="BT123" s="214" t="s">
        <v>386</v>
      </c>
    </row>
    <row r="124" spans="1:72" ht="12.95" customHeight="1" x14ac:dyDescent="0.15">
      <c r="A124" s="49" t="s">
        <v>45</v>
      </c>
      <c r="B124" s="22" t="s">
        <v>56</v>
      </c>
      <c r="C124" s="22" t="s">
        <v>81</v>
      </c>
      <c r="D124" s="23" t="s">
        <v>84</v>
      </c>
      <c r="E124" s="37">
        <v>150</v>
      </c>
      <c r="F124" s="42" t="s">
        <v>89</v>
      </c>
      <c r="G124" s="49" t="s">
        <v>45</v>
      </c>
      <c r="H124" s="22" t="s">
        <v>56</v>
      </c>
      <c r="I124" s="22" t="s">
        <v>81</v>
      </c>
      <c r="J124" s="23" t="s">
        <v>84</v>
      </c>
      <c r="K124" s="37">
        <v>100</v>
      </c>
      <c r="L124" s="42" t="s">
        <v>90</v>
      </c>
      <c r="M124" s="49" t="s">
        <v>45</v>
      </c>
      <c r="N124" s="22" t="s">
        <v>56</v>
      </c>
      <c r="O124" s="22" t="s">
        <v>81</v>
      </c>
      <c r="P124" s="23" t="s">
        <v>84</v>
      </c>
      <c r="Q124" s="37">
        <v>100</v>
      </c>
      <c r="R124" s="42" t="s">
        <v>228</v>
      </c>
      <c r="S124" s="49" t="s">
        <v>45</v>
      </c>
      <c r="T124" s="22" t="s">
        <v>56</v>
      </c>
      <c r="U124" s="22" t="s">
        <v>81</v>
      </c>
      <c r="V124" s="23" t="s">
        <v>84</v>
      </c>
      <c r="W124" s="37">
        <v>96</v>
      </c>
      <c r="X124" s="42" t="s">
        <v>189</v>
      </c>
      <c r="Y124" s="49" t="s">
        <v>45</v>
      </c>
      <c r="Z124" s="22" t="s">
        <v>56</v>
      </c>
      <c r="AA124" s="22" t="s">
        <v>81</v>
      </c>
      <c r="AB124" s="23" t="s">
        <v>84</v>
      </c>
      <c r="AC124" s="37">
        <v>140</v>
      </c>
      <c r="AD124" s="42" t="s">
        <v>236</v>
      </c>
      <c r="AE124" s="49" t="s">
        <v>45</v>
      </c>
      <c r="AF124" s="22" t="s">
        <v>56</v>
      </c>
      <c r="AG124" s="22" t="s">
        <v>81</v>
      </c>
      <c r="AH124" s="23" t="s">
        <v>84</v>
      </c>
      <c r="AI124" s="37">
        <v>170</v>
      </c>
      <c r="AJ124" s="42" t="s">
        <v>114</v>
      </c>
      <c r="AK124" s="49" t="s">
        <v>45</v>
      </c>
      <c r="AL124" s="22" t="s">
        <v>56</v>
      </c>
      <c r="AM124" s="22" t="s">
        <v>81</v>
      </c>
      <c r="AN124" s="23" t="s">
        <v>84</v>
      </c>
      <c r="AO124" s="37">
        <v>100</v>
      </c>
      <c r="AP124" s="42" t="s">
        <v>144</v>
      </c>
      <c r="AQ124" s="49" t="s">
        <v>45</v>
      </c>
      <c r="AR124" s="22" t="s">
        <v>56</v>
      </c>
      <c r="AS124" s="22" t="s">
        <v>81</v>
      </c>
      <c r="AT124" s="23" t="s">
        <v>84</v>
      </c>
      <c r="AU124" s="37">
        <v>120</v>
      </c>
      <c r="AV124" s="42" t="s">
        <v>251</v>
      </c>
      <c r="AW124" s="49" t="s">
        <v>45</v>
      </c>
      <c r="AX124" s="22" t="s">
        <v>56</v>
      </c>
      <c r="AY124" s="22" t="s">
        <v>81</v>
      </c>
      <c r="AZ124" s="23" t="s">
        <v>84</v>
      </c>
      <c r="BA124" s="37">
        <v>100</v>
      </c>
      <c r="BB124" s="42" t="s">
        <v>128</v>
      </c>
      <c r="BC124" s="49" t="s">
        <v>45</v>
      </c>
      <c r="BD124" s="22" t="s">
        <v>56</v>
      </c>
      <c r="BE124" s="22" t="s">
        <v>81</v>
      </c>
      <c r="BF124" s="23" t="s">
        <v>84</v>
      </c>
      <c r="BG124" s="37">
        <v>90</v>
      </c>
      <c r="BH124" s="42" t="s">
        <v>260</v>
      </c>
      <c r="BI124" s="49" t="s">
        <v>45</v>
      </c>
      <c r="BJ124" s="22" t="s">
        <v>56</v>
      </c>
      <c r="BK124" s="22" t="s">
        <v>81</v>
      </c>
      <c r="BL124" s="23" t="s">
        <v>84</v>
      </c>
      <c r="BM124" s="41">
        <v>87</v>
      </c>
      <c r="BN124" s="213" t="s">
        <v>384</v>
      </c>
      <c r="BO124" s="49" t="s">
        <v>45</v>
      </c>
      <c r="BP124" s="22" t="s">
        <v>56</v>
      </c>
      <c r="BQ124" s="22" t="s">
        <v>81</v>
      </c>
      <c r="BR124" s="23" t="s">
        <v>84</v>
      </c>
      <c r="BS124" s="41">
        <v>67</v>
      </c>
      <c r="BT124" s="214" t="s">
        <v>386</v>
      </c>
    </row>
    <row r="125" spans="1:72" ht="12.95" customHeight="1" x14ac:dyDescent="0.15">
      <c r="A125" s="49" t="s">
        <v>45</v>
      </c>
      <c r="B125" s="22" t="s">
        <v>56</v>
      </c>
      <c r="C125" s="22" t="s">
        <v>81</v>
      </c>
      <c r="D125" s="23" t="s">
        <v>6</v>
      </c>
      <c r="E125" s="37">
        <v>165</v>
      </c>
      <c r="F125" s="43" t="s">
        <v>89</v>
      </c>
      <c r="G125" s="49" t="s">
        <v>45</v>
      </c>
      <c r="H125" s="22" t="s">
        <v>56</v>
      </c>
      <c r="I125" s="22" t="s">
        <v>81</v>
      </c>
      <c r="J125" s="23" t="s">
        <v>6</v>
      </c>
      <c r="K125" s="44">
        <v>111</v>
      </c>
      <c r="L125" s="43" t="s">
        <v>90</v>
      </c>
      <c r="M125" s="49" t="s">
        <v>45</v>
      </c>
      <c r="N125" s="22" t="s">
        <v>56</v>
      </c>
      <c r="O125" s="22" t="s">
        <v>81</v>
      </c>
      <c r="P125" s="23" t="s">
        <v>6</v>
      </c>
      <c r="Q125" s="37">
        <v>110</v>
      </c>
      <c r="R125" s="43" t="s">
        <v>228</v>
      </c>
      <c r="S125" s="49" t="s">
        <v>45</v>
      </c>
      <c r="T125" s="22" t="s">
        <v>56</v>
      </c>
      <c r="U125" s="22" t="s">
        <v>81</v>
      </c>
      <c r="V125" s="23" t="s">
        <v>6</v>
      </c>
      <c r="W125" s="45">
        <v>104.6</v>
      </c>
      <c r="X125" s="43" t="s">
        <v>189</v>
      </c>
      <c r="Y125" s="49" t="s">
        <v>45</v>
      </c>
      <c r="Z125" s="22" t="s">
        <v>56</v>
      </c>
      <c r="AA125" s="22" t="s">
        <v>81</v>
      </c>
      <c r="AB125" s="23" t="s">
        <v>6</v>
      </c>
      <c r="AC125" s="37">
        <v>153</v>
      </c>
      <c r="AD125" s="43" t="s">
        <v>236</v>
      </c>
      <c r="AE125" s="49" t="s">
        <v>45</v>
      </c>
      <c r="AF125" s="22" t="s">
        <v>56</v>
      </c>
      <c r="AG125" s="22" t="s">
        <v>81</v>
      </c>
      <c r="AH125" s="23" t="s">
        <v>6</v>
      </c>
      <c r="AI125" s="37">
        <v>185</v>
      </c>
      <c r="AJ125" s="43" t="s">
        <v>114</v>
      </c>
      <c r="AK125" s="49" t="s">
        <v>45</v>
      </c>
      <c r="AL125" s="22" t="s">
        <v>56</v>
      </c>
      <c r="AM125" s="22" t="s">
        <v>81</v>
      </c>
      <c r="AN125" s="23" t="s">
        <v>6</v>
      </c>
      <c r="AO125" s="39">
        <v>108.4</v>
      </c>
      <c r="AP125" s="43" t="s">
        <v>144</v>
      </c>
      <c r="AQ125" s="49" t="s">
        <v>45</v>
      </c>
      <c r="AR125" s="22" t="s">
        <v>56</v>
      </c>
      <c r="AS125" s="22" t="s">
        <v>81</v>
      </c>
      <c r="AT125" s="23" t="s">
        <v>6</v>
      </c>
      <c r="AU125" s="37">
        <v>130</v>
      </c>
      <c r="AV125" s="43" t="s">
        <v>251</v>
      </c>
      <c r="AW125" s="49" t="s">
        <v>45</v>
      </c>
      <c r="AX125" s="22" t="s">
        <v>56</v>
      </c>
      <c r="AY125" s="22" t="s">
        <v>81</v>
      </c>
      <c r="AZ125" s="23" t="s">
        <v>6</v>
      </c>
      <c r="BA125" s="39">
        <v>108.3</v>
      </c>
      <c r="BB125" s="43" t="s">
        <v>128</v>
      </c>
      <c r="BC125" s="49" t="s">
        <v>45</v>
      </c>
      <c r="BD125" s="22" t="s">
        <v>56</v>
      </c>
      <c r="BE125" s="22" t="s">
        <v>81</v>
      </c>
      <c r="BF125" s="23" t="s">
        <v>6</v>
      </c>
      <c r="BG125" s="39">
        <v>96.8</v>
      </c>
      <c r="BH125" s="43" t="s">
        <v>260</v>
      </c>
      <c r="BI125" s="49" t="s">
        <v>45</v>
      </c>
      <c r="BJ125" s="22" t="s">
        <v>56</v>
      </c>
      <c r="BK125" s="22" t="s">
        <v>81</v>
      </c>
      <c r="BL125" s="23" t="s">
        <v>6</v>
      </c>
      <c r="BM125" s="41">
        <v>95.4</v>
      </c>
      <c r="BN125" s="213" t="s">
        <v>384</v>
      </c>
      <c r="BO125" s="49" t="s">
        <v>45</v>
      </c>
      <c r="BP125" s="22" t="s">
        <v>56</v>
      </c>
      <c r="BQ125" s="22" t="s">
        <v>81</v>
      </c>
      <c r="BR125" s="23" t="s">
        <v>6</v>
      </c>
      <c r="BS125" s="41">
        <v>71.8</v>
      </c>
      <c r="BT125" s="214" t="s">
        <v>386</v>
      </c>
    </row>
    <row r="126" spans="1:72" ht="12.95" customHeight="1" x14ac:dyDescent="0.15">
      <c r="A126" s="49" t="s">
        <v>45</v>
      </c>
      <c r="B126" s="22" t="s">
        <v>86</v>
      </c>
      <c r="C126" s="22" t="s">
        <v>53</v>
      </c>
      <c r="D126" s="23" t="s">
        <v>83</v>
      </c>
      <c r="E126" s="40" t="s">
        <v>195</v>
      </c>
      <c r="F126" s="38" t="s">
        <v>89</v>
      </c>
      <c r="G126" s="49" t="s">
        <v>45</v>
      </c>
      <c r="H126" s="22" t="s">
        <v>86</v>
      </c>
      <c r="I126" s="22" t="s">
        <v>53</v>
      </c>
      <c r="J126" s="23" t="s">
        <v>83</v>
      </c>
      <c r="K126" s="40" t="s">
        <v>195</v>
      </c>
      <c r="L126" s="38" t="s">
        <v>90</v>
      </c>
      <c r="M126" s="49" t="s">
        <v>45</v>
      </c>
      <c r="N126" s="22" t="s">
        <v>86</v>
      </c>
      <c r="O126" s="22" t="s">
        <v>53</v>
      </c>
      <c r="P126" s="23" t="s">
        <v>83</v>
      </c>
      <c r="Q126" s="40" t="s">
        <v>195</v>
      </c>
      <c r="R126" s="38" t="s">
        <v>228</v>
      </c>
      <c r="S126" s="49" t="s">
        <v>45</v>
      </c>
      <c r="T126" s="22" t="s">
        <v>86</v>
      </c>
      <c r="U126" s="22" t="s">
        <v>53</v>
      </c>
      <c r="V126" s="23" t="s">
        <v>83</v>
      </c>
      <c r="W126" s="40" t="s">
        <v>195</v>
      </c>
      <c r="X126" s="38" t="s">
        <v>186</v>
      </c>
      <c r="Y126" s="49" t="s">
        <v>45</v>
      </c>
      <c r="Z126" s="22" t="s">
        <v>86</v>
      </c>
      <c r="AA126" s="22" t="s">
        <v>53</v>
      </c>
      <c r="AB126" s="23" t="s">
        <v>83</v>
      </c>
      <c r="AC126" s="40" t="s">
        <v>195</v>
      </c>
      <c r="AD126" s="38" t="s">
        <v>236</v>
      </c>
      <c r="AE126" s="49" t="s">
        <v>45</v>
      </c>
      <c r="AF126" s="22" t="s">
        <v>86</v>
      </c>
      <c r="AG126" s="22" t="s">
        <v>53</v>
      </c>
      <c r="AH126" s="23" t="s">
        <v>83</v>
      </c>
      <c r="AI126" s="40" t="s">
        <v>195</v>
      </c>
      <c r="AJ126" s="38" t="s">
        <v>114</v>
      </c>
      <c r="AK126" s="49" t="s">
        <v>45</v>
      </c>
      <c r="AL126" s="22" t="s">
        <v>86</v>
      </c>
      <c r="AM126" s="22" t="s">
        <v>53</v>
      </c>
      <c r="AN126" s="23" t="s">
        <v>83</v>
      </c>
      <c r="AO126" s="40" t="s">
        <v>195</v>
      </c>
      <c r="AP126" s="38" t="s">
        <v>144</v>
      </c>
      <c r="AQ126" s="49" t="s">
        <v>45</v>
      </c>
      <c r="AR126" s="22" t="s">
        <v>86</v>
      </c>
      <c r="AS126" s="22" t="s">
        <v>53</v>
      </c>
      <c r="AT126" s="23" t="s">
        <v>83</v>
      </c>
      <c r="AU126" s="40" t="s">
        <v>195</v>
      </c>
      <c r="AV126" s="38" t="s">
        <v>212</v>
      </c>
      <c r="AW126" s="49" t="s">
        <v>45</v>
      </c>
      <c r="AX126" s="22" t="s">
        <v>86</v>
      </c>
      <c r="AY126" s="22" t="s">
        <v>53</v>
      </c>
      <c r="AZ126" s="23" t="s">
        <v>83</v>
      </c>
      <c r="BA126" s="40" t="s">
        <v>195</v>
      </c>
      <c r="BB126" s="38" t="s">
        <v>128</v>
      </c>
      <c r="BC126" s="49" t="s">
        <v>45</v>
      </c>
      <c r="BD126" s="22" t="s">
        <v>86</v>
      </c>
      <c r="BE126" s="22" t="s">
        <v>53</v>
      </c>
      <c r="BF126" s="23" t="s">
        <v>83</v>
      </c>
      <c r="BG126" s="40" t="s">
        <v>195</v>
      </c>
      <c r="BH126" s="38" t="s">
        <v>260</v>
      </c>
      <c r="BI126" s="49" t="s">
        <v>45</v>
      </c>
      <c r="BJ126" s="22" t="s">
        <v>86</v>
      </c>
      <c r="BK126" s="22" t="s">
        <v>53</v>
      </c>
      <c r="BL126" s="23" t="s">
        <v>83</v>
      </c>
      <c r="BM126" s="41" t="s">
        <v>381</v>
      </c>
      <c r="BN126" s="213" t="s">
        <v>385</v>
      </c>
      <c r="BO126" s="49" t="s">
        <v>45</v>
      </c>
      <c r="BP126" s="22" t="s">
        <v>86</v>
      </c>
      <c r="BQ126" s="22" t="s">
        <v>53</v>
      </c>
      <c r="BR126" s="23" t="s">
        <v>83</v>
      </c>
      <c r="BS126" s="41" t="s">
        <v>387</v>
      </c>
      <c r="BT126" s="214" t="s">
        <v>386</v>
      </c>
    </row>
    <row r="127" spans="1:72" ht="12.95" customHeight="1" x14ac:dyDescent="0.15">
      <c r="A127" s="49" t="s">
        <v>45</v>
      </c>
      <c r="B127" s="22" t="s">
        <v>86</v>
      </c>
      <c r="C127" s="22" t="s">
        <v>53</v>
      </c>
      <c r="D127" s="23" t="s">
        <v>84</v>
      </c>
      <c r="E127" s="40">
        <v>7</v>
      </c>
      <c r="F127" s="42" t="s">
        <v>89</v>
      </c>
      <c r="G127" s="49" t="s">
        <v>45</v>
      </c>
      <c r="H127" s="22" t="s">
        <v>86</v>
      </c>
      <c r="I127" s="22" t="s">
        <v>53</v>
      </c>
      <c r="J127" s="23" t="s">
        <v>84</v>
      </c>
      <c r="K127" s="40">
        <v>7.6</v>
      </c>
      <c r="L127" s="42" t="s">
        <v>90</v>
      </c>
      <c r="M127" s="49" t="s">
        <v>45</v>
      </c>
      <c r="N127" s="22" t="s">
        <v>86</v>
      </c>
      <c r="O127" s="22" t="s">
        <v>53</v>
      </c>
      <c r="P127" s="23" t="s">
        <v>84</v>
      </c>
      <c r="Q127" s="39">
        <v>8.1999999999999993</v>
      </c>
      <c r="R127" s="42" t="s">
        <v>228</v>
      </c>
      <c r="S127" s="49" t="s">
        <v>45</v>
      </c>
      <c r="T127" s="22" t="s">
        <v>86</v>
      </c>
      <c r="U127" s="22" t="s">
        <v>53</v>
      </c>
      <c r="V127" s="23" t="s">
        <v>84</v>
      </c>
      <c r="W127" s="37">
        <v>8</v>
      </c>
      <c r="X127" s="42" t="s">
        <v>186</v>
      </c>
      <c r="Y127" s="49" t="s">
        <v>45</v>
      </c>
      <c r="Z127" s="22" t="s">
        <v>86</v>
      </c>
      <c r="AA127" s="22" t="s">
        <v>53</v>
      </c>
      <c r="AB127" s="23" t="s">
        <v>84</v>
      </c>
      <c r="AC127" s="37">
        <v>64</v>
      </c>
      <c r="AD127" s="42" t="s">
        <v>236</v>
      </c>
      <c r="AE127" s="49" t="s">
        <v>45</v>
      </c>
      <c r="AF127" s="22" t="s">
        <v>86</v>
      </c>
      <c r="AG127" s="22" t="s">
        <v>53</v>
      </c>
      <c r="AH127" s="23" t="s">
        <v>84</v>
      </c>
      <c r="AI127" s="37">
        <v>55</v>
      </c>
      <c r="AJ127" s="42" t="s">
        <v>114</v>
      </c>
      <c r="AK127" s="49" t="s">
        <v>45</v>
      </c>
      <c r="AL127" s="22" t="s">
        <v>86</v>
      </c>
      <c r="AM127" s="22" t="s">
        <v>53</v>
      </c>
      <c r="AN127" s="23" t="s">
        <v>84</v>
      </c>
      <c r="AO127" s="39">
        <v>3.5</v>
      </c>
      <c r="AP127" s="42" t="s">
        <v>144</v>
      </c>
      <c r="AQ127" s="49" t="s">
        <v>45</v>
      </c>
      <c r="AR127" s="22" t="s">
        <v>86</v>
      </c>
      <c r="AS127" s="22" t="s">
        <v>53</v>
      </c>
      <c r="AT127" s="23" t="s">
        <v>84</v>
      </c>
      <c r="AU127" s="40" t="s">
        <v>195</v>
      </c>
      <c r="AV127" s="42" t="s">
        <v>212</v>
      </c>
      <c r="AW127" s="49" t="s">
        <v>45</v>
      </c>
      <c r="AX127" s="22" t="s">
        <v>86</v>
      </c>
      <c r="AY127" s="22" t="s">
        <v>53</v>
      </c>
      <c r="AZ127" s="23" t="s">
        <v>84</v>
      </c>
      <c r="BA127" s="37">
        <v>57</v>
      </c>
      <c r="BB127" s="42" t="s">
        <v>128</v>
      </c>
      <c r="BC127" s="49" t="s">
        <v>45</v>
      </c>
      <c r="BD127" s="22" t="s">
        <v>86</v>
      </c>
      <c r="BE127" s="22" t="s">
        <v>53</v>
      </c>
      <c r="BF127" s="23" t="s">
        <v>84</v>
      </c>
      <c r="BG127" s="40">
        <v>7.3</v>
      </c>
      <c r="BH127" s="42" t="s">
        <v>260</v>
      </c>
      <c r="BI127" s="49" t="s">
        <v>45</v>
      </c>
      <c r="BJ127" s="22" t="s">
        <v>86</v>
      </c>
      <c r="BK127" s="22" t="s">
        <v>53</v>
      </c>
      <c r="BL127" s="23" t="s">
        <v>84</v>
      </c>
      <c r="BM127" s="41">
        <v>6.4</v>
      </c>
      <c r="BN127" s="213" t="s">
        <v>385</v>
      </c>
      <c r="BO127" s="49" t="s">
        <v>45</v>
      </c>
      <c r="BP127" s="22" t="s">
        <v>86</v>
      </c>
      <c r="BQ127" s="22" t="s">
        <v>53</v>
      </c>
      <c r="BR127" s="23" t="s">
        <v>84</v>
      </c>
      <c r="BS127" s="41">
        <v>7.1</v>
      </c>
      <c r="BT127" s="214" t="s">
        <v>386</v>
      </c>
    </row>
    <row r="128" spans="1:72" ht="12.95" customHeight="1" x14ac:dyDescent="0.15">
      <c r="A128" s="49" t="s">
        <v>45</v>
      </c>
      <c r="B128" s="22" t="s">
        <v>86</v>
      </c>
      <c r="C128" s="22" t="s">
        <v>53</v>
      </c>
      <c r="D128" s="23" t="s">
        <v>6</v>
      </c>
      <c r="E128" s="40">
        <v>7</v>
      </c>
      <c r="F128" s="43" t="s">
        <v>89</v>
      </c>
      <c r="G128" s="49" t="s">
        <v>45</v>
      </c>
      <c r="H128" s="22" t="s">
        <v>86</v>
      </c>
      <c r="I128" s="22" t="s">
        <v>53</v>
      </c>
      <c r="J128" s="23" t="s">
        <v>6</v>
      </c>
      <c r="K128" s="40">
        <v>7.6</v>
      </c>
      <c r="L128" s="43" t="s">
        <v>90</v>
      </c>
      <c r="M128" s="49" t="s">
        <v>45</v>
      </c>
      <c r="N128" s="22" t="s">
        <v>86</v>
      </c>
      <c r="O128" s="22" t="s">
        <v>53</v>
      </c>
      <c r="P128" s="23" t="s">
        <v>6</v>
      </c>
      <c r="Q128" s="39">
        <v>8.1999999999999993</v>
      </c>
      <c r="R128" s="43" t="s">
        <v>228</v>
      </c>
      <c r="S128" s="49" t="s">
        <v>45</v>
      </c>
      <c r="T128" s="22" t="s">
        <v>86</v>
      </c>
      <c r="U128" s="22" t="s">
        <v>53</v>
      </c>
      <c r="V128" s="23" t="s">
        <v>6</v>
      </c>
      <c r="W128" s="37">
        <v>8</v>
      </c>
      <c r="X128" s="43" t="s">
        <v>186</v>
      </c>
      <c r="Y128" s="49" t="s">
        <v>45</v>
      </c>
      <c r="Z128" s="22" t="s">
        <v>86</v>
      </c>
      <c r="AA128" s="22" t="s">
        <v>53</v>
      </c>
      <c r="AB128" s="23" t="s">
        <v>6</v>
      </c>
      <c r="AC128" s="39">
        <v>6.4</v>
      </c>
      <c r="AD128" s="43" t="s">
        <v>236</v>
      </c>
      <c r="AE128" s="49" t="s">
        <v>45</v>
      </c>
      <c r="AF128" s="22" t="s">
        <v>86</v>
      </c>
      <c r="AG128" s="22" t="s">
        <v>53</v>
      </c>
      <c r="AH128" s="23" t="s">
        <v>6</v>
      </c>
      <c r="AI128" s="39">
        <v>5.5</v>
      </c>
      <c r="AJ128" s="43" t="s">
        <v>114</v>
      </c>
      <c r="AK128" s="49" t="s">
        <v>45</v>
      </c>
      <c r="AL128" s="22" t="s">
        <v>86</v>
      </c>
      <c r="AM128" s="22" t="s">
        <v>53</v>
      </c>
      <c r="AN128" s="23" t="s">
        <v>6</v>
      </c>
      <c r="AO128" s="39">
        <v>3.5</v>
      </c>
      <c r="AP128" s="43" t="s">
        <v>144</v>
      </c>
      <c r="AQ128" s="49" t="s">
        <v>45</v>
      </c>
      <c r="AR128" s="22" t="s">
        <v>86</v>
      </c>
      <c r="AS128" s="22" t="s">
        <v>53</v>
      </c>
      <c r="AT128" s="23" t="s">
        <v>6</v>
      </c>
      <c r="AU128" s="40" t="s">
        <v>195</v>
      </c>
      <c r="AV128" s="43" t="s">
        <v>212</v>
      </c>
      <c r="AW128" s="49" t="s">
        <v>45</v>
      </c>
      <c r="AX128" s="22" t="s">
        <v>86</v>
      </c>
      <c r="AY128" s="22" t="s">
        <v>53</v>
      </c>
      <c r="AZ128" s="23" t="s">
        <v>6</v>
      </c>
      <c r="BA128" s="39">
        <v>5.7</v>
      </c>
      <c r="BB128" s="43" t="s">
        <v>128</v>
      </c>
      <c r="BC128" s="49" t="s">
        <v>45</v>
      </c>
      <c r="BD128" s="22" t="s">
        <v>86</v>
      </c>
      <c r="BE128" s="22" t="s">
        <v>53</v>
      </c>
      <c r="BF128" s="23" t="s">
        <v>6</v>
      </c>
      <c r="BG128" s="40">
        <v>7.3</v>
      </c>
      <c r="BH128" s="43" t="s">
        <v>260</v>
      </c>
      <c r="BI128" s="49" t="s">
        <v>45</v>
      </c>
      <c r="BJ128" s="22" t="s">
        <v>86</v>
      </c>
      <c r="BK128" s="22" t="s">
        <v>53</v>
      </c>
      <c r="BL128" s="23" t="s">
        <v>6</v>
      </c>
      <c r="BM128" s="41">
        <v>6.4</v>
      </c>
      <c r="BN128" s="213" t="s">
        <v>385</v>
      </c>
      <c r="BO128" s="49" t="s">
        <v>45</v>
      </c>
      <c r="BP128" s="22" t="s">
        <v>86</v>
      </c>
      <c r="BQ128" s="22" t="s">
        <v>53</v>
      </c>
      <c r="BR128" s="23" t="s">
        <v>6</v>
      </c>
      <c r="BS128" s="41">
        <v>7.1</v>
      </c>
      <c r="BT128" s="214" t="s">
        <v>386</v>
      </c>
    </row>
  </sheetData>
  <phoneticPr fontId="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8"/>
  <sheetViews>
    <sheetView topLeftCell="A41" zoomScale="80" zoomScaleNormal="80" workbookViewId="0">
      <selection activeCell="W105" sqref="W105"/>
    </sheetView>
  </sheetViews>
  <sheetFormatPr defaultColWidth="3.875" defaultRowHeight="9.9499999999999993" customHeight="1" x14ac:dyDescent="0.15"/>
  <cols>
    <col min="1" max="1" width="2.625" customWidth="1"/>
    <col min="2" max="2" width="4.125" customWidth="1"/>
    <col min="3" max="26" width="4.625" customWidth="1"/>
    <col min="27" max="29" width="4.375" customWidth="1"/>
  </cols>
  <sheetData>
    <row r="2" spans="2:26" ht="18" customHeight="1" x14ac:dyDescent="0.15">
      <c r="B2" s="162" t="s">
        <v>347</v>
      </c>
      <c r="P2" s="170" t="s">
        <v>390</v>
      </c>
    </row>
    <row r="3" spans="2:26" ht="15" customHeight="1" x14ac:dyDescent="0.2">
      <c r="C3" s="110" t="s">
        <v>46</v>
      </c>
      <c r="F3" s="130"/>
      <c r="G3" s="124" t="s">
        <v>47</v>
      </c>
      <c r="J3" s="130"/>
      <c r="K3" s="124" t="s">
        <v>48</v>
      </c>
      <c r="N3" s="130"/>
      <c r="O3" s="124" t="s">
        <v>49</v>
      </c>
      <c r="S3" s="124" t="s">
        <v>346</v>
      </c>
    </row>
    <row r="4" spans="2:26" s="76" customFormat="1" ht="54.75" customHeight="1" x14ac:dyDescent="0.15">
      <c r="B4" s="72" t="s">
        <v>273</v>
      </c>
      <c r="C4" s="73" t="s">
        <v>278</v>
      </c>
      <c r="D4" s="122" t="s">
        <v>318</v>
      </c>
      <c r="E4" s="73" t="s">
        <v>280</v>
      </c>
      <c r="F4" s="131" t="s">
        <v>286</v>
      </c>
      <c r="G4" s="125" t="s">
        <v>278</v>
      </c>
      <c r="H4" s="122" t="s">
        <v>318</v>
      </c>
      <c r="I4" s="73" t="s">
        <v>280</v>
      </c>
      <c r="J4" s="131" t="s">
        <v>286</v>
      </c>
      <c r="K4" s="125" t="s">
        <v>278</v>
      </c>
      <c r="L4" s="122" t="s">
        <v>318</v>
      </c>
      <c r="M4" s="73" t="s">
        <v>280</v>
      </c>
      <c r="N4" s="131" t="s">
        <v>286</v>
      </c>
      <c r="O4" s="125" t="s">
        <v>278</v>
      </c>
      <c r="P4" s="122" t="s">
        <v>318</v>
      </c>
      <c r="Q4" s="73" t="s">
        <v>280</v>
      </c>
      <c r="R4" s="123" t="s">
        <v>286</v>
      </c>
      <c r="S4" s="160" t="s">
        <v>379</v>
      </c>
      <c r="T4" s="159" t="s">
        <v>318</v>
      </c>
      <c r="U4" s="160" t="s">
        <v>280</v>
      </c>
      <c r="V4" s="160" t="s">
        <v>286</v>
      </c>
      <c r="W4" s="160" t="s">
        <v>391</v>
      </c>
    </row>
    <row r="5" spans="2:26" s="84" customFormat="1" ht="9.9499999999999993" customHeight="1" x14ac:dyDescent="0.2">
      <c r="B5" s="77">
        <v>40634</v>
      </c>
      <c r="C5" s="93">
        <v>71824</v>
      </c>
      <c r="D5" s="93">
        <v>26655</v>
      </c>
      <c r="E5" s="93">
        <v>19150</v>
      </c>
      <c r="F5" s="132">
        <v>1781</v>
      </c>
      <c r="G5" s="126">
        <v>43774</v>
      </c>
      <c r="H5" s="93">
        <v>18514</v>
      </c>
      <c r="I5" s="93">
        <v>14017</v>
      </c>
      <c r="J5" s="132">
        <v>1959</v>
      </c>
      <c r="K5" s="126">
        <v>34371</v>
      </c>
      <c r="L5" s="93">
        <v>10198</v>
      </c>
      <c r="M5" s="93">
        <v>7926</v>
      </c>
      <c r="N5" s="132">
        <v>1046</v>
      </c>
      <c r="O5" s="126">
        <v>14629</v>
      </c>
      <c r="P5" s="93">
        <v>4045</v>
      </c>
      <c r="Q5" s="93">
        <v>2952</v>
      </c>
      <c r="R5" s="111">
        <v>422</v>
      </c>
      <c r="S5" s="161">
        <f t="shared" ref="S5:S10" si="0">C5+G5+K5+O5</f>
        <v>164598</v>
      </c>
      <c r="T5" s="161">
        <f t="shared" ref="T5:V10" si="1">D5+H5+L5+P5</f>
        <v>59412</v>
      </c>
      <c r="U5" s="161">
        <f t="shared" si="1"/>
        <v>44045</v>
      </c>
      <c r="V5" s="161">
        <f t="shared" si="1"/>
        <v>5208</v>
      </c>
      <c r="W5" s="175">
        <v>0</v>
      </c>
      <c r="X5" s="170"/>
      <c r="Y5" s="171"/>
    </row>
    <row r="6" spans="2:26" s="84" customFormat="1" ht="9.9499999999999993" customHeight="1" x14ac:dyDescent="0.2">
      <c r="B6" s="77">
        <v>41000</v>
      </c>
      <c r="C6" s="93">
        <v>72579</v>
      </c>
      <c r="D6" s="93">
        <v>26363</v>
      </c>
      <c r="E6" s="93">
        <v>19957</v>
      </c>
      <c r="F6" s="133">
        <v>2513</v>
      </c>
      <c r="G6" s="126">
        <v>43753</v>
      </c>
      <c r="H6" s="93">
        <v>15564</v>
      </c>
      <c r="I6" s="93">
        <v>12737</v>
      </c>
      <c r="J6" s="133">
        <v>1650</v>
      </c>
      <c r="K6" s="126">
        <v>34060</v>
      </c>
      <c r="L6" s="93">
        <v>10555</v>
      </c>
      <c r="M6" s="93">
        <v>8009</v>
      </c>
      <c r="N6" s="133">
        <v>1032</v>
      </c>
      <c r="O6" s="126">
        <v>13932</v>
      </c>
      <c r="P6" s="93">
        <v>4036</v>
      </c>
      <c r="Q6" s="93">
        <v>3037</v>
      </c>
      <c r="R6" s="112">
        <v>393</v>
      </c>
      <c r="S6" s="161">
        <f t="shared" si="0"/>
        <v>164324</v>
      </c>
      <c r="T6" s="161">
        <f t="shared" si="1"/>
        <v>56518</v>
      </c>
      <c r="U6" s="161">
        <f t="shared" si="1"/>
        <v>43740</v>
      </c>
      <c r="V6" s="161">
        <f t="shared" si="1"/>
        <v>5588</v>
      </c>
      <c r="W6" s="175">
        <f>(M6+Q6)/(E6+I6)</f>
        <v>0.33786015782712425</v>
      </c>
      <c r="X6" s="170"/>
      <c r="Y6" s="171"/>
    </row>
    <row r="7" spans="2:26" s="84" customFormat="1" ht="9.9499999999999993" customHeight="1" x14ac:dyDescent="0.2">
      <c r="B7" s="115" t="s">
        <v>309</v>
      </c>
      <c r="C7" s="93">
        <v>74139</v>
      </c>
      <c r="D7" s="93">
        <v>27257</v>
      </c>
      <c r="E7" s="93">
        <v>20672</v>
      </c>
      <c r="F7" s="133">
        <v>2929</v>
      </c>
      <c r="G7" s="126">
        <v>43800</v>
      </c>
      <c r="H7" s="93">
        <v>15348</v>
      </c>
      <c r="I7" s="93">
        <v>12589</v>
      </c>
      <c r="J7" s="133">
        <v>1786</v>
      </c>
      <c r="K7" s="126">
        <v>33992</v>
      </c>
      <c r="L7" s="93">
        <v>10934</v>
      </c>
      <c r="M7" s="93">
        <v>8043</v>
      </c>
      <c r="N7" s="133">
        <v>1172</v>
      </c>
      <c r="O7" s="126">
        <v>13339</v>
      </c>
      <c r="P7" s="93">
        <v>4225</v>
      </c>
      <c r="Q7" s="93">
        <v>3192</v>
      </c>
      <c r="R7" s="112">
        <v>467</v>
      </c>
      <c r="S7" s="161">
        <f t="shared" si="0"/>
        <v>165270</v>
      </c>
      <c r="T7" s="161">
        <f t="shared" si="1"/>
        <v>57764</v>
      </c>
      <c r="U7" s="161">
        <f t="shared" si="1"/>
        <v>44496</v>
      </c>
      <c r="V7" s="161">
        <f t="shared" si="1"/>
        <v>6354</v>
      </c>
      <c r="W7" s="175">
        <f>(M7+Q7)/(E7+I7)</f>
        <v>0.33778298908631732</v>
      </c>
      <c r="Y7" s="9"/>
    </row>
    <row r="8" spans="2:26" s="84" customFormat="1" ht="9.9499999999999993" customHeight="1" x14ac:dyDescent="0.2">
      <c r="B8" s="115" t="s">
        <v>311</v>
      </c>
      <c r="C8" s="93">
        <v>75774</v>
      </c>
      <c r="D8" s="93">
        <v>27028</v>
      </c>
      <c r="E8" s="93">
        <v>20387</v>
      </c>
      <c r="F8" s="133">
        <v>2959</v>
      </c>
      <c r="G8" s="126">
        <v>44040</v>
      </c>
      <c r="H8" s="93">
        <v>15355</v>
      </c>
      <c r="I8" s="93">
        <v>12559</v>
      </c>
      <c r="J8" s="133">
        <v>1835</v>
      </c>
      <c r="K8" s="126">
        <v>34092</v>
      </c>
      <c r="L8" s="93">
        <v>10818</v>
      </c>
      <c r="M8" s="93">
        <v>8070</v>
      </c>
      <c r="N8" s="133">
        <v>1174</v>
      </c>
      <c r="O8" s="126">
        <v>12940</v>
      </c>
      <c r="P8" s="93">
        <v>4325</v>
      </c>
      <c r="Q8" s="93">
        <v>3259</v>
      </c>
      <c r="R8" s="112">
        <v>477</v>
      </c>
      <c r="S8" s="161">
        <f t="shared" si="0"/>
        <v>166846</v>
      </c>
      <c r="T8" s="161">
        <f t="shared" si="1"/>
        <v>57526</v>
      </c>
      <c r="U8" s="161">
        <f t="shared" si="1"/>
        <v>44275</v>
      </c>
      <c r="V8" s="161">
        <f t="shared" si="1"/>
        <v>6445</v>
      </c>
      <c r="W8" s="175">
        <f>(M8+Q8)/(E8+I8)</f>
        <v>0.34386571966247798</v>
      </c>
    </row>
    <row r="9" spans="2:26" s="84" customFormat="1" ht="9.9499999999999993" customHeight="1" x14ac:dyDescent="0.2">
      <c r="B9" s="116" t="s">
        <v>39</v>
      </c>
      <c r="C9" s="113">
        <v>76940</v>
      </c>
      <c r="D9" s="113">
        <v>27094</v>
      </c>
      <c r="E9" s="113">
        <v>20599</v>
      </c>
      <c r="F9" s="134">
        <v>2941</v>
      </c>
      <c r="G9" s="127">
        <v>44256</v>
      </c>
      <c r="H9" s="113">
        <v>15649</v>
      </c>
      <c r="I9" s="113">
        <v>12512</v>
      </c>
      <c r="J9" s="134">
        <v>1707</v>
      </c>
      <c r="K9" s="127">
        <v>34162</v>
      </c>
      <c r="L9" s="113">
        <v>10689</v>
      </c>
      <c r="M9" s="113">
        <v>7919</v>
      </c>
      <c r="N9" s="134">
        <v>1168</v>
      </c>
      <c r="O9" s="127">
        <v>12646</v>
      </c>
      <c r="P9" s="113">
        <v>4384</v>
      </c>
      <c r="Q9" s="113">
        <v>3232</v>
      </c>
      <c r="R9" s="113">
        <v>489</v>
      </c>
      <c r="S9" s="161">
        <f t="shared" si="0"/>
        <v>168004</v>
      </c>
      <c r="T9" s="161">
        <f t="shared" si="1"/>
        <v>57816</v>
      </c>
      <c r="U9" s="161">
        <f t="shared" si="1"/>
        <v>44262</v>
      </c>
      <c r="V9" s="161">
        <f t="shared" si="1"/>
        <v>6305</v>
      </c>
      <c r="W9" s="175">
        <f>(M9+Q9)/(E9+I9)</f>
        <v>0.33677629790703995</v>
      </c>
    </row>
    <row r="10" spans="2:26" s="84" customFormat="1" ht="9.9499999999999993" customHeight="1" x14ac:dyDescent="0.2">
      <c r="B10" s="117" t="s">
        <v>42</v>
      </c>
      <c r="C10" s="114">
        <v>77594</v>
      </c>
      <c r="D10" s="114">
        <v>26761</v>
      </c>
      <c r="E10" s="114">
        <v>20796</v>
      </c>
      <c r="F10" s="135">
        <v>2471</v>
      </c>
      <c r="G10" s="128">
        <v>44275</v>
      </c>
      <c r="H10" s="114">
        <v>15201</v>
      </c>
      <c r="I10" s="114">
        <v>12525</v>
      </c>
      <c r="J10" s="135">
        <v>1483</v>
      </c>
      <c r="K10" s="128">
        <v>34120</v>
      </c>
      <c r="L10" s="114">
        <v>10290</v>
      </c>
      <c r="M10" s="114">
        <v>7772</v>
      </c>
      <c r="N10" s="135">
        <v>941</v>
      </c>
      <c r="O10" s="128">
        <v>12509</v>
      </c>
      <c r="P10" s="114">
        <v>4104</v>
      </c>
      <c r="Q10" s="114">
        <v>3101</v>
      </c>
      <c r="R10" s="114">
        <v>382</v>
      </c>
      <c r="S10" s="161">
        <f t="shared" si="0"/>
        <v>168498</v>
      </c>
      <c r="T10" s="161">
        <f t="shared" si="1"/>
        <v>56356</v>
      </c>
      <c r="U10" s="161">
        <f t="shared" si="1"/>
        <v>44194</v>
      </c>
      <c r="V10" s="161">
        <f t="shared" si="1"/>
        <v>5277</v>
      </c>
      <c r="W10" s="176"/>
    </row>
    <row r="11" spans="2:26" s="84" customFormat="1" ht="9.9499999999999993" customHeight="1" x14ac:dyDescent="0.2">
      <c r="B11" s="117" t="s">
        <v>44</v>
      </c>
      <c r="C11" s="112"/>
      <c r="D11" s="112"/>
      <c r="E11" s="112"/>
      <c r="F11" s="133"/>
      <c r="G11" s="129"/>
      <c r="H11" s="112"/>
      <c r="I11" s="112"/>
      <c r="J11" s="133"/>
      <c r="K11" s="129"/>
      <c r="L11" s="112"/>
      <c r="M11" s="112"/>
      <c r="N11" s="133"/>
      <c r="O11" s="129"/>
      <c r="P11" s="112"/>
      <c r="Q11" s="112"/>
      <c r="R11" s="112"/>
      <c r="S11" s="79"/>
      <c r="T11" s="79"/>
      <c r="U11" s="79"/>
      <c r="V11" s="79"/>
    </row>
    <row r="12" spans="2:26" s="84" customFormat="1" ht="9.9499999999999993" customHeight="1" x14ac:dyDescent="0.2">
      <c r="B12" s="117" t="s">
        <v>45</v>
      </c>
      <c r="C12" s="112"/>
      <c r="D12" s="112"/>
      <c r="E12" s="112"/>
      <c r="F12" s="133"/>
      <c r="G12" s="129"/>
      <c r="H12" s="112"/>
      <c r="I12" s="112"/>
      <c r="J12" s="133"/>
      <c r="K12" s="129"/>
      <c r="L12" s="112"/>
      <c r="M12" s="112"/>
      <c r="N12" s="133"/>
      <c r="O12" s="129"/>
      <c r="P12" s="112"/>
      <c r="Q12" s="112"/>
      <c r="R12" s="112"/>
      <c r="S12" s="79"/>
      <c r="T12" s="79"/>
      <c r="U12" s="79"/>
      <c r="V12" s="79"/>
    </row>
    <row r="13" spans="2:26" s="84" customFormat="1" ht="9.9499999999999993" customHeight="1" x14ac:dyDescent="0.2"/>
    <row r="14" spans="2:26" s="84" customFormat="1" ht="9.9499999999999993" customHeight="1" x14ac:dyDescent="0.2">
      <c r="B14" s="329" t="s">
        <v>273</v>
      </c>
      <c r="C14" s="73" t="s">
        <v>553</v>
      </c>
      <c r="D14" s="74" t="s">
        <v>275</v>
      </c>
      <c r="E14" s="74" t="s">
        <v>276</v>
      </c>
      <c r="F14" s="74" t="s">
        <v>277</v>
      </c>
      <c r="G14" s="74" t="s">
        <v>278</v>
      </c>
      <c r="H14" s="74" t="s">
        <v>554</v>
      </c>
      <c r="I14" s="74" t="s">
        <v>555</v>
      </c>
      <c r="J14" s="74" t="s">
        <v>556</v>
      </c>
      <c r="K14" s="75" t="s">
        <v>557</v>
      </c>
      <c r="L14" s="74" t="s">
        <v>558</v>
      </c>
      <c r="M14" s="74" t="s">
        <v>559</v>
      </c>
      <c r="N14" s="75" t="s">
        <v>560</v>
      </c>
      <c r="O14" s="75" t="s">
        <v>561</v>
      </c>
      <c r="P14" s="330" t="s">
        <v>283</v>
      </c>
      <c r="Q14" s="331" t="s">
        <v>562</v>
      </c>
      <c r="R14" s="75" t="s">
        <v>563</v>
      </c>
      <c r="S14" s="330" t="s">
        <v>285</v>
      </c>
      <c r="T14" s="75" t="s">
        <v>564</v>
      </c>
      <c r="U14" s="75" t="s">
        <v>565</v>
      </c>
      <c r="V14" s="330" t="s">
        <v>566</v>
      </c>
      <c r="W14" s="74" t="s">
        <v>289</v>
      </c>
      <c r="X14" s="332" t="s">
        <v>567</v>
      </c>
      <c r="Y14" s="74" t="s">
        <v>568</v>
      </c>
      <c r="Z14" s="333"/>
    </row>
    <row r="15" spans="2:26" s="84" customFormat="1" ht="54" customHeight="1" x14ac:dyDescent="0.2">
      <c r="B15" s="329" t="s">
        <v>273</v>
      </c>
      <c r="C15" s="73" t="s">
        <v>274</v>
      </c>
      <c r="D15" s="74" t="s">
        <v>275</v>
      </c>
      <c r="E15" s="74" t="s">
        <v>276</v>
      </c>
      <c r="F15" s="74" t="s">
        <v>277</v>
      </c>
      <c r="G15" s="334" t="s">
        <v>379</v>
      </c>
      <c r="H15" s="335" t="s">
        <v>318</v>
      </c>
      <c r="I15" s="74" t="s">
        <v>279</v>
      </c>
      <c r="J15" s="74" t="s">
        <v>569</v>
      </c>
      <c r="K15" s="75" t="s">
        <v>570</v>
      </c>
      <c r="L15" s="74" t="s">
        <v>571</v>
      </c>
      <c r="M15" s="334" t="s">
        <v>572</v>
      </c>
      <c r="N15" s="119" t="s">
        <v>281</v>
      </c>
      <c r="O15" s="75" t="s">
        <v>282</v>
      </c>
      <c r="P15" s="121" t="s">
        <v>283</v>
      </c>
      <c r="Q15" s="336" t="s">
        <v>284</v>
      </c>
      <c r="R15" s="119" t="s">
        <v>563</v>
      </c>
      <c r="S15" s="336" t="s">
        <v>285</v>
      </c>
      <c r="T15" s="75" t="s">
        <v>286</v>
      </c>
      <c r="U15" s="75" t="s">
        <v>287</v>
      </c>
      <c r="V15" s="336" t="s">
        <v>288</v>
      </c>
      <c r="W15" s="74" t="s">
        <v>289</v>
      </c>
      <c r="X15" s="74" t="s">
        <v>573</v>
      </c>
      <c r="Y15" s="120" t="s">
        <v>574</v>
      </c>
      <c r="Z15" s="337" t="s">
        <v>575</v>
      </c>
    </row>
    <row r="16" spans="2:26" s="84" customFormat="1" ht="9.9499999999999993" customHeight="1" x14ac:dyDescent="0.2">
      <c r="B16" s="77">
        <v>35886</v>
      </c>
      <c r="C16" s="55" t="s">
        <v>290</v>
      </c>
      <c r="D16" s="78" t="s">
        <v>292</v>
      </c>
      <c r="E16" s="79" t="s">
        <v>47</v>
      </c>
      <c r="F16" s="80">
        <v>40376</v>
      </c>
      <c r="G16" s="80">
        <v>40376</v>
      </c>
      <c r="H16" s="80">
        <v>12870</v>
      </c>
      <c r="I16" s="80">
        <v>14163</v>
      </c>
      <c r="J16" s="80">
        <v>0</v>
      </c>
      <c r="K16" s="80">
        <v>980</v>
      </c>
      <c r="L16" s="80">
        <v>11241</v>
      </c>
      <c r="M16" s="80">
        <v>320</v>
      </c>
      <c r="N16" s="80">
        <v>2602</v>
      </c>
      <c r="O16" s="80">
        <v>0</v>
      </c>
      <c r="P16" s="81">
        <v>14163</v>
      </c>
      <c r="Q16" s="82">
        <v>97.740591682553131</v>
      </c>
      <c r="R16" s="83">
        <v>1945</v>
      </c>
      <c r="S16" s="82">
        <v>19.315855510797068</v>
      </c>
      <c r="T16" s="83">
        <v>1615</v>
      </c>
      <c r="U16" s="83">
        <v>416</v>
      </c>
      <c r="V16" s="81">
        <v>2351</v>
      </c>
      <c r="W16" s="79"/>
    </row>
    <row r="17" spans="1:23" s="84" customFormat="1" ht="9.9499999999999993" customHeight="1" x14ac:dyDescent="0.2">
      <c r="B17" s="77">
        <v>36251</v>
      </c>
      <c r="C17" s="55" t="s">
        <v>295</v>
      </c>
      <c r="D17" s="78" t="s">
        <v>292</v>
      </c>
      <c r="E17" s="86" t="s">
        <v>47</v>
      </c>
      <c r="F17" s="87">
        <v>40915</v>
      </c>
      <c r="G17" s="87">
        <v>40915</v>
      </c>
      <c r="H17" s="87">
        <v>13573</v>
      </c>
      <c r="I17" s="87">
        <v>15066</v>
      </c>
      <c r="J17" s="87">
        <v>0</v>
      </c>
      <c r="K17" s="87">
        <v>885</v>
      </c>
      <c r="L17" s="87">
        <v>11744</v>
      </c>
      <c r="M17" s="87">
        <v>445</v>
      </c>
      <c r="N17" s="87">
        <v>2878</v>
      </c>
      <c r="O17" s="87">
        <v>0</v>
      </c>
      <c r="P17" s="81">
        <v>15067</v>
      </c>
      <c r="Q17" s="82">
        <v>97.046525519346915</v>
      </c>
      <c r="R17" s="88">
        <v>2131</v>
      </c>
      <c r="S17" s="82">
        <v>18.906720160481445</v>
      </c>
      <c r="T17" s="88">
        <v>1649</v>
      </c>
      <c r="U17" s="88">
        <v>411</v>
      </c>
      <c r="V17" s="81">
        <v>2505</v>
      </c>
      <c r="W17" s="86"/>
    </row>
    <row r="18" spans="1:23" s="84" customFormat="1" ht="9.9499999999999993" customHeight="1" x14ac:dyDescent="0.2">
      <c r="B18" s="77">
        <v>36617</v>
      </c>
      <c r="C18" s="55" t="s">
        <v>296</v>
      </c>
      <c r="D18" s="78" t="s">
        <v>292</v>
      </c>
      <c r="E18" s="79" t="s">
        <v>47</v>
      </c>
      <c r="F18" s="80">
        <v>41280</v>
      </c>
      <c r="G18" s="80">
        <v>41280</v>
      </c>
      <c r="H18" s="80">
        <v>14770</v>
      </c>
      <c r="I18" s="80">
        <v>16267</v>
      </c>
      <c r="J18" s="80">
        <v>0</v>
      </c>
      <c r="K18" s="80">
        <v>857</v>
      </c>
      <c r="L18" s="80">
        <v>12410</v>
      </c>
      <c r="M18" s="80">
        <v>805</v>
      </c>
      <c r="N18" s="80">
        <v>2122</v>
      </c>
      <c r="O18" s="80">
        <v>909</v>
      </c>
      <c r="P18" s="81">
        <v>16246</v>
      </c>
      <c r="Q18" s="82">
        <v>95.044934137633874</v>
      </c>
      <c r="R18" s="83">
        <v>1002</v>
      </c>
      <c r="S18" s="82">
        <v>16.184295152897153</v>
      </c>
      <c r="T18" s="83">
        <v>805</v>
      </c>
      <c r="U18" s="83">
        <v>1732</v>
      </c>
      <c r="V18" s="81">
        <v>3342</v>
      </c>
      <c r="W18" s="79"/>
    </row>
    <row r="19" spans="1:23" s="84" customFormat="1" ht="9.9499999999999993" customHeight="1" x14ac:dyDescent="0.2">
      <c r="B19" s="77">
        <v>36982</v>
      </c>
      <c r="C19" s="55" t="s">
        <v>297</v>
      </c>
      <c r="D19" s="78" t="s">
        <v>292</v>
      </c>
      <c r="E19" s="79" t="s">
        <v>47</v>
      </c>
      <c r="F19" s="80">
        <v>41693</v>
      </c>
      <c r="G19" s="80">
        <v>41693</v>
      </c>
      <c r="H19" s="80">
        <v>15500</v>
      </c>
      <c r="I19" s="80">
        <v>16937</v>
      </c>
      <c r="J19" s="80">
        <v>0</v>
      </c>
      <c r="K19" s="80">
        <v>824</v>
      </c>
      <c r="L19" s="80">
        <v>13521</v>
      </c>
      <c r="M19" s="80">
        <v>534</v>
      </c>
      <c r="N19" s="80">
        <v>2831</v>
      </c>
      <c r="O19" s="80">
        <v>51</v>
      </c>
      <c r="P19" s="81">
        <v>16937</v>
      </c>
      <c r="Q19" s="82">
        <v>96.847139398949039</v>
      </c>
      <c r="R19" s="83">
        <v>2380</v>
      </c>
      <c r="S19" s="82">
        <v>18.326670795563313</v>
      </c>
      <c r="T19" s="83">
        <v>1774</v>
      </c>
      <c r="U19" s="83">
        <v>374</v>
      </c>
      <c r="V19" s="81">
        <v>2682</v>
      </c>
      <c r="W19" s="79"/>
    </row>
    <row r="20" spans="1:23" s="84" customFormat="1" ht="9.9499999999999993" customHeight="1" x14ac:dyDescent="0.2">
      <c r="A20" s="1"/>
      <c r="B20" s="77">
        <v>37347</v>
      </c>
      <c r="C20" s="55" t="s">
        <v>298</v>
      </c>
      <c r="D20" s="78" t="s">
        <v>292</v>
      </c>
      <c r="E20" s="79" t="s">
        <v>47</v>
      </c>
      <c r="F20" s="80">
        <v>42183</v>
      </c>
      <c r="G20" s="80">
        <v>42183</v>
      </c>
      <c r="H20" s="80">
        <v>15118</v>
      </c>
      <c r="I20" s="80">
        <v>16325</v>
      </c>
      <c r="J20" s="80">
        <v>0</v>
      </c>
      <c r="K20" s="80">
        <v>750</v>
      </c>
      <c r="L20" s="80">
        <v>12660</v>
      </c>
      <c r="M20" s="80">
        <v>370</v>
      </c>
      <c r="N20" s="80">
        <v>3295</v>
      </c>
      <c r="O20" s="80">
        <v>0</v>
      </c>
      <c r="P20" s="81">
        <v>16325</v>
      </c>
      <c r="Q20" s="82">
        <v>97.733537519142416</v>
      </c>
      <c r="R20" s="83">
        <v>2311</v>
      </c>
      <c r="S20" s="82">
        <v>17.92679355783309</v>
      </c>
      <c r="T20" s="83">
        <v>1817</v>
      </c>
      <c r="U20" s="83">
        <v>308</v>
      </c>
      <c r="V20" s="81">
        <v>2495</v>
      </c>
      <c r="W20" s="79"/>
    </row>
    <row r="21" spans="1:23" s="84" customFormat="1" ht="9.9499999999999993" customHeight="1" x14ac:dyDescent="0.2">
      <c r="A21" s="1"/>
      <c r="B21" s="77">
        <v>37712</v>
      </c>
      <c r="C21" s="55" t="s">
        <v>299</v>
      </c>
      <c r="D21" s="78" t="s">
        <v>292</v>
      </c>
      <c r="E21" s="89" t="s">
        <v>47</v>
      </c>
      <c r="F21" s="90">
        <v>42711</v>
      </c>
      <c r="G21" s="90">
        <v>42711</v>
      </c>
      <c r="H21" s="90">
        <v>15832</v>
      </c>
      <c r="I21" s="90">
        <v>14873</v>
      </c>
      <c r="J21" s="90">
        <v>0</v>
      </c>
      <c r="K21" s="90">
        <v>722</v>
      </c>
      <c r="L21" s="90">
        <v>12574</v>
      </c>
      <c r="M21" s="90">
        <v>30</v>
      </c>
      <c r="N21" s="90">
        <v>3208</v>
      </c>
      <c r="O21" s="90">
        <v>20</v>
      </c>
      <c r="P21" s="81">
        <v>15832</v>
      </c>
      <c r="Q21" s="82">
        <v>99.810510358767061</v>
      </c>
      <c r="R21" s="91">
        <v>2877</v>
      </c>
      <c r="S21" s="82">
        <v>21.861785671136886</v>
      </c>
      <c r="T21" s="91">
        <v>1734</v>
      </c>
      <c r="U21" s="91">
        <v>34</v>
      </c>
      <c r="V21" s="81">
        <v>1798</v>
      </c>
      <c r="W21" s="89"/>
    </row>
    <row r="22" spans="1:23" s="84" customFormat="1" ht="9.9499999999999993" customHeight="1" x14ac:dyDescent="0.2">
      <c r="A22" s="1"/>
      <c r="B22" s="77">
        <v>38078</v>
      </c>
      <c r="C22" s="55" t="s">
        <v>300</v>
      </c>
      <c r="D22" s="78" t="s">
        <v>292</v>
      </c>
      <c r="E22" s="79" t="s">
        <v>47</v>
      </c>
      <c r="F22" s="80">
        <v>43270</v>
      </c>
      <c r="G22" s="80">
        <v>43270</v>
      </c>
      <c r="H22" s="80">
        <v>18110</v>
      </c>
      <c r="I22" s="80">
        <v>15185</v>
      </c>
      <c r="J22" s="80">
        <v>0</v>
      </c>
      <c r="K22" s="80">
        <v>693</v>
      </c>
      <c r="L22" s="80">
        <v>13259</v>
      </c>
      <c r="M22" s="80">
        <v>59</v>
      </c>
      <c r="N22" s="80">
        <v>3360</v>
      </c>
      <c r="O22" s="80">
        <v>0</v>
      </c>
      <c r="P22" s="81">
        <v>16678</v>
      </c>
      <c r="Q22" s="82">
        <v>99.646240556421631</v>
      </c>
      <c r="R22" s="83">
        <v>2893</v>
      </c>
      <c r="S22" s="82">
        <v>20.643601404639917</v>
      </c>
      <c r="T22" s="83">
        <v>1844</v>
      </c>
      <c r="U22" s="83">
        <v>0</v>
      </c>
      <c r="V22" s="81">
        <v>1903</v>
      </c>
      <c r="W22" s="79"/>
    </row>
    <row r="23" spans="1:23" s="84" customFormat="1" ht="9.9499999999999993" customHeight="1" x14ac:dyDescent="0.2">
      <c r="B23" s="77">
        <v>38443</v>
      </c>
      <c r="C23" s="55" t="s">
        <v>301</v>
      </c>
      <c r="D23" s="78" t="s">
        <v>292</v>
      </c>
      <c r="E23" s="79" t="s">
        <v>47</v>
      </c>
      <c r="F23" s="80">
        <v>43761</v>
      </c>
      <c r="G23" s="80">
        <v>43761</v>
      </c>
      <c r="H23" s="80">
        <v>16818</v>
      </c>
      <c r="I23" s="80">
        <v>15126</v>
      </c>
      <c r="J23" s="80">
        <v>0</v>
      </c>
      <c r="K23" s="80">
        <v>740</v>
      </c>
      <c r="L23" s="80">
        <v>12885</v>
      </c>
      <c r="M23" s="80">
        <v>33</v>
      </c>
      <c r="N23" s="80">
        <v>3193</v>
      </c>
      <c r="O23" s="80">
        <v>0</v>
      </c>
      <c r="P23" s="81">
        <v>16111</v>
      </c>
      <c r="Q23" s="82">
        <v>99.795171001179312</v>
      </c>
      <c r="R23" s="83">
        <v>2706</v>
      </c>
      <c r="S23" s="82">
        <v>20.449824936205566</v>
      </c>
      <c r="T23" s="83">
        <v>1880</v>
      </c>
      <c r="U23" s="83">
        <v>0</v>
      </c>
      <c r="V23" s="81">
        <v>1913</v>
      </c>
      <c r="W23" s="79"/>
    </row>
    <row r="24" spans="1:23" s="84" customFormat="1" ht="9.9499999999999993" customHeight="1" x14ac:dyDescent="0.2">
      <c r="B24" s="77">
        <v>38808</v>
      </c>
      <c r="C24" s="55" t="s">
        <v>302</v>
      </c>
      <c r="D24" s="78" t="s">
        <v>292</v>
      </c>
      <c r="E24" s="79" t="s">
        <v>47</v>
      </c>
      <c r="F24" s="80">
        <v>44067</v>
      </c>
      <c r="G24" s="80">
        <v>44067</v>
      </c>
      <c r="H24" s="80">
        <v>16896</v>
      </c>
      <c r="I24" s="80">
        <v>15163</v>
      </c>
      <c r="J24" s="80">
        <v>0</v>
      </c>
      <c r="K24" s="80">
        <v>725</v>
      </c>
      <c r="L24" s="80">
        <v>12118</v>
      </c>
      <c r="M24" s="80">
        <v>27</v>
      </c>
      <c r="N24" s="80">
        <v>4045</v>
      </c>
      <c r="O24" s="80">
        <v>0</v>
      </c>
      <c r="P24" s="81">
        <v>16190</v>
      </c>
      <c r="Q24" s="82">
        <v>99.833230389129085</v>
      </c>
      <c r="R24" s="83">
        <v>2797</v>
      </c>
      <c r="S24" s="82">
        <v>20.821755838013598</v>
      </c>
      <c r="T24" s="83">
        <v>2005</v>
      </c>
      <c r="U24" s="83">
        <v>0</v>
      </c>
      <c r="V24" s="81">
        <v>2032</v>
      </c>
      <c r="W24" s="79"/>
    </row>
    <row r="25" spans="1:23" s="84" customFormat="1" ht="9.9499999999999993" customHeight="1" x14ac:dyDescent="0.2">
      <c r="B25" s="77">
        <v>39173</v>
      </c>
      <c r="C25" s="55" t="s">
        <v>303</v>
      </c>
      <c r="D25" s="78" t="s">
        <v>292</v>
      </c>
      <c r="E25" s="79" t="s">
        <v>47</v>
      </c>
      <c r="F25" s="80">
        <v>44292</v>
      </c>
      <c r="G25" s="80">
        <v>44292</v>
      </c>
      <c r="H25" s="80">
        <v>16612</v>
      </c>
      <c r="I25" s="80">
        <v>15052</v>
      </c>
      <c r="J25" s="80">
        <v>0</v>
      </c>
      <c r="K25" s="80">
        <v>684</v>
      </c>
      <c r="L25" s="80">
        <v>12696</v>
      </c>
      <c r="M25" s="80">
        <v>42</v>
      </c>
      <c r="N25" s="80">
        <v>3241</v>
      </c>
      <c r="O25" s="80">
        <v>0</v>
      </c>
      <c r="P25" s="81">
        <v>15979</v>
      </c>
      <c r="Q25" s="82">
        <v>99.73715501595845</v>
      </c>
      <c r="R25" s="83">
        <v>2749</v>
      </c>
      <c r="S25" s="82">
        <v>20.602532557162576</v>
      </c>
      <c r="T25" s="83">
        <v>1920</v>
      </c>
      <c r="U25" s="83">
        <v>0</v>
      </c>
      <c r="V25" s="81">
        <v>1962</v>
      </c>
      <c r="W25" s="79"/>
    </row>
    <row r="26" spans="1:23" s="84" customFormat="1" ht="9.9499999999999993" customHeight="1" x14ac:dyDescent="0.2">
      <c r="B26" s="77">
        <v>39539</v>
      </c>
      <c r="C26" s="55" t="s">
        <v>304</v>
      </c>
      <c r="D26" s="78" t="s">
        <v>292</v>
      </c>
      <c r="E26" s="79" t="s">
        <v>47</v>
      </c>
      <c r="F26" s="80">
        <v>44396</v>
      </c>
      <c r="G26" s="80">
        <v>44396</v>
      </c>
      <c r="H26" s="80">
        <v>16092</v>
      </c>
      <c r="I26" s="80">
        <v>14486</v>
      </c>
      <c r="J26" s="80">
        <v>0</v>
      </c>
      <c r="K26" s="80">
        <v>740</v>
      </c>
      <c r="L26" s="80">
        <v>12403</v>
      </c>
      <c r="M26" s="80">
        <v>19</v>
      </c>
      <c r="N26" s="80">
        <v>2930</v>
      </c>
      <c r="O26" s="80">
        <v>0</v>
      </c>
      <c r="P26" s="81">
        <v>15352</v>
      </c>
      <c r="Q26" s="82">
        <v>99.876237623762378</v>
      </c>
      <c r="R26" s="83">
        <v>2515</v>
      </c>
      <c r="S26" s="82">
        <v>20.22744220730798</v>
      </c>
      <c r="T26" s="83">
        <v>1780</v>
      </c>
      <c r="U26" s="83">
        <v>0</v>
      </c>
      <c r="V26" s="81">
        <v>1799</v>
      </c>
      <c r="W26" s="79"/>
    </row>
    <row r="27" spans="1:23" s="84" customFormat="1" ht="9.9499999999999993" customHeight="1" x14ac:dyDescent="0.2">
      <c r="B27" s="77">
        <v>39904</v>
      </c>
      <c r="C27" s="55" t="s">
        <v>305</v>
      </c>
      <c r="D27" s="78" t="s">
        <v>292</v>
      </c>
      <c r="E27" s="79" t="s">
        <v>47</v>
      </c>
      <c r="F27" s="80">
        <v>44384</v>
      </c>
      <c r="G27" s="80">
        <v>44384</v>
      </c>
      <c r="H27" s="80">
        <v>15611</v>
      </c>
      <c r="I27" s="80">
        <v>14048</v>
      </c>
      <c r="J27" s="80">
        <v>0</v>
      </c>
      <c r="K27" s="80">
        <v>666</v>
      </c>
      <c r="L27" s="80">
        <v>12121</v>
      </c>
      <c r="M27" s="80">
        <v>49</v>
      </c>
      <c r="N27" s="80">
        <v>2775</v>
      </c>
      <c r="O27" s="80">
        <v>0</v>
      </c>
      <c r="P27" s="81">
        <v>14945</v>
      </c>
      <c r="Q27" s="82">
        <v>99.672131147540995</v>
      </c>
      <c r="R27" s="83">
        <v>2286</v>
      </c>
      <c r="S27" s="82">
        <v>18.90974312984434</v>
      </c>
      <c r="T27" s="83">
        <v>1771</v>
      </c>
      <c r="U27" s="83">
        <v>0</v>
      </c>
      <c r="V27" s="81">
        <v>1820</v>
      </c>
      <c r="W27" s="79"/>
    </row>
    <row r="28" spans="1:23" s="84" customFormat="1" ht="9.9499999999999993" customHeight="1" x14ac:dyDescent="0.2">
      <c r="B28" s="77">
        <v>40269</v>
      </c>
      <c r="C28" s="55" t="s">
        <v>306</v>
      </c>
      <c r="D28" s="78" t="s">
        <v>292</v>
      </c>
      <c r="E28" s="79" t="s">
        <v>47</v>
      </c>
      <c r="F28" s="80">
        <v>44153</v>
      </c>
      <c r="G28" s="80">
        <v>44153</v>
      </c>
      <c r="H28" s="80">
        <v>13478</v>
      </c>
      <c r="I28" s="80">
        <v>11966</v>
      </c>
      <c r="J28" s="80">
        <v>0</v>
      </c>
      <c r="K28" s="80">
        <v>658</v>
      </c>
      <c r="L28" s="80">
        <v>10330</v>
      </c>
      <c r="M28" s="80">
        <v>110</v>
      </c>
      <c r="N28" s="80">
        <v>2379</v>
      </c>
      <c r="O28" s="80">
        <v>0</v>
      </c>
      <c r="P28" s="81">
        <v>12819</v>
      </c>
      <c r="Q28" s="82">
        <v>99.141898744051787</v>
      </c>
      <c r="R28" s="83">
        <v>1933</v>
      </c>
      <c r="S28" s="82">
        <v>19.225346887289458</v>
      </c>
      <c r="T28" s="83">
        <v>1523</v>
      </c>
      <c r="U28" s="83">
        <v>0</v>
      </c>
      <c r="V28" s="81">
        <v>1633</v>
      </c>
      <c r="W28" s="79"/>
    </row>
    <row r="29" spans="1:23" s="84" customFormat="1" ht="9.9499999999999993" customHeight="1" x14ac:dyDescent="0.2">
      <c r="B29" s="77">
        <v>40634</v>
      </c>
      <c r="C29" s="55" t="s">
        <v>307</v>
      </c>
      <c r="D29" s="78" t="s">
        <v>292</v>
      </c>
      <c r="E29" s="79" t="s">
        <v>47</v>
      </c>
      <c r="F29" s="80">
        <v>43774</v>
      </c>
      <c r="G29" s="80">
        <v>43774</v>
      </c>
      <c r="H29" s="80">
        <v>18514</v>
      </c>
      <c r="I29" s="80">
        <v>15968</v>
      </c>
      <c r="J29" s="80">
        <v>2091</v>
      </c>
      <c r="K29" s="80">
        <v>455</v>
      </c>
      <c r="L29" s="80">
        <v>14017</v>
      </c>
      <c r="M29" s="80">
        <v>16</v>
      </c>
      <c r="N29" s="80">
        <v>3218</v>
      </c>
      <c r="O29" s="80">
        <v>0</v>
      </c>
      <c r="P29" s="81">
        <v>17251</v>
      </c>
      <c r="Q29" s="82">
        <v>99.907251753521535</v>
      </c>
      <c r="R29" s="83">
        <v>2180</v>
      </c>
      <c r="S29" s="82">
        <v>14.881960917203207</v>
      </c>
      <c r="T29" s="83">
        <v>1959</v>
      </c>
      <c r="U29" s="83">
        <v>0</v>
      </c>
      <c r="V29" s="81">
        <v>1975</v>
      </c>
      <c r="W29" s="79"/>
    </row>
    <row r="30" spans="1:23" s="84" customFormat="1" ht="9.9499999999999993" customHeight="1" x14ac:dyDescent="0.2">
      <c r="B30" s="77">
        <v>41000</v>
      </c>
      <c r="C30" s="55" t="s">
        <v>308</v>
      </c>
      <c r="D30" s="85" t="s">
        <v>292</v>
      </c>
      <c r="E30" s="92" t="s">
        <v>47</v>
      </c>
      <c r="F30" s="93">
        <v>43753</v>
      </c>
      <c r="G30" s="93">
        <v>43753</v>
      </c>
      <c r="H30" s="93">
        <v>15564</v>
      </c>
      <c r="I30" s="93">
        <v>14738</v>
      </c>
      <c r="J30" s="93">
        <v>0</v>
      </c>
      <c r="K30" s="93">
        <v>0</v>
      </c>
      <c r="L30" s="93">
        <v>12737</v>
      </c>
      <c r="M30" s="93">
        <v>54</v>
      </c>
      <c r="N30" s="93">
        <v>2773</v>
      </c>
      <c r="O30" s="93">
        <v>0</v>
      </c>
      <c r="P30" s="81">
        <v>15564</v>
      </c>
      <c r="Q30" s="82">
        <v>99.653045489591364</v>
      </c>
      <c r="R30" s="85">
        <v>2278</v>
      </c>
      <c r="S30" s="82">
        <v>14.636340272423542</v>
      </c>
      <c r="T30" s="85">
        <v>1650</v>
      </c>
      <c r="U30" s="85">
        <v>0</v>
      </c>
      <c r="V30" s="81">
        <v>1704</v>
      </c>
      <c r="W30" s="85"/>
    </row>
    <row r="31" spans="1:23" s="84" customFormat="1" ht="9.9499999999999993" customHeight="1" x14ac:dyDescent="0.2">
      <c r="B31" s="115" t="s">
        <v>309</v>
      </c>
      <c r="C31" s="55" t="s">
        <v>310</v>
      </c>
      <c r="D31" s="85" t="s">
        <v>292</v>
      </c>
      <c r="E31" s="85" t="s">
        <v>47</v>
      </c>
      <c r="F31" s="94">
        <v>43800</v>
      </c>
      <c r="G31" s="93">
        <v>43800</v>
      </c>
      <c r="H31" s="93">
        <v>15348</v>
      </c>
      <c r="I31" s="93">
        <v>14463</v>
      </c>
      <c r="J31" s="93">
        <v>0</v>
      </c>
      <c r="K31" s="93">
        <v>0</v>
      </c>
      <c r="L31" s="93">
        <v>12589</v>
      </c>
      <c r="M31" s="93">
        <v>0</v>
      </c>
      <c r="N31" s="93">
        <v>2759</v>
      </c>
      <c r="O31" s="93">
        <v>0</v>
      </c>
      <c r="P31" s="81">
        <v>15348</v>
      </c>
      <c r="Q31" s="82">
        <v>100</v>
      </c>
      <c r="R31" s="85">
        <v>0</v>
      </c>
      <c r="S31" s="82">
        <v>0</v>
      </c>
      <c r="T31" s="85">
        <v>1786</v>
      </c>
      <c r="U31" s="85">
        <v>0</v>
      </c>
      <c r="V31" s="81">
        <v>1786</v>
      </c>
      <c r="W31" s="85"/>
    </row>
    <row r="32" spans="1:23" s="84" customFormat="1" ht="9.9499999999999993" customHeight="1" x14ac:dyDescent="0.2">
      <c r="B32" s="115" t="s">
        <v>311</v>
      </c>
      <c r="C32" s="55" t="s">
        <v>312</v>
      </c>
      <c r="D32" s="85" t="s">
        <v>292</v>
      </c>
      <c r="E32" s="85" t="s">
        <v>47</v>
      </c>
      <c r="F32" s="94">
        <v>44040</v>
      </c>
      <c r="G32" s="93">
        <v>44040</v>
      </c>
      <c r="H32" s="93">
        <v>15355</v>
      </c>
      <c r="I32" s="93">
        <v>14509</v>
      </c>
      <c r="J32" s="93">
        <v>0</v>
      </c>
      <c r="K32" s="93">
        <v>0</v>
      </c>
      <c r="L32" s="93">
        <v>12559</v>
      </c>
      <c r="M32" s="93">
        <v>32</v>
      </c>
      <c r="N32" s="93">
        <v>2796</v>
      </c>
      <c r="O32" s="93">
        <v>0</v>
      </c>
      <c r="P32" s="81">
        <v>15387</v>
      </c>
      <c r="Q32" s="82">
        <v>99.792032235003575</v>
      </c>
      <c r="R32" s="85">
        <v>0</v>
      </c>
      <c r="S32" s="82">
        <v>0</v>
      </c>
      <c r="T32" s="85">
        <v>1835</v>
      </c>
      <c r="U32" s="85">
        <v>0</v>
      </c>
      <c r="V32" s="81">
        <v>1867</v>
      </c>
      <c r="W32" s="85"/>
    </row>
    <row r="33" spans="1:24" s="84" customFormat="1" ht="9.9499999999999993" customHeight="1" x14ac:dyDescent="0.2">
      <c r="B33" s="115" t="s">
        <v>316</v>
      </c>
      <c r="C33" s="55" t="s">
        <v>313</v>
      </c>
      <c r="D33" s="96" t="s">
        <v>292</v>
      </c>
      <c r="E33" s="96" t="s">
        <v>47</v>
      </c>
      <c r="F33" s="95">
        <v>44256</v>
      </c>
      <c r="G33" s="95">
        <v>44256</v>
      </c>
      <c r="H33" s="95">
        <v>15649</v>
      </c>
      <c r="I33" s="95">
        <v>14485</v>
      </c>
      <c r="J33" s="95">
        <v>0</v>
      </c>
      <c r="K33" s="95">
        <v>481</v>
      </c>
      <c r="L33" s="95">
        <v>12512</v>
      </c>
      <c r="M33" s="95">
        <v>40</v>
      </c>
      <c r="N33" s="95">
        <v>2616</v>
      </c>
      <c r="O33" s="95">
        <v>0</v>
      </c>
      <c r="P33" s="81">
        <v>15168</v>
      </c>
      <c r="Q33" s="82">
        <v>99.736286919831215</v>
      </c>
      <c r="R33" s="95">
        <v>0</v>
      </c>
      <c r="S33" s="82">
        <v>3.0736788293181676</v>
      </c>
      <c r="T33" s="95">
        <v>1707</v>
      </c>
      <c r="U33" s="95">
        <v>0</v>
      </c>
      <c r="V33" s="81">
        <v>1747</v>
      </c>
      <c r="W33" s="79"/>
    </row>
    <row r="34" spans="1:24" s="84" customFormat="1" ht="9.9499999999999993" customHeight="1" x14ac:dyDescent="0.2">
      <c r="B34" s="115" t="s">
        <v>317</v>
      </c>
      <c r="C34" s="55" t="s">
        <v>314</v>
      </c>
      <c r="D34" s="98" t="s">
        <v>292</v>
      </c>
      <c r="E34" s="98" t="s">
        <v>47</v>
      </c>
      <c r="F34" s="97">
        <v>44275</v>
      </c>
      <c r="G34" s="97">
        <v>44275</v>
      </c>
      <c r="H34" s="97">
        <v>15201</v>
      </c>
      <c r="I34" s="97">
        <v>14410</v>
      </c>
      <c r="J34" s="97">
        <v>0</v>
      </c>
      <c r="K34" s="97">
        <v>0</v>
      </c>
      <c r="L34" s="97">
        <v>12525</v>
      </c>
      <c r="M34" s="97">
        <v>40</v>
      </c>
      <c r="N34" s="97">
        <v>2676</v>
      </c>
      <c r="O34" s="97">
        <v>0</v>
      </c>
      <c r="P34" s="81">
        <v>15241</v>
      </c>
      <c r="Q34" s="82">
        <v>99.737550029525622</v>
      </c>
      <c r="R34" s="97">
        <v>0</v>
      </c>
      <c r="S34" s="82">
        <v>0</v>
      </c>
      <c r="T34" s="97">
        <v>1483</v>
      </c>
      <c r="U34" s="97">
        <v>0</v>
      </c>
      <c r="V34" s="81">
        <v>1523</v>
      </c>
      <c r="W34" s="79"/>
    </row>
    <row r="35" spans="1:24" s="84" customFormat="1" ht="9.9499999999999993" customHeight="1" x14ac:dyDescent="0.2">
      <c r="B35" s="77">
        <v>35886</v>
      </c>
      <c r="C35" s="55" t="s">
        <v>290</v>
      </c>
      <c r="D35" s="78" t="s">
        <v>294</v>
      </c>
      <c r="E35" s="79" t="s">
        <v>49</v>
      </c>
      <c r="F35" s="80">
        <v>18903</v>
      </c>
      <c r="G35" s="80">
        <v>18903</v>
      </c>
      <c r="H35" s="80">
        <v>3842</v>
      </c>
      <c r="I35" s="80">
        <v>4688</v>
      </c>
      <c r="J35" s="80">
        <v>0</v>
      </c>
      <c r="K35" s="80">
        <v>273</v>
      </c>
      <c r="L35" s="80">
        <v>3707</v>
      </c>
      <c r="M35" s="80">
        <v>0</v>
      </c>
      <c r="N35" s="80">
        <v>961</v>
      </c>
      <c r="O35" s="80">
        <v>335</v>
      </c>
      <c r="P35" s="81">
        <v>5003</v>
      </c>
      <c r="Q35" s="82">
        <v>100</v>
      </c>
      <c r="R35" s="83">
        <v>653</v>
      </c>
      <c r="S35" s="82">
        <v>23.900682335102349</v>
      </c>
      <c r="T35" s="83">
        <v>487</v>
      </c>
      <c r="U35" s="83">
        <v>0</v>
      </c>
      <c r="V35" s="81">
        <v>487</v>
      </c>
      <c r="W35" s="79"/>
    </row>
    <row r="36" spans="1:24" s="84" customFormat="1" ht="9.9499999999999993" customHeight="1" x14ac:dyDescent="0.2">
      <c r="B36" s="77">
        <v>36251</v>
      </c>
      <c r="C36" s="55" t="s">
        <v>295</v>
      </c>
      <c r="D36" s="78" t="s">
        <v>294</v>
      </c>
      <c r="E36" s="86" t="s">
        <v>49</v>
      </c>
      <c r="F36" s="87">
        <v>18743</v>
      </c>
      <c r="G36" s="87">
        <v>18743</v>
      </c>
      <c r="H36" s="87">
        <v>3967</v>
      </c>
      <c r="I36" s="87">
        <v>4793</v>
      </c>
      <c r="J36" s="87">
        <v>0</v>
      </c>
      <c r="K36" s="87">
        <v>230</v>
      </c>
      <c r="L36" s="87">
        <v>3645</v>
      </c>
      <c r="M36" s="87">
        <v>0</v>
      </c>
      <c r="N36" s="87">
        <v>877</v>
      </c>
      <c r="O36" s="87">
        <v>347</v>
      </c>
      <c r="P36" s="81">
        <v>4869</v>
      </c>
      <c r="Q36" s="82">
        <v>100</v>
      </c>
      <c r="R36" s="88">
        <v>649</v>
      </c>
      <c r="S36" s="82">
        <v>24.043930182388703</v>
      </c>
      <c r="T36" s="88">
        <v>454</v>
      </c>
      <c r="U36" s="88">
        <v>0</v>
      </c>
      <c r="V36" s="81">
        <v>454</v>
      </c>
      <c r="W36" s="86"/>
    </row>
    <row r="37" spans="1:24" s="84" customFormat="1" ht="9.9499999999999993" customHeight="1" x14ac:dyDescent="0.2">
      <c r="B37" s="77">
        <v>36617</v>
      </c>
      <c r="C37" s="55" t="s">
        <v>296</v>
      </c>
      <c r="D37" s="78" t="s">
        <v>294</v>
      </c>
      <c r="E37" s="79" t="s">
        <v>49</v>
      </c>
      <c r="F37" s="80">
        <v>18644</v>
      </c>
      <c r="G37" s="80">
        <v>18644</v>
      </c>
      <c r="H37" s="80">
        <v>4117</v>
      </c>
      <c r="I37" s="80">
        <v>5177</v>
      </c>
      <c r="J37" s="80">
        <v>0</v>
      </c>
      <c r="K37" s="80">
        <v>241</v>
      </c>
      <c r="L37" s="80">
        <v>3791</v>
      </c>
      <c r="M37" s="80">
        <v>0</v>
      </c>
      <c r="N37" s="80">
        <v>1101</v>
      </c>
      <c r="O37" s="80">
        <v>285</v>
      </c>
      <c r="P37" s="81">
        <v>5177</v>
      </c>
      <c r="Q37" s="82">
        <v>100</v>
      </c>
      <c r="R37" s="83">
        <v>669</v>
      </c>
      <c r="S37" s="82">
        <v>22.056109265411592</v>
      </c>
      <c r="T37" s="83">
        <v>0</v>
      </c>
      <c r="U37" s="83">
        <v>536</v>
      </c>
      <c r="V37" s="81">
        <v>536</v>
      </c>
      <c r="W37" s="79"/>
    </row>
    <row r="38" spans="1:24" s="84" customFormat="1" ht="9.9499999999999993" customHeight="1" x14ac:dyDescent="0.2">
      <c r="B38" s="77">
        <v>36982</v>
      </c>
      <c r="C38" s="55" t="s">
        <v>297</v>
      </c>
      <c r="D38" s="78" t="s">
        <v>294</v>
      </c>
      <c r="E38" s="79" t="s">
        <v>49</v>
      </c>
      <c r="F38" s="80">
        <v>18452</v>
      </c>
      <c r="G38" s="80">
        <v>18452</v>
      </c>
      <c r="H38" s="80">
        <v>4271</v>
      </c>
      <c r="I38" s="80">
        <v>5244</v>
      </c>
      <c r="J38" s="80">
        <v>0</v>
      </c>
      <c r="K38" s="80">
        <v>260</v>
      </c>
      <c r="L38" s="80">
        <v>4081</v>
      </c>
      <c r="M38" s="80">
        <v>0</v>
      </c>
      <c r="N38" s="80">
        <v>801</v>
      </c>
      <c r="O38" s="80">
        <v>362</v>
      </c>
      <c r="P38" s="81">
        <v>5244</v>
      </c>
      <c r="Q38" s="82">
        <v>100</v>
      </c>
      <c r="R38" s="83">
        <v>678</v>
      </c>
      <c r="S38" s="82">
        <v>23.619186046511629</v>
      </c>
      <c r="T38" s="83">
        <v>431</v>
      </c>
      <c r="U38" s="83">
        <v>0</v>
      </c>
      <c r="V38" s="81">
        <v>431</v>
      </c>
      <c r="W38" s="79"/>
    </row>
    <row r="39" spans="1:24" s="84" customFormat="1" ht="9.9499999999999993" customHeight="1" x14ac:dyDescent="0.2">
      <c r="A39" s="1"/>
      <c r="B39" s="77">
        <v>37347</v>
      </c>
      <c r="C39" s="55" t="s">
        <v>298</v>
      </c>
      <c r="D39" s="78" t="s">
        <v>294</v>
      </c>
      <c r="E39" s="79" t="s">
        <v>49</v>
      </c>
      <c r="F39" s="80">
        <v>18335</v>
      </c>
      <c r="G39" s="80">
        <v>18335</v>
      </c>
      <c r="H39" s="80">
        <v>4348</v>
      </c>
      <c r="I39" s="80">
        <v>5311</v>
      </c>
      <c r="J39" s="80">
        <v>0</v>
      </c>
      <c r="K39" s="80">
        <v>223</v>
      </c>
      <c r="L39" s="80">
        <v>4142</v>
      </c>
      <c r="M39" s="80">
        <v>0</v>
      </c>
      <c r="N39" s="80">
        <v>1169</v>
      </c>
      <c r="O39" s="80">
        <v>0</v>
      </c>
      <c r="P39" s="81">
        <v>5311</v>
      </c>
      <c r="Q39" s="82">
        <v>100</v>
      </c>
      <c r="R39" s="83">
        <v>1032</v>
      </c>
      <c r="S39" s="82">
        <v>22.677990603541744</v>
      </c>
      <c r="T39" s="83">
        <v>602</v>
      </c>
      <c r="U39" s="83">
        <v>0</v>
      </c>
      <c r="V39" s="81">
        <v>602</v>
      </c>
      <c r="W39" s="79"/>
    </row>
    <row r="40" spans="1:24" s="84" customFormat="1" ht="9.9499999999999993" customHeight="1" x14ac:dyDescent="0.2">
      <c r="A40" s="1"/>
      <c r="B40" s="77">
        <v>37712</v>
      </c>
      <c r="C40" s="55" t="s">
        <v>299</v>
      </c>
      <c r="D40" s="78" t="s">
        <v>294</v>
      </c>
      <c r="E40" s="89" t="s">
        <v>49</v>
      </c>
      <c r="F40" s="90">
        <v>18158</v>
      </c>
      <c r="G40" s="90">
        <v>18158</v>
      </c>
      <c r="H40" s="90">
        <v>5116</v>
      </c>
      <c r="I40" s="90">
        <v>4192</v>
      </c>
      <c r="J40" s="90">
        <v>0</v>
      </c>
      <c r="K40" s="90">
        <v>188</v>
      </c>
      <c r="L40" s="90">
        <v>3645</v>
      </c>
      <c r="M40" s="90">
        <v>0</v>
      </c>
      <c r="N40" s="90">
        <v>1457</v>
      </c>
      <c r="O40" s="90">
        <v>14</v>
      </c>
      <c r="P40" s="81">
        <v>5116</v>
      </c>
      <c r="Q40" s="82">
        <v>100</v>
      </c>
      <c r="R40" s="91">
        <v>1316</v>
      </c>
      <c r="S40" s="82">
        <v>28.619909502262441</v>
      </c>
      <c r="T40" s="91">
        <v>472</v>
      </c>
      <c r="U40" s="91">
        <v>0</v>
      </c>
      <c r="V40" s="81">
        <v>472</v>
      </c>
      <c r="W40" s="89"/>
    </row>
    <row r="41" spans="1:24" s="84" customFormat="1" ht="9.9499999999999993" customHeight="1" x14ac:dyDescent="0.2">
      <c r="A41" s="1"/>
      <c r="B41" s="77">
        <v>38078</v>
      </c>
      <c r="C41" s="55" t="s">
        <v>300</v>
      </c>
      <c r="D41" s="78" t="s">
        <v>294</v>
      </c>
      <c r="E41" s="79" t="s">
        <v>49</v>
      </c>
      <c r="F41" s="80">
        <v>17952</v>
      </c>
      <c r="G41" s="80">
        <v>17952</v>
      </c>
      <c r="H41" s="80">
        <v>5045</v>
      </c>
      <c r="I41" s="80">
        <v>4153</v>
      </c>
      <c r="J41" s="80">
        <v>0</v>
      </c>
      <c r="K41" s="80">
        <v>194</v>
      </c>
      <c r="L41" s="80">
        <v>3546</v>
      </c>
      <c r="M41" s="80">
        <v>36</v>
      </c>
      <c r="N41" s="80">
        <v>1462</v>
      </c>
      <c r="O41" s="80">
        <v>0</v>
      </c>
      <c r="P41" s="81">
        <v>5044</v>
      </c>
      <c r="Q41" s="82">
        <v>99.286280729579701</v>
      </c>
      <c r="R41" s="83">
        <v>1300</v>
      </c>
      <c r="S41" s="82">
        <v>28.522336769759448</v>
      </c>
      <c r="T41" s="83">
        <v>467</v>
      </c>
      <c r="U41" s="83">
        <v>0</v>
      </c>
      <c r="V41" s="81">
        <v>503</v>
      </c>
      <c r="W41" s="79"/>
    </row>
    <row r="42" spans="1:24" s="84" customFormat="1" ht="9.9499999999999993" customHeight="1" x14ac:dyDescent="0.2">
      <c r="B42" s="77">
        <v>38443</v>
      </c>
      <c r="C42" s="55" t="s">
        <v>301</v>
      </c>
      <c r="D42" s="78" t="s">
        <v>294</v>
      </c>
      <c r="E42" s="79" t="s">
        <v>49</v>
      </c>
      <c r="F42" s="80">
        <v>17794</v>
      </c>
      <c r="G42" s="80">
        <v>17794</v>
      </c>
      <c r="H42" s="80">
        <v>5604</v>
      </c>
      <c r="I42" s="80">
        <v>4452</v>
      </c>
      <c r="J42" s="80">
        <v>0</v>
      </c>
      <c r="K42" s="80">
        <v>197</v>
      </c>
      <c r="L42" s="80">
        <v>3934</v>
      </c>
      <c r="M42" s="80">
        <v>13</v>
      </c>
      <c r="N42" s="80">
        <v>1473</v>
      </c>
      <c r="O42" s="80">
        <v>0</v>
      </c>
      <c r="P42" s="81">
        <v>5420</v>
      </c>
      <c r="Q42" s="82">
        <v>99.760147601476007</v>
      </c>
      <c r="R42" s="83">
        <v>1287</v>
      </c>
      <c r="S42" s="82">
        <v>26.419797044685779</v>
      </c>
      <c r="T42" s="83">
        <v>508</v>
      </c>
      <c r="U42" s="83">
        <v>0</v>
      </c>
      <c r="V42" s="81">
        <v>521</v>
      </c>
      <c r="W42" s="79"/>
    </row>
    <row r="43" spans="1:24" s="1" customFormat="1" ht="9.9499999999999993" customHeight="1" x14ac:dyDescent="0.2">
      <c r="A43" s="84"/>
      <c r="B43" s="77">
        <v>38808</v>
      </c>
      <c r="C43" s="55" t="s">
        <v>302</v>
      </c>
      <c r="D43" s="78" t="s">
        <v>294</v>
      </c>
      <c r="E43" s="79" t="s">
        <v>49</v>
      </c>
      <c r="F43" s="80">
        <v>17574</v>
      </c>
      <c r="G43" s="80">
        <v>17574</v>
      </c>
      <c r="H43" s="80">
        <v>5583</v>
      </c>
      <c r="I43" s="80">
        <v>4394</v>
      </c>
      <c r="J43" s="80">
        <v>0</v>
      </c>
      <c r="K43" s="80">
        <v>188</v>
      </c>
      <c r="L43" s="80">
        <v>3805</v>
      </c>
      <c r="M43" s="80">
        <v>13</v>
      </c>
      <c r="N43" s="80">
        <v>1577</v>
      </c>
      <c r="O43" s="80">
        <v>0</v>
      </c>
      <c r="P43" s="81">
        <v>5395</v>
      </c>
      <c r="Q43" s="82">
        <v>99.759036144578317</v>
      </c>
      <c r="R43" s="83">
        <v>1320</v>
      </c>
      <c r="S43" s="82">
        <v>27.010567795092243</v>
      </c>
      <c r="T43" s="83">
        <v>544</v>
      </c>
      <c r="U43" s="83">
        <v>0</v>
      </c>
      <c r="V43" s="81">
        <v>557</v>
      </c>
      <c r="W43" s="79"/>
      <c r="X43" s="84"/>
    </row>
    <row r="44" spans="1:24" s="1" customFormat="1" ht="9.9499999999999993" customHeight="1" x14ac:dyDescent="0.2">
      <c r="A44" s="84"/>
      <c r="B44" s="77">
        <v>39173</v>
      </c>
      <c r="C44" s="55" t="s">
        <v>303</v>
      </c>
      <c r="D44" s="78" t="s">
        <v>294</v>
      </c>
      <c r="E44" s="79" t="s">
        <v>49</v>
      </c>
      <c r="F44" s="80">
        <v>17270</v>
      </c>
      <c r="G44" s="80">
        <v>17270</v>
      </c>
      <c r="H44" s="80">
        <v>5487</v>
      </c>
      <c r="I44" s="80">
        <v>4391</v>
      </c>
      <c r="J44" s="80">
        <v>0</v>
      </c>
      <c r="K44" s="80">
        <v>186</v>
      </c>
      <c r="L44" s="80">
        <v>3855</v>
      </c>
      <c r="M44" s="80">
        <v>0</v>
      </c>
      <c r="N44" s="80">
        <v>1460</v>
      </c>
      <c r="O44" s="80">
        <v>0</v>
      </c>
      <c r="P44" s="81">
        <v>5315</v>
      </c>
      <c r="Q44" s="82">
        <v>100</v>
      </c>
      <c r="R44" s="83">
        <v>1274</v>
      </c>
      <c r="S44" s="82">
        <v>26.540628976549719</v>
      </c>
      <c r="T44" s="83">
        <v>537</v>
      </c>
      <c r="U44" s="83">
        <v>0</v>
      </c>
      <c r="V44" s="81">
        <v>537</v>
      </c>
      <c r="W44" s="79"/>
      <c r="X44" s="84"/>
    </row>
    <row r="45" spans="1:24" s="1" customFormat="1" ht="9.9499999999999993" customHeight="1" x14ac:dyDescent="0.2">
      <c r="A45" s="84"/>
      <c r="B45" s="77">
        <v>39539</v>
      </c>
      <c r="C45" s="55" t="s">
        <v>304</v>
      </c>
      <c r="D45" s="78" t="s">
        <v>294</v>
      </c>
      <c r="E45" s="79" t="s">
        <v>49</v>
      </c>
      <c r="F45" s="80">
        <v>17136</v>
      </c>
      <c r="G45" s="80">
        <v>17136</v>
      </c>
      <c r="H45" s="80">
        <v>5407</v>
      </c>
      <c r="I45" s="80">
        <v>4325</v>
      </c>
      <c r="J45" s="80">
        <v>0</v>
      </c>
      <c r="K45" s="80">
        <v>212</v>
      </c>
      <c r="L45" s="80">
        <v>3907</v>
      </c>
      <c r="M45" s="80">
        <v>0</v>
      </c>
      <c r="N45" s="80">
        <v>1288</v>
      </c>
      <c r="O45" s="80">
        <v>0</v>
      </c>
      <c r="P45" s="81">
        <v>5195</v>
      </c>
      <c r="Q45" s="82">
        <v>100</v>
      </c>
      <c r="R45" s="83">
        <v>1146</v>
      </c>
      <c r="S45" s="82">
        <v>25.1155909006843</v>
      </c>
      <c r="T45" s="83">
        <v>521</v>
      </c>
      <c r="U45" s="83">
        <v>0</v>
      </c>
      <c r="V45" s="81">
        <v>521</v>
      </c>
      <c r="W45" s="79"/>
      <c r="X45" s="84"/>
    </row>
    <row r="46" spans="1:24" s="1" customFormat="1" ht="9.9499999999999993" customHeight="1" x14ac:dyDescent="0.2">
      <c r="A46" s="84"/>
      <c r="B46" s="77">
        <v>39904</v>
      </c>
      <c r="C46" s="55" t="s">
        <v>305</v>
      </c>
      <c r="D46" s="78" t="s">
        <v>294</v>
      </c>
      <c r="E46" s="79" t="s">
        <v>49</v>
      </c>
      <c r="F46" s="80">
        <v>17009</v>
      </c>
      <c r="G46" s="80">
        <v>17009</v>
      </c>
      <c r="H46" s="80">
        <v>5214</v>
      </c>
      <c r="I46" s="80">
        <v>4193</v>
      </c>
      <c r="J46" s="80">
        <v>0</v>
      </c>
      <c r="K46" s="80">
        <v>222</v>
      </c>
      <c r="L46" s="80">
        <v>3796</v>
      </c>
      <c r="M46" s="80">
        <v>0</v>
      </c>
      <c r="N46" s="80">
        <v>1196</v>
      </c>
      <c r="O46" s="80">
        <v>0</v>
      </c>
      <c r="P46" s="81">
        <v>4992</v>
      </c>
      <c r="Q46" s="82">
        <v>100</v>
      </c>
      <c r="R46" s="83">
        <v>1064</v>
      </c>
      <c r="S46" s="82">
        <v>24.664365170694285</v>
      </c>
      <c r="T46" s="83">
        <v>532</v>
      </c>
      <c r="U46" s="83">
        <v>0</v>
      </c>
      <c r="V46" s="81">
        <v>532</v>
      </c>
      <c r="W46" s="79"/>
      <c r="X46" s="84"/>
    </row>
    <row r="47" spans="1:24" s="1" customFormat="1" ht="9.9499999999999993" customHeight="1" x14ac:dyDescent="0.2">
      <c r="A47" s="84"/>
      <c r="B47" s="77">
        <v>40269</v>
      </c>
      <c r="C47" s="55" t="s">
        <v>306</v>
      </c>
      <c r="D47" s="78" t="s">
        <v>294</v>
      </c>
      <c r="E47" s="79" t="s">
        <v>49</v>
      </c>
      <c r="F47" s="80">
        <v>16791</v>
      </c>
      <c r="G47" s="80">
        <v>16791</v>
      </c>
      <c r="H47" s="80">
        <v>4462</v>
      </c>
      <c r="I47" s="80">
        <v>3590</v>
      </c>
      <c r="J47" s="80">
        <v>0</v>
      </c>
      <c r="K47" s="80">
        <v>197</v>
      </c>
      <c r="L47" s="80">
        <v>3237</v>
      </c>
      <c r="M47" s="80">
        <v>11</v>
      </c>
      <c r="N47" s="80">
        <v>1028</v>
      </c>
      <c r="O47" s="80">
        <v>0</v>
      </c>
      <c r="P47" s="81">
        <v>4276</v>
      </c>
      <c r="Q47" s="82">
        <v>99.742750233863418</v>
      </c>
      <c r="R47" s="83">
        <v>908</v>
      </c>
      <c r="S47" s="82">
        <v>24.703778224904983</v>
      </c>
      <c r="T47" s="83">
        <v>459</v>
      </c>
      <c r="U47" s="83">
        <v>0</v>
      </c>
      <c r="V47" s="81">
        <v>470</v>
      </c>
      <c r="W47" s="79"/>
      <c r="X47" s="84"/>
    </row>
    <row r="48" spans="1:24" s="1" customFormat="1" ht="9.9499999999999993" customHeight="1" x14ac:dyDescent="0.2">
      <c r="A48" s="84"/>
      <c r="B48" s="102">
        <v>40634</v>
      </c>
      <c r="C48" s="55" t="s">
        <v>307</v>
      </c>
      <c r="D48" s="78" t="s">
        <v>294</v>
      </c>
      <c r="E48" s="105" t="s">
        <v>49</v>
      </c>
      <c r="F48" s="80">
        <v>14629</v>
      </c>
      <c r="G48" s="107">
        <v>14629</v>
      </c>
      <c r="H48" s="107">
        <v>4045</v>
      </c>
      <c r="I48" s="80">
        <v>3942</v>
      </c>
      <c r="J48" s="80">
        <v>89</v>
      </c>
      <c r="K48" s="80">
        <v>14</v>
      </c>
      <c r="L48" s="107">
        <v>2952</v>
      </c>
      <c r="M48" s="80">
        <v>0</v>
      </c>
      <c r="N48" s="80">
        <v>1079</v>
      </c>
      <c r="O48" s="80">
        <v>0</v>
      </c>
      <c r="P48" s="81">
        <v>4031</v>
      </c>
      <c r="Q48" s="82">
        <v>100</v>
      </c>
      <c r="R48" s="83">
        <v>959</v>
      </c>
      <c r="S48" s="82">
        <v>24.054388133498144</v>
      </c>
      <c r="T48" s="109">
        <v>422</v>
      </c>
      <c r="U48" s="83">
        <v>0</v>
      </c>
      <c r="V48" s="81">
        <v>422</v>
      </c>
      <c r="W48" s="79"/>
      <c r="X48" s="84"/>
    </row>
    <row r="49" spans="1:24" s="1" customFormat="1" ht="9.9499999999999993" customHeight="1" x14ac:dyDescent="0.2">
      <c r="A49" s="84"/>
      <c r="B49" s="102">
        <v>41000</v>
      </c>
      <c r="C49" s="55" t="s">
        <v>308</v>
      </c>
      <c r="D49" s="85" t="s">
        <v>294</v>
      </c>
      <c r="E49" s="106" t="s">
        <v>49</v>
      </c>
      <c r="F49" s="93">
        <v>13932</v>
      </c>
      <c r="G49" s="108">
        <v>13932</v>
      </c>
      <c r="H49" s="108">
        <v>4036</v>
      </c>
      <c r="I49" s="93">
        <v>3709</v>
      </c>
      <c r="J49" s="93">
        <v>0</v>
      </c>
      <c r="K49" s="93">
        <v>0</v>
      </c>
      <c r="L49" s="108">
        <v>3037</v>
      </c>
      <c r="M49" s="93">
        <v>0</v>
      </c>
      <c r="N49" s="93">
        <v>999</v>
      </c>
      <c r="O49" s="93">
        <v>0</v>
      </c>
      <c r="P49" s="81">
        <v>4036</v>
      </c>
      <c r="Q49" s="82">
        <v>100</v>
      </c>
      <c r="R49" s="85">
        <v>832</v>
      </c>
      <c r="S49" s="82">
        <v>20.614469772051535</v>
      </c>
      <c r="T49" s="103">
        <v>393</v>
      </c>
      <c r="U49" s="85">
        <v>0</v>
      </c>
      <c r="V49" s="81">
        <v>393</v>
      </c>
      <c r="W49" s="85"/>
      <c r="X49" s="84"/>
    </row>
    <row r="50" spans="1:24" s="1" customFormat="1" ht="9.9499999999999993" customHeight="1" x14ac:dyDescent="0.2">
      <c r="A50" s="84"/>
      <c r="B50" s="118" t="s">
        <v>309</v>
      </c>
      <c r="C50" s="55" t="s">
        <v>310</v>
      </c>
      <c r="D50" s="85" t="s">
        <v>294</v>
      </c>
      <c r="E50" s="103" t="s">
        <v>49</v>
      </c>
      <c r="F50" s="94">
        <v>13339</v>
      </c>
      <c r="G50" s="108">
        <v>13339</v>
      </c>
      <c r="H50" s="108">
        <v>4225</v>
      </c>
      <c r="I50" s="93">
        <v>3751</v>
      </c>
      <c r="J50" s="93">
        <v>0</v>
      </c>
      <c r="K50" s="93">
        <v>0</v>
      </c>
      <c r="L50" s="108">
        <v>3192</v>
      </c>
      <c r="M50" s="93">
        <v>0</v>
      </c>
      <c r="N50" s="93">
        <v>1033</v>
      </c>
      <c r="O50" s="93">
        <v>0</v>
      </c>
      <c r="P50" s="81">
        <v>4225</v>
      </c>
      <c r="Q50" s="82">
        <v>100</v>
      </c>
      <c r="R50" s="85">
        <v>0</v>
      </c>
      <c r="S50" s="82">
        <v>0</v>
      </c>
      <c r="T50" s="103">
        <v>467</v>
      </c>
      <c r="U50" s="85">
        <v>0</v>
      </c>
      <c r="V50" s="81">
        <v>467</v>
      </c>
      <c r="W50" s="85"/>
      <c r="X50" s="84"/>
    </row>
    <row r="51" spans="1:24" s="1" customFormat="1" ht="9.9499999999999993" customHeight="1" x14ac:dyDescent="0.2">
      <c r="A51" s="84"/>
      <c r="B51" s="118" t="s">
        <v>311</v>
      </c>
      <c r="C51" s="55" t="s">
        <v>312</v>
      </c>
      <c r="D51" s="85" t="s">
        <v>294</v>
      </c>
      <c r="E51" s="103" t="s">
        <v>49</v>
      </c>
      <c r="F51" s="94">
        <v>12940</v>
      </c>
      <c r="G51" s="108">
        <v>12940</v>
      </c>
      <c r="H51" s="108">
        <v>4325</v>
      </c>
      <c r="I51" s="93">
        <v>3787</v>
      </c>
      <c r="J51" s="93">
        <v>0</v>
      </c>
      <c r="K51" s="93">
        <v>0</v>
      </c>
      <c r="L51" s="108">
        <v>3259</v>
      </c>
      <c r="M51" s="93">
        <v>13</v>
      </c>
      <c r="N51" s="93">
        <v>1066</v>
      </c>
      <c r="O51" s="93">
        <v>0</v>
      </c>
      <c r="P51" s="81">
        <v>4338</v>
      </c>
      <c r="Q51" s="82">
        <v>99.700322729368366</v>
      </c>
      <c r="R51" s="85">
        <v>0</v>
      </c>
      <c r="S51" s="82">
        <v>0</v>
      </c>
      <c r="T51" s="103">
        <v>477</v>
      </c>
      <c r="U51" s="85">
        <v>0</v>
      </c>
      <c r="V51" s="81">
        <v>490</v>
      </c>
      <c r="W51" s="85"/>
      <c r="X51" s="84"/>
    </row>
    <row r="52" spans="1:24" s="1" customFormat="1" ht="9.9499999999999993" customHeight="1" x14ac:dyDescent="0.2">
      <c r="A52" s="84"/>
      <c r="B52" s="115" t="s">
        <v>316</v>
      </c>
      <c r="C52" s="55" t="s">
        <v>313</v>
      </c>
      <c r="D52" s="96" t="s">
        <v>294</v>
      </c>
      <c r="E52" s="105" t="s">
        <v>49</v>
      </c>
      <c r="F52" s="95">
        <v>12646</v>
      </c>
      <c r="G52" s="104">
        <v>12646</v>
      </c>
      <c r="H52" s="104">
        <v>4384</v>
      </c>
      <c r="I52" s="95">
        <v>3833</v>
      </c>
      <c r="J52" s="95">
        <v>0</v>
      </c>
      <c r="K52" s="95">
        <v>0</v>
      </c>
      <c r="L52" s="104">
        <v>3232</v>
      </c>
      <c r="M52" s="95">
        <v>4</v>
      </c>
      <c r="N52" s="95">
        <v>1152</v>
      </c>
      <c r="O52" s="95">
        <v>0</v>
      </c>
      <c r="P52" s="81">
        <v>4388</v>
      </c>
      <c r="Q52" s="82">
        <v>99.908842297174118</v>
      </c>
      <c r="R52" s="95">
        <v>0</v>
      </c>
      <c r="S52" s="82">
        <v>0</v>
      </c>
      <c r="T52" s="104">
        <v>489</v>
      </c>
      <c r="U52" s="95">
        <v>0</v>
      </c>
      <c r="V52" s="81">
        <v>493</v>
      </c>
      <c r="W52" s="79"/>
      <c r="X52" s="84"/>
    </row>
    <row r="53" spans="1:24" s="1" customFormat="1" ht="9.9499999999999993" customHeight="1" x14ac:dyDescent="0.2">
      <c r="A53" s="84"/>
      <c r="B53" s="115" t="s">
        <v>317</v>
      </c>
      <c r="C53" s="55" t="s">
        <v>314</v>
      </c>
      <c r="D53" s="98" t="s">
        <v>294</v>
      </c>
      <c r="E53" s="105" t="s">
        <v>49</v>
      </c>
      <c r="F53" s="97">
        <v>12509</v>
      </c>
      <c r="G53" s="104">
        <v>12509</v>
      </c>
      <c r="H53" s="104">
        <v>4104</v>
      </c>
      <c r="I53" s="97">
        <v>3861</v>
      </c>
      <c r="J53" s="97">
        <v>0</v>
      </c>
      <c r="K53" s="97">
        <v>0</v>
      </c>
      <c r="L53" s="104">
        <v>3101</v>
      </c>
      <c r="M53" s="97">
        <v>0</v>
      </c>
      <c r="N53" s="97">
        <v>1003</v>
      </c>
      <c r="O53" s="97">
        <v>0</v>
      </c>
      <c r="P53" s="81">
        <v>4104</v>
      </c>
      <c r="Q53" s="82">
        <v>100</v>
      </c>
      <c r="R53" s="97">
        <v>0</v>
      </c>
      <c r="S53" s="82">
        <v>0</v>
      </c>
      <c r="T53" s="104">
        <v>382</v>
      </c>
      <c r="U53" s="97">
        <v>0</v>
      </c>
      <c r="V53" s="81">
        <v>382</v>
      </c>
      <c r="W53" s="79"/>
      <c r="X53" s="84"/>
    </row>
    <row r="54" spans="1:24" s="1" customFormat="1" ht="9.9499999999999993" customHeight="1" x14ac:dyDescent="0.2">
      <c r="A54" s="84"/>
      <c r="B54" s="77">
        <v>35886</v>
      </c>
      <c r="C54" s="55" t="s">
        <v>290</v>
      </c>
      <c r="D54" s="78" t="s">
        <v>291</v>
      </c>
      <c r="E54" s="79" t="s">
        <v>46</v>
      </c>
      <c r="F54" s="80">
        <v>64932</v>
      </c>
      <c r="G54" s="80">
        <v>64932</v>
      </c>
      <c r="H54" s="80">
        <v>20215</v>
      </c>
      <c r="I54" s="80">
        <v>21800</v>
      </c>
      <c r="J54" s="80">
        <v>0</v>
      </c>
      <c r="K54" s="80">
        <v>1446</v>
      </c>
      <c r="L54" s="80">
        <v>16039</v>
      </c>
      <c r="M54" s="80">
        <v>381</v>
      </c>
      <c r="N54" s="80">
        <v>4254</v>
      </c>
      <c r="O54" s="80">
        <v>1126</v>
      </c>
      <c r="P54" s="81">
        <v>21800</v>
      </c>
      <c r="Q54" s="82">
        <v>98.252293577981646</v>
      </c>
      <c r="R54" s="83">
        <v>959</v>
      </c>
      <c r="S54" s="82">
        <v>15.189710057644326</v>
      </c>
      <c r="T54" s="83">
        <v>2189</v>
      </c>
      <c r="U54" s="83">
        <v>2998</v>
      </c>
      <c r="V54" s="81">
        <v>5568</v>
      </c>
      <c r="W54" s="79"/>
      <c r="X54" s="84"/>
    </row>
    <row r="55" spans="1:24" s="84" customFormat="1" ht="9.9499999999999993" customHeight="1" x14ac:dyDescent="0.2">
      <c r="B55" s="77">
        <v>36251</v>
      </c>
      <c r="C55" s="55" t="s">
        <v>295</v>
      </c>
      <c r="D55" s="78" t="s">
        <v>291</v>
      </c>
      <c r="E55" s="86" t="s">
        <v>46</v>
      </c>
      <c r="F55" s="87">
        <v>65905</v>
      </c>
      <c r="G55" s="87">
        <v>65905</v>
      </c>
      <c r="H55" s="87">
        <v>19978</v>
      </c>
      <c r="I55" s="87">
        <v>21659</v>
      </c>
      <c r="J55" s="87">
        <v>0</v>
      </c>
      <c r="K55" s="87">
        <v>1410</v>
      </c>
      <c r="L55" s="87">
        <v>16711</v>
      </c>
      <c r="M55" s="87">
        <v>256</v>
      </c>
      <c r="N55" s="87">
        <v>4404</v>
      </c>
      <c r="O55" s="87">
        <v>1149</v>
      </c>
      <c r="P55" s="81">
        <v>22520</v>
      </c>
      <c r="Q55" s="82">
        <v>98.863232682060385</v>
      </c>
      <c r="R55" s="88">
        <v>1395</v>
      </c>
      <c r="S55" s="82">
        <v>16.523192645215211</v>
      </c>
      <c r="T55" s="88">
        <v>2183</v>
      </c>
      <c r="U55" s="88">
        <v>2356</v>
      </c>
      <c r="V55" s="81">
        <v>4795</v>
      </c>
      <c r="W55" s="86"/>
    </row>
    <row r="56" spans="1:24" s="84" customFormat="1" ht="9.9499999999999993" customHeight="1" x14ac:dyDescent="0.2">
      <c r="B56" s="77">
        <v>36617</v>
      </c>
      <c r="C56" s="55" t="s">
        <v>296</v>
      </c>
      <c r="D56" s="78" t="s">
        <v>291</v>
      </c>
      <c r="E56" s="79" t="s">
        <v>46</v>
      </c>
      <c r="F56" s="80">
        <v>67057</v>
      </c>
      <c r="G56" s="80">
        <v>67057</v>
      </c>
      <c r="H56" s="80">
        <v>21928</v>
      </c>
      <c r="I56" s="80">
        <v>23651</v>
      </c>
      <c r="J56" s="80">
        <v>0</v>
      </c>
      <c r="K56" s="80">
        <v>1375</v>
      </c>
      <c r="L56" s="80">
        <v>17677</v>
      </c>
      <c r="M56" s="80">
        <v>233</v>
      </c>
      <c r="N56" s="80">
        <v>4263</v>
      </c>
      <c r="O56" s="80">
        <v>1458</v>
      </c>
      <c r="P56" s="81">
        <v>23631</v>
      </c>
      <c r="Q56" s="82">
        <v>99.014007024670974</v>
      </c>
      <c r="R56" s="83">
        <v>0</v>
      </c>
      <c r="S56" s="82">
        <v>11.329280972566584</v>
      </c>
      <c r="T56" s="83">
        <v>233</v>
      </c>
      <c r="U56" s="83">
        <v>2272</v>
      </c>
      <c r="V56" s="81">
        <v>2738</v>
      </c>
      <c r="W56" s="79"/>
    </row>
    <row r="57" spans="1:24" s="84" customFormat="1" ht="9.9499999999999993" customHeight="1" x14ac:dyDescent="0.2">
      <c r="B57" s="77">
        <v>36982</v>
      </c>
      <c r="C57" s="55" t="s">
        <v>297</v>
      </c>
      <c r="D57" s="78" t="s">
        <v>291</v>
      </c>
      <c r="E57" s="79" t="s">
        <v>46</v>
      </c>
      <c r="F57" s="80">
        <v>67566</v>
      </c>
      <c r="G57" s="80">
        <v>67566</v>
      </c>
      <c r="H57" s="80">
        <v>21161</v>
      </c>
      <c r="I57" s="80">
        <v>23411</v>
      </c>
      <c r="J57" s="80">
        <v>0</v>
      </c>
      <c r="K57" s="80">
        <v>1238</v>
      </c>
      <c r="L57" s="80">
        <v>17646</v>
      </c>
      <c r="M57" s="80">
        <v>177</v>
      </c>
      <c r="N57" s="80">
        <v>1456</v>
      </c>
      <c r="O57" s="80">
        <v>4132</v>
      </c>
      <c r="P57" s="81">
        <v>23411</v>
      </c>
      <c r="Q57" s="82">
        <v>99.24394515398744</v>
      </c>
      <c r="R57" s="83">
        <v>447</v>
      </c>
      <c r="S57" s="82">
        <v>23.599334658606843</v>
      </c>
      <c r="T57" s="83">
        <v>2530</v>
      </c>
      <c r="U57" s="83">
        <v>76</v>
      </c>
      <c r="V57" s="81">
        <v>2783</v>
      </c>
      <c r="W57" s="79"/>
    </row>
    <row r="58" spans="1:24" s="84" customFormat="1" ht="9.9499999999999993" customHeight="1" x14ac:dyDescent="0.2">
      <c r="A58" s="1"/>
      <c r="B58" s="77">
        <v>37347</v>
      </c>
      <c r="C58" s="55" t="s">
        <v>298</v>
      </c>
      <c r="D58" s="78" t="s">
        <v>291</v>
      </c>
      <c r="E58" s="79" t="s">
        <v>46</v>
      </c>
      <c r="F58" s="80">
        <v>68030</v>
      </c>
      <c r="G58" s="80">
        <v>68030</v>
      </c>
      <c r="H58" s="80">
        <v>22237</v>
      </c>
      <c r="I58" s="80">
        <v>23734</v>
      </c>
      <c r="J58" s="80">
        <v>0</v>
      </c>
      <c r="K58" s="80">
        <v>1115</v>
      </c>
      <c r="L58" s="80">
        <v>17103</v>
      </c>
      <c r="M58" s="80">
        <v>110</v>
      </c>
      <c r="N58" s="80">
        <v>6521</v>
      </c>
      <c r="O58" s="80">
        <v>0</v>
      </c>
      <c r="P58" s="81">
        <v>23734</v>
      </c>
      <c r="Q58" s="82">
        <v>99.53652987275639</v>
      </c>
      <c r="R58" s="83">
        <v>4825</v>
      </c>
      <c r="S58" s="82">
        <v>23.904382470119522</v>
      </c>
      <c r="T58" s="83">
        <v>2251</v>
      </c>
      <c r="U58" s="83">
        <v>0</v>
      </c>
      <c r="V58" s="81">
        <v>2361</v>
      </c>
      <c r="W58" s="79"/>
    </row>
    <row r="59" spans="1:24" s="84" customFormat="1" ht="9.9499999999999993" customHeight="1" x14ac:dyDescent="0.2">
      <c r="A59" s="1"/>
      <c r="B59" s="77">
        <v>37712</v>
      </c>
      <c r="C59" s="55" t="s">
        <v>299</v>
      </c>
      <c r="D59" s="78" t="s">
        <v>291</v>
      </c>
      <c r="E59" s="89" t="s">
        <v>46</v>
      </c>
      <c r="F59" s="90">
        <v>68433</v>
      </c>
      <c r="G59" s="90">
        <v>68433</v>
      </c>
      <c r="H59" s="90">
        <v>23732</v>
      </c>
      <c r="I59" s="90">
        <v>21484</v>
      </c>
      <c r="J59" s="90">
        <v>0</v>
      </c>
      <c r="K59" s="90">
        <v>1073</v>
      </c>
      <c r="L59" s="90">
        <v>18154</v>
      </c>
      <c r="M59" s="90">
        <v>116</v>
      </c>
      <c r="N59" s="90">
        <v>5425</v>
      </c>
      <c r="O59" s="90">
        <v>37</v>
      </c>
      <c r="P59" s="81">
        <v>23732</v>
      </c>
      <c r="Q59" s="82">
        <v>99.511208494859261</v>
      </c>
      <c r="R59" s="91">
        <v>4152</v>
      </c>
      <c r="S59" s="82">
        <v>21.213465027212255</v>
      </c>
      <c r="T59" s="91">
        <v>2717</v>
      </c>
      <c r="U59" s="91">
        <v>0</v>
      </c>
      <c r="V59" s="81">
        <v>2833</v>
      </c>
      <c r="W59" s="89"/>
    </row>
    <row r="60" spans="1:24" s="84" customFormat="1" ht="9.9499999999999993" customHeight="1" x14ac:dyDescent="0.2">
      <c r="A60" s="1"/>
      <c r="B60" s="77">
        <v>38078</v>
      </c>
      <c r="C60" s="55" t="s">
        <v>300</v>
      </c>
      <c r="D60" s="78" t="s">
        <v>291</v>
      </c>
      <c r="E60" s="79" t="s">
        <v>46</v>
      </c>
      <c r="F60" s="80">
        <v>68519</v>
      </c>
      <c r="G60" s="80">
        <v>68519</v>
      </c>
      <c r="H60" s="80">
        <v>23988</v>
      </c>
      <c r="I60" s="80">
        <v>21900</v>
      </c>
      <c r="J60" s="80">
        <v>0</v>
      </c>
      <c r="K60" s="80">
        <v>1078</v>
      </c>
      <c r="L60" s="80">
        <v>18138</v>
      </c>
      <c r="M60" s="80">
        <v>22</v>
      </c>
      <c r="N60" s="80">
        <v>5827</v>
      </c>
      <c r="O60" s="80">
        <v>0</v>
      </c>
      <c r="P60" s="81">
        <v>23987</v>
      </c>
      <c r="Q60" s="82">
        <v>99.908283653645725</v>
      </c>
      <c r="R60" s="83">
        <v>4312</v>
      </c>
      <c r="S60" s="82">
        <v>21.504089367644124</v>
      </c>
      <c r="T60" s="83">
        <v>2980</v>
      </c>
      <c r="U60" s="83">
        <v>0</v>
      </c>
      <c r="V60" s="81">
        <v>3002</v>
      </c>
      <c r="W60" s="79"/>
    </row>
    <row r="61" spans="1:24" s="84" customFormat="1" ht="9.9499999999999993" customHeight="1" x14ac:dyDescent="0.2">
      <c r="B61" s="77">
        <v>38443</v>
      </c>
      <c r="C61" s="55" t="s">
        <v>301</v>
      </c>
      <c r="D61" s="78" t="s">
        <v>291</v>
      </c>
      <c r="E61" s="79" t="s">
        <v>46</v>
      </c>
      <c r="F61" s="80">
        <v>68524</v>
      </c>
      <c r="G61" s="80">
        <v>68524</v>
      </c>
      <c r="H61" s="80">
        <v>24835</v>
      </c>
      <c r="I61" s="80">
        <v>21861</v>
      </c>
      <c r="J61" s="80">
        <v>0</v>
      </c>
      <c r="K61" s="80">
        <v>1050</v>
      </c>
      <c r="L61" s="80">
        <v>18381</v>
      </c>
      <c r="M61" s="80">
        <v>0</v>
      </c>
      <c r="N61" s="80">
        <v>5404</v>
      </c>
      <c r="O61" s="80">
        <v>0</v>
      </c>
      <c r="P61" s="81">
        <v>23785</v>
      </c>
      <c r="Q61" s="82">
        <v>100</v>
      </c>
      <c r="R61" s="83">
        <v>4195</v>
      </c>
      <c r="S61" s="82">
        <v>21.119387960539562</v>
      </c>
      <c r="T61" s="83">
        <v>3163</v>
      </c>
      <c r="U61" s="83">
        <v>0</v>
      </c>
      <c r="V61" s="81">
        <v>3163</v>
      </c>
      <c r="W61" s="79"/>
    </row>
    <row r="62" spans="1:24" s="84" customFormat="1" ht="9.9499999999999993" customHeight="1" x14ac:dyDescent="0.2">
      <c r="B62" s="77">
        <v>38808</v>
      </c>
      <c r="C62" s="55" t="s">
        <v>302</v>
      </c>
      <c r="D62" s="78" t="s">
        <v>291</v>
      </c>
      <c r="E62" s="79" t="s">
        <v>46</v>
      </c>
      <c r="F62" s="80">
        <v>68651</v>
      </c>
      <c r="G62" s="80">
        <v>68651</v>
      </c>
      <c r="H62" s="80">
        <v>24451</v>
      </c>
      <c r="I62" s="80">
        <v>21596</v>
      </c>
      <c r="J62" s="80">
        <v>0</v>
      </c>
      <c r="K62" s="80">
        <v>1034</v>
      </c>
      <c r="L62" s="80">
        <v>18043</v>
      </c>
      <c r="M62" s="80">
        <v>0</v>
      </c>
      <c r="N62" s="80">
        <v>5374</v>
      </c>
      <c r="O62" s="80">
        <v>0</v>
      </c>
      <c r="P62" s="81">
        <v>23417</v>
      </c>
      <c r="Q62" s="82">
        <v>100</v>
      </c>
      <c r="R62" s="83">
        <v>4741</v>
      </c>
      <c r="S62" s="82">
        <v>23.618665903235041</v>
      </c>
      <c r="T62" s="83">
        <v>3077</v>
      </c>
      <c r="U62" s="83">
        <v>0</v>
      </c>
      <c r="V62" s="81">
        <v>3077</v>
      </c>
      <c r="W62" s="79"/>
    </row>
    <row r="63" spans="1:24" ht="9.9499999999999993" customHeight="1" x14ac:dyDescent="0.2">
      <c r="B63" s="77">
        <v>39173</v>
      </c>
      <c r="C63" s="55" t="s">
        <v>303</v>
      </c>
      <c r="D63" s="78" t="s">
        <v>291</v>
      </c>
      <c r="E63" s="79" t="s">
        <v>46</v>
      </c>
      <c r="F63" s="80">
        <v>69254</v>
      </c>
      <c r="G63" s="80">
        <v>69254</v>
      </c>
      <c r="H63" s="80">
        <v>25166</v>
      </c>
      <c r="I63" s="80">
        <v>22518</v>
      </c>
      <c r="J63" s="80">
        <v>0</v>
      </c>
      <c r="K63" s="80">
        <v>1006</v>
      </c>
      <c r="L63" s="80">
        <v>18753</v>
      </c>
      <c r="M63" s="80">
        <v>65</v>
      </c>
      <c r="N63" s="80">
        <v>5427</v>
      </c>
      <c r="O63" s="80">
        <v>0</v>
      </c>
      <c r="P63" s="81">
        <v>24245</v>
      </c>
      <c r="Q63" s="82">
        <v>99.731903485254691</v>
      </c>
      <c r="R63" s="83">
        <v>4533</v>
      </c>
      <c r="S63" s="82">
        <v>21.93576492020118</v>
      </c>
      <c r="T63" s="83">
        <v>2814</v>
      </c>
      <c r="U63" s="83">
        <v>0</v>
      </c>
      <c r="V63" s="81">
        <v>2879</v>
      </c>
      <c r="W63" s="79"/>
      <c r="X63" s="84"/>
    </row>
    <row r="64" spans="1:24" ht="9.9499999999999993" customHeight="1" x14ac:dyDescent="0.2">
      <c r="B64" s="77">
        <v>39539</v>
      </c>
      <c r="C64" s="55" t="s">
        <v>304</v>
      </c>
      <c r="D64" s="78" t="s">
        <v>291</v>
      </c>
      <c r="E64" s="79" t="s">
        <v>46</v>
      </c>
      <c r="F64" s="80">
        <v>70167</v>
      </c>
      <c r="G64" s="80">
        <v>70167</v>
      </c>
      <c r="H64" s="80">
        <v>24974</v>
      </c>
      <c r="I64" s="80">
        <v>22339</v>
      </c>
      <c r="J64" s="80">
        <v>0</v>
      </c>
      <c r="K64" s="80">
        <v>965</v>
      </c>
      <c r="L64" s="80">
        <v>18828</v>
      </c>
      <c r="M64" s="80">
        <v>71</v>
      </c>
      <c r="N64" s="80">
        <v>5181</v>
      </c>
      <c r="O64" s="80">
        <v>0</v>
      </c>
      <c r="P64" s="81">
        <v>24080</v>
      </c>
      <c r="Q64" s="82">
        <v>99.705149501661126</v>
      </c>
      <c r="R64" s="83">
        <v>4193</v>
      </c>
      <c r="S64" s="82">
        <v>20.594929127570374</v>
      </c>
      <c r="T64" s="83">
        <v>2994</v>
      </c>
      <c r="U64" s="83">
        <v>0</v>
      </c>
      <c r="V64" s="81">
        <v>3065</v>
      </c>
      <c r="W64" s="79"/>
      <c r="X64" s="84"/>
    </row>
    <row r="65" spans="2:24" ht="9.9499999999999993" customHeight="1" x14ac:dyDescent="0.2">
      <c r="B65" s="77">
        <v>39904</v>
      </c>
      <c r="C65" s="55" t="s">
        <v>305</v>
      </c>
      <c r="D65" s="78" t="s">
        <v>291</v>
      </c>
      <c r="E65" s="79" t="s">
        <v>46</v>
      </c>
      <c r="F65" s="80">
        <v>71460</v>
      </c>
      <c r="G65" s="80">
        <v>71460</v>
      </c>
      <c r="H65" s="80">
        <v>25086</v>
      </c>
      <c r="I65" s="80">
        <v>22554</v>
      </c>
      <c r="J65" s="80">
        <v>0</v>
      </c>
      <c r="K65" s="80">
        <v>910</v>
      </c>
      <c r="L65" s="80">
        <v>18740</v>
      </c>
      <c r="M65" s="80">
        <v>68</v>
      </c>
      <c r="N65" s="80">
        <v>5437</v>
      </c>
      <c r="O65" s="80">
        <v>0</v>
      </c>
      <c r="P65" s="81">
        <v>24245</v>
      </c>
      <c r="Q65" s="82">
        <v>99.71952979995875</v>
      </c>
      <c r="R65" s="83">
        <v>4628</v>
      </c>
      <c r="S65" s="82">
        <v>22.015503875968992</v>
      </c>
      <c r="T65" s="83">
        <v>2884</v>
      </c>
      <c r="U65" s="83">
        <v>0</v>
      </c>
      <c r="V65" s="81">
        <v>2952</v>
      </c>
      <c r="W65" s="79"/>
      <c r="X65" s="84"/>
    </row>
    <row r="66" spans="2:24" ht="9.9499999999999993" customHeight="1" x14ac:dyDescent="0.2">
      <c r="B66" s="77">
        <v>40269</v>
      </c>
      <c r="C66" s="55" t="s">
        <v>306</v>
      </c>
      <c r="D66" s="78" t="s">
        <v>291</v>
      </c>
      <c r="E66" s="79" t="s">
        <v>46</v>
      </c>
      <c r="F66" s="80">
        <v>73033</v>
      </c>
      <c r="G66" s="80">
        <v>73033</v>
      </c>
      <c r="H66" s="80">
        <v>21986</v>
      </c>
      <c r="I66" s="80">
        <v>19650</v>
      </c>
      <c r="J66" s="80">
        <v>0</v>
      </c>
      <c r="K66" s="80">
        <v>862</v>
      </c>
      <c r="L66" s="80">
        <v>16372</v>
      </c>
      <c r="M66" s="80">
        <v>0</v>
      </c>
      <c r="N66" s="80">
        <v>4752</v>
      </c>
      <c r="O66" s="80">
        <v>0</v>
      </c>
      <c r="P66" s="81">
        <v>21124</v>
      </c>
      <c r="Q66" s="82">
        <v>100</v>
      </c>
      <c r="R66" s="83">
        <v>3567</v>
      </c>
      <c r="S66" s="82">
        <v>20.144637496588739</v>
      </c>
      <c r="T66" s="83">
        <v>2509</v>
      </c>
      <c r="U66" s="83">
        <v>0</v>
      </c>
      <c r="V66" s="81">
        <v>2509</v>
      </c>
      <c r="W66" s="79"/>
      <c r="X66" s="84"/>
    </row>
    <row r="67" spans="2:24" ht="9.9499999999999993" customHeight="1" x14ac:dyDescent="0.2">
      <c r="B67" s="77">
        <v>40634</v>
      </c>
      <c r="C67" s="55" t="s">
        <v>307</v>
      </c>
      <c r="D67" s="78" t="s">
        <v>291</v>
      </c>
      <c r="E67" s="79" t="s">
        <v>46</v>
      </c>
      <c r="F67" s="80">
        <v>71824</v>
      </c>
      <c r="G67" s="80">
        <v>71824</v>
      </c>
      <c r="H67" s="80">
        <v>26655</v>
      </c>
      <c r="I67" s="80">
        <v>24833</v>
      </c>
      <c r="J67" s="80">
        <v>1122</v>
      </c>
      <c r="K67" s="80">
        <v>700</v>
      </c>
      <c r="L67" s="80">
        <v>19150</v>
      </c>
      <c r="M67" s="80">
        <v>0</v>
      </c>
      <c r="N67" s="80">
        <v>6805</v>
      </c>
      <c r="O67" s="80">
        <v>0</v>
      </c>
      <c r="P67" s="81">
        <v>25955</v>
      </c>
      <c r="Q67" s="82">
        <v>100</v>
      </c>
      <c r="R67" s="83">
        <v>4916</v>
      </c>
      <c r="S67" s="82">
        <v>21.069217782779965</v>
      </c>
      <c r="T67" s="83">
        <v>1781</v>
      </c>
      <c r="U67" s="83">
        <v>0</v>
      </c>
      <c r="V67" s="81">
        <v>1781</v>
      </c>
      <c r="W67" s="79"/>
      <c r="X67" s="84"/>
    </row>
    <row r="68" spans="2:24" ht="9.9499999999999993" customHeight="1" x14ac:dyDescent="0.2">
      <c r="B68" s="77">
        <v>41000</v>
      </c>
      <c r="C68" s="55" t="s">
        <v>308</v>
      </c>
      <c r="D68" s="85" t="s">
        <v>291</v>
      </c>
      <c r="E68" s="92" t="s">
        <v>46</v>
      </c>
      <c r="F68" s="93">
        <v>72579</v>
      </c>
      <c r="G68" s="93">
        <v>72579</v>
      </c>
      <c r="H68" s="93">
        <v>26363</v>
      </c>
      <c r="I68" s="93">
        <v>24026</v>
      </c>
      <c r="J68" s="93">
        <v>0</v>
      </c>
      <c r="K68" s="93">
        <v>769</v>
      </c>
      <c r="L68" s="93">
        <v>19957</v>
      </c>
      <c r="M68" s="93">
        <v>0</v>
      </c>
      <c r="N68" s="93">
        <v>5590</v>
      </c>
      <c r="O68" s="93">
        <v>0</v>
      </c>
      <c r="P68" s="81">
        <v>25547</v>
      </c>
      <c r="Q68" s="82">
        <v>100</v>
      </c>
      <c r="R68" s="85">
        <v>4359</v>
      </c>
      <c r="S68" s="82">
        <v>19.486244110047117</v>
      </c>
      <c r="T68" s="85">
        <v>2513</v>
      </c>
      <c r="U68" s="85">
        <v>0</v>
      </c>
      <c r="V68" s="81">
        <v>2513</v>
      </c>
      <c r="W68" s="85"/>
      <c r="X68" s="84"/>
    </row>
    <row r="69" spans="2:24" ht="9.9499999999999993" customHeight="1" x14ac:dyDescent="0.2">
      <c r="B69" s="115" t="s">
        <v>309</v>
      </c>
      <c r="C69" s="55" t="s">
        <v>310</v>
      </c>
      <c r="D69" s="85" t="s">
        <v>291</v>
      </c>
      <c r="E69" s="85" t="s">
        <v>46</v>
      </c>
      <c r="F69" s="94">
        <v>74139</v>
      </c>
      <c r="G69" s="93">
        <v>74139</v>
      </c>
      <c r="H69" s="93">
        <v>27257</v>
      </c>
      <c r="I69" s="93">
        <v>24834</v>
      </c>
      <c r="J69" s="93">
        <v>0</v>
      </c>
      <c r="K69" s="93">
        <v>824</v>
      </c>
      <c r="L69" s="93">
        <v>20672</v>
      </c>
      <c r="M69" s="93">
        <v>0</v>
      </c>
      <c r="N69" s="93">
        <v>5761</v>
      </c>
      <c r="O69" s="93">
        <v>0</v>
      </c>
      <c r="P69" s="81">
        <v>26433</v>
      </c>
      <c r="Q69" s="82">
        <v>100</v>
      </c>
      <c r="R69" s="85">
        <v>0</v>
      </c>
      <c r="S69" s="82">
        <v>3.0230766408628975</v>
      </c>
      <c r="T69" s="85">
        <v>2929</v>
      </c>
      <c r="U69" s="85">
        <v>0</v>
      </c>
      <c r="V69" s="81">
        <v>2929</v>
      </c>
      <c r="W69" s="85"/>
      <c r="X69" s="84"/>
    </row>
    <row r="70" spans="2:24" ht="9.9499999999999993" customHeight="1" x14ac:dyDescent="0.2">
      <c r="B70" s="115" t="s">
        <v>311</v>
      </c>
      <c r="C70" s="55" t="s">
        <v>312</v>
      </c>
      <c r="D70" s="85" t="s">
        <v>291</v>
      </c>
      <c r="E70" s="85" t="s">
        <v>46</v>
      </c>
      <c r="F70" s="94">
        <v>75774</v>
      </c>
      <c r="G70" s="93">
        <v>75774</v>
      </c>
      <c r="H70" s="93">
        <v>27028</v>
      </c>
      <c r="I70" s="93">
        <v>24754</v>
      </c>
      <c r="J70" s="93">
        <v>0</v>
      </c>
      <c r="K70" s="93">
        <v>814</v>
      </c>
      <c r="L70" s="93">
        <v>20387</v>
      </c>
      <c r="M70" s="93">
        <v>0</v>
      </c>
      <c r="N70" s="93">
        <v>5827</v>
      </c>
      <c r="O70" s="93">
        <v>0</v>
      </c>
      <c r="P70" s="81">
        <v>26214</v>
      </c>
      <c r="Q70" s="82">
        <v>100</v>
      </c>
      <c r="R70" s="85">
        <v>0</v>
      </c>
      <c r="S70" s="82">
        <v>3.0116915791031524</v>
      </c>
      <c r="T70" s="85">
        <v>2959</v>
      </c>
      <c r="U70" s="85">
        <v>0</v>
      </c>
      <c r="V70" s="81">
        <v>2959</v>
      </c>
      <c r="W70" s="85"/>
      <c r="X70" s="84"/>
    </row>
    <row r="71" spans="2:24" ht="9.9499999999999993" customHeight="1" x14ac:dyDescent="0.2">
      <c r="B71" s="115" t="s">
        <v>316</v>
      </c>
      <c r="C71" s="55" t="s">
        <v>313</v>
      </c>
      <c r="D71" s="96" t="s">
        <v>291</v>
      </c>
      <c r="E71" s="96" t="s">
        <v>46</v>
      </c>
      <c r="F71" s="95">
        <v>76940</v>
      </c>
      <c r="G71" s="95">
        <v>76940</v>
      </c>
      <c r="H71" s="95">
        <v>27094</v>
      </c>
      <c r="I71" s="95">
        <v>25033</v>
      </c>
      <c r="J71" s="95">
        <v>0</v>
      </c>
      <c r="K71" s="95">
        <v>778</v>
      </c>
      <c r="L71" s="95">
        <v>20599</v>
      </c>
      <c r="M71" s="95">
        <v>0</v>
      </c>
      <c r="N71" s="95">
        <v>5717</v>
      </c>
      <c r="O71" s="95">
        <v>0</v>
      </c>
      <c r="P71" s="81">
        <v>26316</v>
      </c>
      <c r="Q71" s="82">
        <v>100</v>
      </c>
      <c r="R71" s="95">
        <v>0</v>
      </c>
      <c r="S71" s="82">
        <v>2.8714844615043922</v>
      </c>
      <c r="T71" s="95">
        <v>2941</v>
      </c>
      <c r="U71" s="95">
        <v>0</v>
      </c>
      <c r="V71" s="81">
        <v>2941</v>
      </c>
      <c r="W71" s="79"/>
      <c r="X71" s="84"/>
    </row>
    <row r="72" spans="2:24" ht="9.9499999999999993" customHeight="1" x14ac:dyDescent="0.2">
      <c r="B72" s="115" t="s">
        <v>317</v>
      </c>
      <c r="C72" s="55" t="s">
        <v>314</v>
      </c>
      <c r="D72" s="98" t="s">
        <v>291</v>
      </c>
      <c r="E72" s="98" t="s">
        <v>46</v>
      </c>
      <c r="F72" s="97">
        <v>77594</v>
      </c>
      <c r="G72" s="97">
        <v>77594</v>
      </c>
      <c r="H72" s="97">
        <v>26761</v>
      </c>
      <c r="I72" s="97">
        <v>24679</v>
      </c>
      <c r="J72" s="97">
        <v>0</v>
      </c>
      <c r="K72" s="97">
        <v>797</v>
      </c>
      <c r="L72" s="97">
        <v>20796</v>
      </c>
      <c r="M72" s="97">
        <v>0</v>
      </c>
      <c r="N72" s="97">
        <v>5168</v>
      </c>
      <c r="O72" s="97">
        <v>0</v>
      </c>
      <c r="P72" s="81">
        <v>25964</v>
      </c>
      <c r="Q72" s="82">
        <v>100</v>
      </c>
      <c r="R72" s="97">
        <v>0</v>
      </c>
      <c r="S72" s="82">
        <v>2.9782145659728707</v>
      </c>
      <c r="T72" s="97">
        <v>2471</v>
      </c>
      <c r="U72" s="97">
        <v>0</v>
      </c>
      <c r="V72" s="81">
        <v>2471</v>
      </c>
      <c r="W72" s="79"/>
      <c r="X72" s="1"/>
    </row>
    <row r="73" spans="2:24" ht="9.9499999999999993" customHeight="1" x14ac:dyDescent="0.2">
      <c r="B73" s="77">
        <v>35886</v>
      </c>
      <c r="C73" s="55" t="s">
        <v>290</v>
      </c>
      <c r="D73" s="78" t="s">
        <v>293</v>
      </c>
      <c r="E73" s="85" t="s">
        <v>48</v>
      </c>
      <c r="F73" s="80">
        <v>35066</v>
      </c>
      <c r="G73" s="80">
        <v>35066</v>
      </c>
      <c r="H73" s="80">
        <v>7754</v>
      </c>
      <c r="I73" s="80">
        <v>9023</v>
      </c>
      <c r="J73" s="80">
        <v>0</v>
      </c>
      <c r="K73" s="80">
        <v>659</v>
      </c>
      <c r="L73" s="80">
        <v>7220</v>
      </c>
      <c r="M73" s="80">
        <v>0</v>
      </c>
      <c r="N73" s="80">
        <v>2111</v>
      </c>
      <c r="O73" s="80">
        <v>545</v>
      </c>
      <c r="P73" s="81">
        <v>9876</v>
      </c>
      <c r="Q73" s="82">
        <v>100</v>
      </c>
      <c r="R73" s="83">
        <v>1262</v>
      </c>
      <c r="S73" s="82">
        <v>23.407688656858092</v>
      </c>
      <c r="T73" s="83">
        <v>948</v>
      </c>
      <c r="U73" s="83">
        <v>0</v>
      </c>
      <c r="V73" s="81">
        <v>948</v>
      </c>
      <c r="W73" s="79"/>
      <c r="X73" s="1"/>
    </row>
    <row r="74" spans="2:24" ht="9.9499999999999993" customHeight="1" x14ac:dyDescent="0.2">
      <c r="B74" s="77">
        <v>36251</v>
      </c>
      <c r="C74" s="55" t="s">
        <v>295</v>
      </c>
      <c r="D74" s="78" t="s">
        <v>293</v>
      </c>
      <c r="E74" s="85" t="s">
        <v>48</v>
      </c>
      <c r="F74" s="87">
        <v>35407</v>
      </c>
      <c r="G74" s="87">
        <v>35407</v>
      </c>
      <c r="H74" s="87">
        <v>8231</v>
      </c>
      <c r="I74" s="87">
        <v>9566</v>
      </c>
      <c r="J74" s="87">
        <v>0</v>
      </c>
      <c r="K74" s="87">
        <v>626</v>
      </c>
      <c r="L74" s="87">
        <v>7443</v>
      </c>
      <c r="M74" s="87">
        <v>0</v>
      </c>
      <c r="N74" s="87">
        <v>1602</v>
      </c>
      <c r="O74" s="87">
        <v>649</v>
      </c>
      <c r="P74" s="81">
        <v>9694</v>
      </c>
      <c r="Q74" s="82">
        <v>100</v>
      </c>
      <c r="R74" s="88">
        <v>1231</v>
      </c>
      <c r="S74" s="82">
        <v>24.282945736434108</v>
      </c>
      <c r="T74" s="88">
        <v>927</v>
      </c>
      <c r="U74" s="88">
        <v>0</v>
      </c>
      <c r="V74" s="81">
        <v>927</v>
      </c>
      <c r="W74" s="86"/>
      <c r="X74" s="1"/>
    </row>
    <row r="75" spans="2:24" ht="9.9499999999999993" customHeight="1" x14ac:dyDescent="0.2">
      <c r="B75" s="77">
        <v>36617</v>
      </c>
      <c r="C75" s="55" t="s">
        <v>296</v>
      </c>
      <c r="D75" s="78" t="s">
        <v>293</v>
      </c>
      <c r="E75" s="85" t="s">
        <v>48</v>
      </c>
      <c r="F75" s="80">
        <v>35567</v>
      </c>
      <c r="G75" s="80">
        <v>35567</v>
      </c>
      <c r="H75" s="80">
        <v>8751</v>
      </c>
      <c r="I75" s="80">
        <v>10367</v>
      </c>
      <c r="J75" s="80">
        <v>0</v>
      </c>
      <c r="K75" s="80">
        <v>609</v>
      </c>
      <c r="L75" s="80">
        <v>7891</v>
      </c>
      <c r="M75" s="80">
        <v>0</v>
      </c>
      <c r="N75" s="80">
        <v>1900</v>
      </c>
      <c r="O75" s="80">
        <v>576</v>
      </c>
      <c r="P75" s="81">
        <v>10367</v>
      </c>
      <c r="Q75" s="82">
        <v>100</v>
      </c>
      <c r="R75" s="83">
        <v>1268</v>
      </c>
      <c r="S75" s="82">
        <v>22.348760932944607</v>
      </c>
      <c r="T75" s="83">
        <v>0</v>
      </c>
      <c r="U75" s="83">
        <v>1115</v>
      </c>
      <c r="V75" s="81">
        <v>1115</v>
      </c>
      <c r="W75" s="79"/>
      <c r="X75" s="1"/>
    </row>
    <row r="76" spans="2:24" ht="9.9499999999999993" customHeight="1" x14ac:dyDescent="0.2">
      <c r="B76" s="77">
        <v>36982</v>
      </c>
      <c r="C76" s="55" t="s">
        <v>297</v>
      </c>
      <c r="D76" s="78" t="s">
        <v>293</v>
      </c>
      <c r="E76" s="85" t="s">
        <v>48</v>
      </c>
      <c r="F76" s="80">
        <v>35594</v>
      </c>
      <c r="G76" s="80">
        <v>35594</v>
      </c>
      <c r="H76" s="80">
        <v>9243</v>
      </c>
      <c r="I76" s="80">
        <v>10673</v>
      </c>
      <c r="J76" s="80">
        <v>0</v>
      </c>
      <c r="K76" s="80">
        <v>616</v>
      </c>
      <c r="L76" s="80">
        <v>8410</v>
      </c>
      <c r="M76" s="80">
        <v>0</v>
      </c>
      <c r="N76" s="80">
        <v>1452</v>
      </c>
      <c r="O76" s="80">
        <v>811</v>
      </c>
      <c r="P76" s="81">
        <v>10673</v>
      </c>
      <c r="Q76" s="82">
        <v>100</v>
      </c>
      <c r="R76" s="83">
        <v>1262</v>
      </c>
      <c r="S76" s="82">
        <v>23.819647444414919</v>
      </c>
      <c r="T76" s="83">
        <v>1220</v>
      </c>
      <c r="U76" s="83">
        <v>0</v>
      </c>
      <c r="V76" s="81">
        <v>1220</v>
      </c>
      <c r="W76" s="79"/>
      <c r="X76" s="1"/>
    </row>
    <row r="77" spans="2:24" ht="9.9499999999999993" customHeight="1" x14ac:dyDescent="0.2">
      <c r="B77" s="77">
        <v>37347</v>
      </c>
      <c r="C77" s="55" t="s">
        <v>298</v>
      </c>
      <c r="D77" s="78" t="s">
        <v>293</v>
      </c>
      <c r="E77" s="85" t="s">
        <v>48</v>
      </c>
      <c r="F77" s="80">
        <v>35626</v>
      </c>
      <c r="G77" s="80">
        <v>35626</v>
      </c>
      <c r="H77" s="80">
        <v>9299</v>
      </c>
      <c r="I77" s="80">
        <v>10781</v>
      </c>
      <c r="J77" s="80">
        <v>0</v>
      </c>
      <c r="K77" s="80">
        <v>584</v>
      </c>
      <c r="L77" s="80">
        <v>8590</v>
      </c>
      <c r="M77" s="80">
        <v>0</v>
      </c>
      <c r="N77" s="80">
        <v>2191</v>
      </c>
      <c r="O77" s="80">
        <v>0</v>
      </c>
      <c r="P77" s="81">
        <v>10781</v>
      </c>
      <c r="Q77" s="82">
        <v>100</v>
      </c>
      <c r="R77" s="83">
        <v>1970</v>
      </c>
      <c r="S77" s="82">
        <v>22.472503299604046</v>
      </c>
      <c r="T77" s="83">
        <v>1239</v>
      </c>
      <c r="U77" s="83">
        <v>0</v>
      </c>
      <c r="V77" s="81">
        <v>1239</v>
      </c>
      <c r="W77" s="79"/>
      <c r="X77" s="1"/>
    </row>
    <row r="78" spans="2:24" ht="9.9499999999999993" customHeight="1" x14ac:dyDescent="0.2">
      <c r="B78" s="77">
        <v>37712</v>
      </c>
      <c r="C78" s="55" t="s">
        <v>299</v>
      </c>
      <c r="D78" s="78" t="s">
        <v>293</v>
      </c>
      <c r="E78" s="85" t="s">
        <v>48</v>
      </c>
      <c r="F78" s="90">
        <v>35798</v>
      </c>
      <c r="G78" s="90">
        <v>35798</v>
      </c>
      <c r="H78" s="90">
        <v>10713</v>
      </c>
      <c r="I78" s="90">
        <v>9288</v>
      </c>
      <c r="J78" s="90">
        <v>0</v>
      </c>
      <c r="K78" s="90">
        <v>496</v>
      </c>
      <c r="L78" s="90">
        <v>7882</v>
      </c>
      <c r="M78" s="90">
        <v>0</v>
      </c>
      <c r="N78" s="90">
        <v>2808</v>
      </c>
      <c r="O78" s="90">
        <v>23</v>
      </c>
      <c r="P78" s="81">
        <v>10713</v>
      </c>
      <c r="Q78" s="82">
        <v>100</v>
      </c>
      <c r="R78" s="91">
        <v>2472</v>
      </c>
      <c r="S78" s="82">
        <v>26.683914711392632</v>
      </c>
      <c r="T78" s="91">
        <v>1025</v>
      </c>
      <c r="U78" s="91">
        <v>0</v>
      </c>
      <c r="V78" s="81">
        <v>1025</v>
      </c>
      <c r="W78" s="89"/>
      <c r="X78" s="1"/>
    </row>
    <row r="79" spans="2:24" ht="9.9499999999999993" customHeight="1" x14ac:dyDescent="0.2">
      <c r="B79" s="77">
        <v>38078</v>
      </c>
      <c r="C79" s="55" t="s">
        <v>300</v>
      </c>
      <c r="D79" s="78" t="s">
        <v>293</v>
      </c>
      <c r="E79" s="85" t="s">
        <v>48</v>
      </c>
      <c r="F79" s="80">
        <v>35919</v>
      </c>
      <c r="G79" s="80">
        <v>35919</v>
      </c>
      <c r="H79" s="80">
        <v>10967</v>
      </c>
      <c r="I79" s="80">
        <v>9564</v>
      </c>
      <c r="J79" s="80">
        <v>0</v>
      </c>
      <c r="K79" s="80">
        <v>536</v>
      </c>
      <c r="L79" s="80">
        <v>8137</v>
      </c>
      <c r="M79" s="80">
        <v>0</v>
      </c>
      <c r="N79" s="80">
        <v>2830</v>
      </c>
      <c r="O79" s="80">
        <v>0</v>
      </c>
      <c r="P79" s="81">
        <v>10967</v>
      </c>
      <c r="Q79" s="82">
        <v>100</v>
      </c>
      <c r="R79" s="83">
        <v>2544</v>
      </c>
      <c r="S79" s="82">
        <v>26.775623750325998</v>
      </c>
      <c r="T79" s="83">
        <v>1064</v>
      </c>
      <c r="U79" s="83">
        <v>0</v>
      </c>
      <c r="V79" s="81">
        <v>1064</v>
      </c>
      <c r="W79" s="79"/>
      <c r="X79" s="1"/>
    </row>
    <row r="80" spans="2:24" ht="9.9499999999999993" customHeight="1" x14ac:dyDescent="0.2">
      <c r="B80" s="77">
        <v>38443</v>
      </c>
      <c r="C80" s="55" t="s">
        <v>301</v>
      </c>
      <c r="D80" s="78" t="s">
        <v>293</v>
      </c>
      <c r="E80" s="85" t="s">
        <v>48</v>
      </c>
      <c r="F80" s="80">
        <v>35928</v>
      </c>
      <c r="G80" s="80">
        <v>35928</v>
      </c>
      <c r="H80" s="80">
        <v>11812</v>
      </c>
      <c r="I80" s="80">
        <v>9959</v>
      </c>
      <c r="J80" s="80">
        <v>0</v>
      </c>
      <c r="K80" s="80">
        <v>503</v>
      </c>
      <c r="L80" s="80">
        <v>8445</v>
      </c>
      <c r="M80" s="80">
        <v>25</v>
      </c>
      <c r="N80" s="80">
        <v>2864</v>
      </c>
      <c r="O80" s="80">
        <v>0</v>
      </c>
      <c r="P80" s="81">
        <v>11334</v>
      </c>
      <c r="Q80" s="82">
        <v>99.779424739721193</v>
      </c>
      <c r="R80" s="83">
        <v>2484</v>
      </c>
      <c r="S80" s="82">
        <v>25.234434400608265</v>
      </c>
      <c r="T80" s="83">
        <v>1088</v>
      </c>
      <c r="U80" s="83">
        <v>0</v>
      </c>
      <c r="V80" s="81">
        <v>1113</v>
      </c>
      <c r="W80" s="79"/>
      <c r="X80" s="1"/>
    </row>
    <row r="81" spans="2:26" ht="9.9499999999999993" customHeight="1" x14ac:dyDescent="0.2">
      <c r="B81" s="77">
        <v>38808</v>
      </c>
      <c r="C81" s="55" t="s">
        <v>302</v>
      </c>
      <c r="D81" s="78" t="s">
        <v>293</v>
      </c>
      <c r="E81" s="85" t="s">
        <v>48</v>
      </c>
      <c r="F81" s="80">
        <v>35964</v>
      </c>
      <c r="G81" s="80">
        <v>35964</v>
      </c>
      <c r="H81" s="80">
        <v>11975</v>
      </c>
      <c r="I81" s="80">
        <v>10125</v>
      </c>
      <c r="J81" s="80">
        <v>0</v>
      </c>
      <c r="K81" s="80">
        <v>513</v>
      </c>
      <c r="L81" s="80">
        <v>8581</v>
      </c>
      <c r="M81" s="80">
        <v>102</v>
      </c>
      <c r="N81" s="80">
        <v>2881</v>
      </c>
      <c r="O81" s="80">
        <v>0</v>
      </c>
      <c r="P81" s="81">
        <v>11564</v>
      </c>
      <c r="Q81" s="82">
        <v>99.117952265652022</v>
      </c>
      <c r="R81" s="83">
        <v>2510</v>
      </c>
      <c r="S81" s="82">
        <v>25.031050757638486</v>
      </c>
      <c r="T81" s="83">
        <v>1198</v>
      </c>
      <c r="U81" s="83">
        <v>0</v>
      </c>
      <c r="V81" s="81">
        <v>1300</v>
      </c>
      <c r="W81" s="79"/>
      <c r="X81" s="1"/>
    </row>
    <row r="82" spans="2:26" ht="9.9499999999999993" customHeight="1" x14ac:dyDescent="0.2">
      <c r="B82" s="77">
        <v>39173</v>
      </c>
      <c r="C82" s="55" t="s">
        <v>303</v>
      </c>
      <c r="D82" s="78" t="s">
        <v>293</v>
      </c>
      <c r="E82" s="85" t="s">
        <v>48</v>
      </c>
      <c r="F82" s="80">
        <v>35975</v>
      </c>
      <c r="G82" s="80">
        <v>35975</v>
      </c>
      <c r="H82" s="80">
        <v>11919</v>
      </c>
      <c r="I82" s="80">
        <v>10102</v>
      </c>
      <c r="J82" s="80">
        <v>0</v>
      </c>
      <c r="K82" s="80">
        <v>538</v>
      </c>
      <c r="L82" s="80">
        <v>8588</v>
      </c>
      <c r="M82" s="80">
        <v>86</v>
      </c>
      <c r="N82" s="80">
        <v>2809</v>
      </c>
      <c r="O82" s="80">
        <v>9</v>
      </c>
      <c r="P82" s="81">
        <v>11492</v>
      </c>
      <c r="Q82" s="82">
        <v>99.251653324051517</v>
      </c>
      <c r="R82" s="83">
        <v>2445</v>
      </c>
      <c r="S82" s="82">
        <v>24.871155444721531</v>
      </c>
      <c r="T82" s="83">
        <v>1235</v>
      </c>
      <c r="U82" s="83">
        <v>0</v>
      </c>
      <c r="V82" s="81">
        <v>1321</v>
      </c>
      <c r="W82" s="79"/>
      <c r="X82" s="1"/>
    </row>
    <row r="83" spans="2:26" ht="9.9499999999999993" customHeight="1" x14ac:dyDescent="0.2">
      <c r="B83" s="77">
        <v>39539</v>
      </c>
      <c r="C83" s="55" t="s">
        <v>304</v>
      </c>
      <c r="D83" s="78" t="s">
        <v>293</v>
      </c>
      <c r="E83" s="85" t="s">
        <v>48</v>
      </c>
      <c r="F83" s="80">
        <v>35767</v>
      </c>
      <c r="G83" s="80">
        <v>35767</v>
      </c>
      <c r="H83" s="80">
        <v>11575</v>
      </c>
      <c r="I83" s="80">
        <v>9697</v>
      </c>
      <c r="J83" s="80">
        <v>0</v>
      </c>
      <c r="K83" s="80">
        <v>572</v>
      </c>
      <c r="L83" s="80">
        <v>8526</v>
      </c>
      <c r="M83" s="80">
        <v>101</v>
      </c>
      <c r="N83" s="80">
        <v>2477</v>
      </c>
      <c r="O83" s="80">
        <v>25</v>
      </c>
      <c r="P83" s="81">
        <v>11129</v>
      </c>
      <c r="Q83" s="82">
        <v>99.092461137568506</v>
      </c>
      <c r="R83" s="83">
        <v>2190</v>
      </c>
      <c r="S83" s="82">
        <v>23.81847705324331</v>
      </c>
      <c r="T83" s="83">
        <v>1135</v>
      </c>
      <c r="U83" s="83">
        <v>0</v>
      </c>
      <c r="V83" s="81">
        <v>1236</v>
      </c>
      <c r="W83" s="79"/>
      <c r="X83" s="1"/>
    </row>
    <row r="84" spans="2:26" ht="9.9499999999999993" customHeight="1" x14ac:dyDescent="0.2">
      <c r="B84" s="77">
        <v>39904</v>
      </c>
      <c r="C84" s="55" t="s">
        <v>305</v>
      </c>
      <c r="D84" s="78" t="s">
        <v>293</v>
      </c>
      <c r="E84" s="85" t="s">
        <v>48</v>
      </c>
      <c r="F84" s="80">
        <v>35697</v>
      </c>
      <c r="G84" s="80">
        <v>35697</v>
      </c>
      <c r="H84" s="80">
        <v>11238</v>
      </c>
      <c r="I84" s="80">
        <v>9415</v>
      </c>
      <c r="J84" s="80">
        <v>0</v>
      </c>
      <c r="K84" s="80">
        <v>588</v>
      </c>
      <c r="L84" s="80">
        <v>8343</v>
      </c>
      <c r="M84" s="80">
        <v>115</v>
      </c>
      <c r="N84" s="80">
        <v>2307</v>
      </c>
      <c r="O84" s="80">
        <v>0</v>
      </c>
      <c r="P84" s="81">
        <v>10765</v>
      </c>
      <c r="Q84" s="82">
        <v>98.931723176962379</v>
      </c>
      <c r="R84" s="83">
        <v>2034</v>
      </c>
      <c r="S84" s="82">
        <v>23.095217123227339</v>
      </c>
      <c r="T84" s="83">
        <v>1156</v>
      </c>
      <c r="U84" s="83">
        <v>0</v>
      </c>
      <c r="V84" s="81">
        <v>1271</v>
      </c>
      <c r="W84" s="99"/>
      <c r="X84" s="84"/>
    </row>
    <row r="85" spans="2:26" ht="9.9499999999999993" customHeight="1" x14ac:dyDescent="0.2">
      <c r="B85" s="77">
        <v>40269</v>
      </c>
      <c r="C85" s="55" t="s">
        <v>306</v>
      </c>
      <c r="D85" s="78" t="s">
        <v>293</v>
      </c>
      <c r="E85" s="85" t="s">
        <v>48</v>
      </c>
      <c r="F85" s="80">
        <v>35633</v>
      </c>
      <c r="G85" s="80">
        <v>35633</v>
      </c>
      <c r="H85" s="80">
        <v>9573</v>
      </c>
      <c r="I85" s="80">
        <v>8002</v>
      </c>
      <c r="J85" s="80">
        <v>0</v>
      </c>
      <c r="K85" s="80">
        <v>593</v>
      </c>
      <c r="L85" s="80">
        <v>7035</v>
      </c>
      <c r="M85" s="80">
        <v>0</v>
      </c>
      <c r="N85" s="80">
        <v>1945</v>
      </c>
      <c r="O85" s="80">
        <v>0</v>
      </c>
      <c r="P85" s="81">
        <v>8980</v>
      </c>
      <c r="Q85" s="82">
        <v>100</v>
      </c>
      <c r="R85" s="83">
        <v>1693</v>
      </c>
      <c r="S85" s="82">
        <v>23.879661548104043</v>
      </c>
      <c r="T85" s="83">
        <v>1021</v>
      </c>
      <c r="U85" s="83">
        <v>0</v>
      </c>
      <c r="V85" s="81">
        <v>1021</v>
      </c>
      <c r="W85" s="99"/>
      <c r="X85" s="84"/>
    </row>
    <row r="86" spans="2:26" ht="9.9499999999999993" customHeight="1" x14ac:dyDescent="0.2">
      <c r="B86" s="77">
        <v>40634</v>
      </c>
      <c r="C86" s="55" t="s">
        <v>307</v>
      </c>
      <c r="D86" s="78" t="s">
        <v>293</v>
      </c>
      <c r="E86" s="79" t="s">
        <v>48</v>
      </c>
      <c r="F86" s="80">
        <v>34371</v>
      </c>
      <c r="G86" s="80">
        <v>34371</v>
      </c>
      <c r="H86" s="80">
        <v>10198</v>
      </c>
      <c r="I86" s="80">
        <v>9434</v>
      </c>
      <c r="J86" s="80">
        <v>389</v>
      </c>
      <c r="K86" s="80">
        <v>375</v>
      </c>
      <c r="L86" s="80">
        <v>7926</v>
      </c>
      <c r="M86" s="80">
        <v>60</v>
      </c>
      <c r="N86" s="80">
        <v>1897</v>
      </c>
      <c r="O86" s="80">
        <v>0</v>
      </c>
      <c r="P86" s="81">
        <v>9883</v>
      </c>
      <c r="Q86" s="82">
        <v>99.392896893655774</v>
      </c>
      <c r="R86" s="83">
        <v>1631</v>
      </c>
      <c r="S86" s="82">
        <v>19.555468902320143</v>
      </c>
      <c r="T86" s="83">
        <v>1046</v>
      </c>
      <c r="U86" s="83">
        <v>0</v>
      </c>
      <c r="V86" s="81">
        <v>1106</v>
      </c>
      <c r="W86" s="99"/>
      <c r="X86" s="84"/>
    </row>
    <row r="87" spans="2:26" ht="9.9499999999999993" customHeight="1" x14ac:dyDescent="0.2">
      <c r="B87" s="77">
        <v>41000</v>
      </c>
      <c r="C87" s="55" t="s">
        <v>308</v>
      </c>
      <c r="D87" s="85" t="s">
        <v>293</v>
      </c>
      <c r="E87" s="92" t="s">
        <v>48</v>
      </c>
      <c r="F87" s="93">
        <v>34060</v>
      </c>
      <c r="G87" s="93">
        <v>34060</v>
      </c>
      <c r="H87" s="93">
        <v>10555</v>
      </c>
      <c r="I87" s="93">
        <v>9229</v>
      </c>
      <c r="J87" s="93">
        <v>0</v>
      </c>
      <c r="K87" s="93">
        <v>460</v>
      </c>
      <c r="L87" s="93">
        <v>8009</v>
      </c>
      <c r="M87" s="93">
        <v>0</v>
      </c>
      <c r="N87" s="93">
        <v>2086</v>
      </c>
      <c r="O87" s="93">
        <v>0</v>
      </c>
      <c r="P87" s="81">
        <v>10095</v>
      </c>
      <c r="Q87" s="82">
        <v>100</v>
      </c>
      <c r="R87" s="85">
        <v>1708</v>
      </c>
      <c r="S87" s="82">
        <v>20.540028422548556</v>
      </c>
      <c r="T87" s="85">
        <v>1032</v>
      </c>
      <c r="U87" s="85">
        <v>0</v>
      </c>
      <c r="V87" s="81">
        <v>1032</v>
      </c>
      <c r="W87" s="100"/>
      <c r="X87" s="84"/>
    </row>
    <row r="88" spans="2:26" ht="9.9499999999999993" customHeight="1" x14ac:dyDescent="0.2">
      <c r="B88" s="115" t="s">
        <v>309</v>
      </c>
      <c r="C88" s="55" t="s">
        <v>310</v>
      </c>
      <c r="D88" s="85" t="s">
        <v>293</v>
      </c>
      <c r="E88" s="85" t="s">
        <v>48</v>
      </c>
      <c r="F88" s="94">
        <v>33992</v>
      </c>
      <c r="G88" s="93">
        <v>33992</v>
      </c>
      <c r="H88" s="93">
        <v>10934</v>
      </c>
      <c r="I88" s="93">
        <v>9348</v>
      </c>
      <c r="J88" s="93">
        <v>0</v>
      </c>
      <c r="K88" s="93">
        <v>482</v>
      </c>
      <c r="L88" s="93">
        <v>8043</v>
      </c>
      <c r="M88" s="93">
        <v>168</v>
      </c>
      <c r="N88" s="93">
        <v>2241</v>
      </c>
      <c r="O88" s="93">
        <v>0</v>
      </c>
      <c r="P88" s="81">
        <v>10452</v>
      </c>
      <c r="Q88" s="82">
        <v>98.392652123995404</v>
      </c>
      <c r="R88" s="85">
        <v>0</v>
      </c>
      <c r="S88" s="82">
        <v>4.4082677885494785</v>
      </c>
      <c r="T88" s="85">
        <v>1172</v>
      </c>
      <c r="U88" s="85">
        <v>0</v>
      </c>
      <c r="V88" s="81">
        <v>1340</v>
      </c>
      <c r="W88" s="100"/>
      <c r="X88" s="84"/>
    </row>
    <row r="89" spans="2:26" ht="9.9499999999999993" customHeight="1" x14ac:dyDescent="0.2">
      <c r="B89" s="115" t="s">
        <v>311</v>
      </c>
      <c r="C89" s="55" t="s">
        <v>312</v>
      </c>
      <c r="D89" s="85" t="s">
        <v>293</v>
      </c>
      <c r="E89" s="85" t="s">
        <v>48</v>
      </c>
      <c r="F89" s="94">
        <v>34092</v>
      </c>
      <c r="G89" s="93">
        <v>34092</v>
      </c>
      <c r="H89" s="93">
        <v>10818</v>
      </c>
      <c r="I89" s="93">
        <v>9235</v>
      </c>
      <c r="J89" s="93">
        <v>0</v>
      </c>
      <c r="K89" s="93">
        <v>445</v>
      </c>
      <c r="L89" s="93">
        <v>8070</v>
      </c>
      <c r="M89" s="93">
        <v>93</v>
      </c>
      <c r="N89" s="93">
        <v>2210</v>
      </c>
      <c r="O89" s="93">
        <v>0</v>
      </c>
      <c r="P89" s="81">
        <v>10373</v>
      </c>
      <c r="Q89" s="82">
        <v>99.103441627301649</v>
      </c>
      <c r="R89" s="85">
        <v>0</v>
      </c>
      <c r="S89" s="82">
        <v>4.1135145128489556</v>
      </c>
      <c r="T89" s="85">
        <v>1174</v>
      </c>
      <c r="U89" s="85">
        <v>0</v>
      </c>
      <c r="V89" s="81">
        <v>1267</v>
      </c>
      <c r="W89" s="100"/>
      <c r="X89" s="84"/>
    </row>
    <row r="90" spans="2:26" ht="9.9499999999999993" customHeight="1" x14ac:dyDescent="0.2">
      <c r="B90" s="115" t="s">
        <v>316</v>
      </c>
      <c r="C90" s="55" t="s">
        <v>313</v>
      </c>
      <c r="D90" s="96" t="s">
        <v>293</v>
      </c>
      <c r="E90" s="96" t="s">
        <v>48</v>
      </c>
      <c r="F90" s="95">
        <v>34162</v>
      </c>
      <c r="G90" s="95">
        <v>34162</v>
      </c>
      <c r="H90" s="95">
        <v>10689</v>
      </c>
      <c r="I90" s="95">
        <v>9343</v>
      </c>
      <c r="J90" s="95">
        <v>0</v>
      </c>
      <c r="K90" s="95">
        <v>432</v>
      </c>
      <c r="L90" s="95">
        <v>7919</v>
      </c>
      <c r="M90" s="95">
        <v>0</v>
      </c>
      <c r="N90" s="95">
        <v>2338</v>
      </c>
      <c r="O90" s="95">
        <v>0</v>
      </c>
      <c r="P90" s="81">
        <v>10257</v>
      </c>
      <c r="Q90" s="82">
        <v>100</v>
      </c>
      <c r="R90" s="95">
        <v>0</v>
      </c>
      <c r="S90" s="82">
        <v>4.0415380297502104</v>
      </c>
      <c r="T90" s="95">
        <v>1168</v>
      </c>
      <c r="U90" s="95">
        <v>0</v>
      </c>
      <c r="V90" s="81">
        <v>1168</v>
      </c>
      <c r="W90" s="84"/>
      <c r="X90" s="84"/>
    </row>
    <row r="91" spans="2:26" ht="9.9499999999999993" customHeight="1" x14ac:dyDescent="0.2">
      <c r="B91" s="115" t="s">
        <v>317</v>
      </c>
      <c r="C91" s="55" t="s">
        <v>314</v>
      </c>
      <c r="D91" s="98" t="s">
        <v>293</v>
      </c>
      <c r="E91" s="98" t="s">
        <v>48</v>
      </c>
      <c r="F91" s="97">
        <v>34120</v>
      </c>
      <c r="G91" s="97">
        <v>34120</v>
      </c>
      <c r="H91" s="97">
        <v>10290</v>
      </c>
      <c r="I91" s="97">
        <v>9104</v>
      </c>
      <c r="J91" s="97">
        <v>0</v>
      </c>
      <c r="K91" s="97">
        <v>438</v>
      </c>
      <c r="L91" s="97">
        <v>7772</v>
      </c>
      <c r="M91" s="97">
        <v>0</v>
      </c>
      <c r="N91" s="97">
        <v>2080</v>
      </c>
      <c r="O91" s="97">
        <v>0</v>
      </c>
      <c r="P91" s="81">
        <v>9852</v>
      </c>
      <c r="Q91" s="82">
        <v>100</v>
      </c>
      <c r="R91" s="97">
        <v>0</v>
      </c>
      <c r="S91" s="82">
        <v>4.2565597667638482</v>
      </c>
      <c r="T91" s="97">
        <v>941</v>
      </c>
      <c r="U91" s="97">
        <v>0</v>
      </c>
      <c r="V91" s="81">
        <v>941</v>
      </c>
      <c r="W91" s="84"/>
      <c r="X91" s="84"/>
    </row>
    <row r="92" spans="2:26" ht="9.9499999999999993" customHeight="1" x14ac:dyDescent="0.2">
      <c r="B92" s="342">
        <v>42826</v>
      </c>
      <c r="C92" s="339" t="s">
        <v>576</v>
      </c>
      <c r="D92" s="92" t="s">
        <v>291</v>
      </c>
      <c r="E92" s="85" t="s">
        <v>46</v>
      </c>
      <c r="F92" s="112">
        <v>78408</v>
      </c>
      <c r="G92" s="112">
        <v>78408</v>
      </c>
      <c r="H92" s="340">
        <v>26748</v>
      </c>
      <c r="I92" s="112">
        <v>24700</v>
      </c>
      <c r="J92" s="112">
        <v>0</v>
      </c>
      <c r="K92" s="112">
        <v>702</v>
      </c>
      <c r="L92" s="112">
        <v>20897</v>
      </c>
      <c r="M92" s="112">
        <v>68</v>
      </c>
      <c r="N92" s="112">
        <v>5149</v>
      </c>
      <c r="O92" s="112">
        <v>0</v>
      </c>
      <c r="P92" s="81">
        <v>26114</v>
      </c>
      <c r="Q92" s="341">
        <v>99.739603277935203</v>
      </c>
      <c r="R92" s="112">
        <v>4543</v>
      </c>
      <c r="S92" s="341">
        <v>19.559218377088307</v>
      </c>
      <c r="T92" s="112">
        <v>1856</v>
      </c>
      <c r="U92" s="112">
        <v>5</v>
      </c>
      <c r="V92" s="81">
        <v>1929</v>
      </c>
      <c r="W92" s="85"/>
      <c r="X92" s="85"/>
      <c r="Y92" s="85"/>
      <c r="Z92" s="85">
        <v>1346</v>
      </c>
    </row>
    <row r="93" spans="2:26" ht="9.9499999999999993" customHeight="1" x14ac:dyDescent="0.2">
      <c r="B93" s="342">
        <v>42826</v>
      </c>
      <c r="C93" s="339" t="s">
        <v>576</v>
      </c>
      <c r="D93" s="92" t="s">
        <v>292</v>
      </c>
      <c r="E93" s="85" t="s">
        <v>47</v>
      </c>
      <c r="F93" s="112">
        <v>44275</v>
      </c>
      <c r="G93" s="112">
        <v>44275</v>
      </c>
      <c r="H93" s="340">
        <v>15667</v>
      </c>
      <c r="I93" s="112">
        <v>14338</v>
      </c>
      <c r="J93" s="112">
        <v>0</v>
      </c>
      <c r="K93" s="112">
        <v>383</v>
      </c>
      <c r="L93" s="112">
        <v>11930</v>
      </c>
      <c r="M93" s="112">
        <v>31</v>
      </c>
      <c r="N93" s="112">
        <v>2699</v>
      </c>
      <c r="O93" s="112">
        <v>0</v>
      </c>
      <c r="P93" s="81">
        <v>14660</v>
      </c>
      <c r="Q93" s="341">
        <v>99.788540245566168</v>
      </c>
      <c r="R93" s="112">
        <v>2358</v>
      </c>
      <c r="S93" s="341">
        <v>18.221099514724457</v>
      </c>
      <c r="T93" s="112">
        <v>1088</v>
      </c>
      <c r="U93" s="112">
        <v>4</v>
      </c>
      <c r="V93" s="81">
        <v>1123</v>
      </c>
      <c r="W93" s="85"/>
      <c r="X93" s="85"/>
      <c r="Y93" s="85"/>
      <c r="Z93" s="85">
        <v>946</v>
      </c>
    </row>
    <row r="94" spans="2:26" ht="9.9499999999999993" customHeight="1" x14ac:dyDescent="0.2">
      <c r="B94" s="342">
        <v>42826</v>
      </c>
      <c r="C94" s="339" t="s">
        <v>576</v>
      </c>
      <c r="D94" s="92" t="s">
        <v>293</v>
      </c>
      <c r="E94" s="85" t="s">
        <v>48</v>
      </c>
      <c r="F94" s="112">
        <v>33866</v>
      </c>
      <c r="G94" s="112">
        <v>33866</v>
      </c>
      <c r="H94" s="340">
        <v>10358</v>
      </c>
      <c r="I94" s="112">
        <v>9163</v>
      </c>
      <c r="J94" s="112">
        <v>0</v>
      </c>
      <c r="K94" s="112">
        <v>417</v>
      </c>
      <c r="L94" s="112">
        <v>7902</v>
      </c>
      <c r="M94" s="112">
        <v>0</v>
      </c>
      <c r="N94" s="112">
        <v>2039</v>
      </c>
      <c r="O94" s="112">
        <v>0</v>
      </c>
      <c r="P94" s="81">
        <v>9941</v>
      </c>
      <c r="Q94" s="341">
        <v>100</v>
      </c>
      <c r="R94" s="112">
        <v>1797</v>
      </c>
      <c r="S94" s="341">
        <v>21.374782776597797</v>
      </c>
      <c r="T94" s="112">
        <v>699</v>
      </c>
      <c r="U94" s="112">
        <v>1</v>
      </c>
      <c r="V94" s="81">
        <v>700</v>
      </c>
      <c r="W94" s="85"/>
      <c r="X94" s="85"/>
      <c r="Y94" s="85"/>
      <c r="Z94" s="85">
        <v>778</v>
      </c>
    </row>
    <row r="95" spans="2:26" ht="9.9499999999999993" customHeight="1" x14ac:dyDescent="0.2">
      <c r="B95" s="342">
        <v>42826</v>
      </c>
      <c r="C95" s="339" t="s">
        <v>576</v>
      </c>
      <c r="D95" s="92" t="s">
        <v>294</v>
      </c>
      <c r="E95" s="85" t="s">
        <v>49</v>
      </c>
      <c r="F95" s="112">
        <v>12446</v>
      </c>
      <c r="G95" s="112">
        <v>12446</v>
      </c>
      <c r="H95" s="340">
        <v>4127</v>
      </c>
      <c r="I95" s="112">
        <v>3900</v>
      </c>
      <c r="J95" s="112">
        <v>0</v>
      </c>
      <c r="K95" s="112">
        <v>0</v>
      </c>
      <c r="L95" s="112">
        <v>3157</v>
      </c>
      <c r="M95" s="112">
        <v>0</v>
      </c>
      <c r="N95" s="112">
        <v>970</v>
      </c>
      <c r="O95" s="112">
        <v>0</v>
      </c>
      <c r="P95" s="81">
        <v>4127</v>
      </c>
      <c r="Q95" s="341">
        <v>100</v>
      </c>
      <c r="R95" s="112">
        <v>879</v>
      </c>
      <c r="S95" s="341">
        <v>21.298764235522171</v>
      </c>
      <c r="T95" s="112">
        <v>283</v>
      </c>
      <c r="U95" s="112">
        <v>1</v>
      </c>
      <c r="V95" s="81">
        <v>284</v>
      </c>
      <c r="W95" s="85"/>
      <c r="X95" s="85"/>
      <c r="Y95" s="85"/>
      <c r="Z95" s="85">
        <v>227</v>
      </c>
    </row>
    <row r="96" spans="2:26" ht="9.9499999999999993" customHeight="1" x14ac:dyDescent="0.15">
      <c r="B96" s="338"/>
      <c r="C96" s="338"/>
      <c r="D96" s="338"/>
      <c r="E96" s="338"/>
      <c r="F96" s="338"/>
      <c r="G96" s="338"/>
      <c r="H96" s="338"/>
      <c r="I96" s="338"/>
      <c r="J96" s="338"/>
      <c r="K96" s="338"/>
      <c r="L96" s="338"/>
      <c r="M96" s="338"/>
      <c r="N96" s="338"/>
      <c r="O96" s="338"/>
      <c r="P96" s="338"/>
      <c r="Q96" s="338"/>
      <c r="R96" s="338"/>
      <c r="S96" s="338"/>
      <c r="T96" s="338"/>
      <c r="U96" s="338"/>
      <c r="V96" s="338"/>
      <c r="W96" s="338"/>
      <c r="X96" s="338"/>
      <c r="Y96" s="338"/>
    </row>
    <row r="97" spans="2:25" ht="9.9499999999999993" customHeight="1" x14ac:dyDescent="0.15">
      <c r="B97" s="338"/>
      <c r="C97" s="338"/>
      <c r="D97" s="338"/>
      <c r="E97" s="338"/>
      <c r="F97" s="338"/>
      <c r="G97" s="338"/>
      <c r="H97" s="338"/>
      <c r="I97" s="338"/>
      <c r="J97" s="338"/>
      <c r="K97" s="338"/>
      <c r="L97" s="338"/>
      <c r="M97" s="338"/>
      <c r="N97" s="338"/>
      <c r="O97" s="338"/>
      <c r="P97" s="338"/>
      <c r="Q97" s="338"/>
      <c r="R97" s="338"/>
      <c r="S97" s="338"/>
      <c r="T97" s="338"/>
      <c r="U97" s="338"/>
      <c r="V97" s="338"/>
      <c r="W97" s="338"/>
      <c r="X97" s="338"/>
      <c r="Y97" s="338"/>
    </row>
    <row r="98" spans="2:25" ht="9.9499999999999993" customHeight="1" x14ac:dyDescent="0.15">
      <c r="C98" s="101" t="s">
        <v>315</v>
      </c>
    </row>
  </sheetData>
  <phoneticPr fontId="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J162"/>
  <sheetViews>
    <sheetView zoomScale="75" zoomScaleNormal="75" workbookViewId="0">
      <selection activeCell="U16" sqref="U16"/>
    </sheetView>
  </sheetViews>
  <sheetFormatPr defaultColWidth="4.875" defaultRowHeight="9.9499999999999993" customHeight="1" x14ac:dyDescent="0.15"/>
  <cols>
    <col min="1" max="1" width="2.375" style="17" customWidth="1"/>
    <col min="2" max="5" width="4.375" style="137" customWidth="1"/>
    <col min="6" max="6" width="4.375" style="9" customWidth="1"/>
    <col min="7" max="21" width="4.375" style="17" customWidth="1"/>
    <col min="22" max="28" width="4.375" style="137" customWidth="1"/>
    <col min="29" max="30" width="4.375" style="9" customWidth="1"/>
    <col min="31" max="34" width="4.375" style="17" customWidth="1"/>
    <col min="35" max="36" width="4.375" style="9" customWidth="1"/>
    <col min="37" max="40" width="4.375" style="17" customWidth="1"/>
    <col min="41" max="42" width="4.375" style="9" customWidth="1"/>
    <col min="43" max="46" width="4.375" style="17" customWidth="1"/>
    <col min="47" max="48" width="4.375" style="9" customWidth="1"/>
    <col min="49" max="52" width="4.375" style="17" customWidth="1"/>
    <col min="53" max="54" width="4.375" style="9" customWidth="1"/>
    <col min="55" max="58" width="4.375" style="17" customWidth="1"/>
    <col min="59" max="60" width="4.375" style="9" customWidth="1"/>
    <col min="61" max="64" width="4.375" style="17" customWidth="1"/>
    <col min="65" max="66" width="4.375" style="9" customWidth="1"/>
    <col min="67" max="70" width="4.375" style="17" customWidth="1"/>
    <col min="71" max="72" width="4.375" style="9" customWidth="1"/>
    <col min="73" max="88" width="4.375" style="17" customWidth="1"/>
    <col min="89" max="16384" width="4.875" style="17"/>
  </cols>
  <sheetData>
    <row r="2" spans="2:11" ht="9.9499999999999993" customHeight="1" x14ac:dyDescent="0.15">
      <c r="B2" s="185"/>
      <c r="C2" s="186" t="s">
        <v>328</v>
      </c>
      <c r="D2" s="187" t="s">
        <v>322</v>
      </c>
      <c r="E2" s="188"/>
      <c r="F2" s="187" t="s">
        <v>323</v>
      </c>
      <c r="G2" s="323"/>
      <c r="H2" s="188"/>
      <c r="I2" s="187" t="s">
        <v>324</v>
      </c>
      <c r="J2" s="188"/>
      <c r="K2" s="185" t="s">
        <v>320</v>
      </c>
    </row>
    <row r="3" spans="2:11" ht="9.9499999999999993" customHeight="1" x14ac:dyDescent="0.15">
      <c r="B3" s="141"/>
      <c r="C3" s="141" t="s">
        <v>330</v>
      </c>
      <c r="D3" s="189" t="s">
        <v>348</v>
      </c>
      <c r="E3" s="190" t="s">
        <v>349</v>
      </c>
      <c r="F3" s="189" t="s">
        <v>348</v>
      </c>
      <c r="G3" s="324"/>
      <c r="H3" s="190" t="s">
        <v>349</v>
      </c>
      <c r="I3" s="189" t="s">
        <v>348</v>
      </c>
      <c r="J3" s="190" t="s">
        <v>349</v>
      </c>
      <c r="K3" s="141" t="s">
        <v>330</v>
      </c>
    </row>
    <row r="4" spans="2:11" ht="9.9499999999999993" customHeight="1" x14ac:dyDescent="0.15">
      <c r="B4" s="150" t="s">
        <v>331</v>
      </c>
      <c r="C4" s="317">
        <v>7.9992816066502742E-2</v>
      </c>
      <c r="D4" s="317">
        <v>8.1239374070688875E-2</v>
      </c>
      <c r="E4" s="317">
        <v>8.1971266995696179E-2</v>
      </c>
      <c r="F4" s="317">
        <v>7.9764127092520801E-2</v>
      </c>
      <c r="G4" s="317"/>
      <c r="H4" s="317">
        <v>8.1971266995696179E-2</v>
      </c>
      <c r="I4" s="317">
        <v>8.4725438836653288E-2</v>
      </c>
      <c r="J4" s="317">
        <v>8.1675098411791908E-2</v>
      </c>
      <c r="K4" s="148">
        <v>7.6501400928994254E-2</v>
      </c>
    </row>
    <row r="5" spans="2:11" ht="9.9499999999999993" customHeight="1" x14ac:dyDescent="0.15">
      <c r="B5" s="150" t="s">
        <v>332</v>
      </c>
      <c r="C5" s="317">
        <v>9.0772615392838429E-2</v>
      </c>
      <c r="D5" s="317">
        <v>8.5327029837802548E-2</v>
      </c>
      <c r="E5" s="317">
        <v>8.61486694425114E-2</v>
      </c>
      <c r="F5" s="317">
        <v>8.3799309417239079E-2</v>
      </c>
      <c r="G5" s="317"/>
      <c r="H5" s="317">
        <v>8.61486694425114E-2</v>
      </c>
      <c r="I5" s="317">
        <v>8.9079102141579242E-2</v>
      </c>
      <c r="J5" s="317">
        <v>8.5843363132333275E-2</v>
      </c>
      <c r="K5" s="148">
        <v>8.6293553760327171E-2</v>
      </c>
    </row>
    <row r="6" spans="2:11" ht="9.9499999999999993" customHeight="1" x14ac:dyDescent="0.15">
      <c r="B6" s="150" t="s">
        <v>333</v>
      </c>
      <c r="C6" s="317">
        <v>8.6804076534505711E-2</v>
      </c>
      <c r="D6" s="317">
        <v>8.4678586523712462E-2</v>
      </c>
      <c r="E6" s="317">
        <v>8.5459112238232091E-2</v>
      </c>
      <c r="F6" s="317">
        <v>8.3103797373363625E-2</v>
      </c>
      <c r="G6" s="317"/>
      <c r="H6" s="317">
        <v>8.5459112238232091E-2</v>
      </c>
      <c r="I6" s="317">
        <v>8.8340144931220527E-2</v>
      </c>
      <c r="J6" s="317">
        <v>8.5159968580657261E-2</v>
      </c>
      <c r="K6" s="148">
        <v>8.8658664053806027E-2</v>
      </c>
    </row>
    <row r="7" spans="2:11" ht="9.9499999999999993" customHeight="1" x14ac:dyDescent="0.15">
      <c r="B7" s="150" t="s">
        <v>334</v>
      </c>
      <c r="C7" s="317">
        <v>9.0079743785774907E-2</v>
      </c>
      <c r="D7" s="317">
        <v>9.1952753314051006E-2</v>
      </c>
      <c r="E7" s="317">
        <v>9.284376445839071E-2</v>
      </c>
      <c r="F7" s="317">
        <v>9.0364302113771361E-2</v>
      </c>
      <c r="G7" s="317"/>
      <c r="H7" s="317">
        <v>9.284376445839071E-2</v>
      </c>
      <c r="I7" s="317">
        <v>9.6044241937492891E-2</v>
      </c>
      <c r="J7" s="317">
        <v>9.2512458129384509E-2</v>
      </c>
      <c r="K7" s="148">
        <v>9.4654152965531743E-2</v>
      </c>
    </row>
    <row r="8" spans="2:11" ht="9.9499999999999993" customHeight="1" x14ac:dyDescent="0.15">
      <c r="B8" s="150" t="s">
        <v>335</v>
      </c>
      <c r="C8" s="317">
        <v>9.5056963183888205E-2</v>
      </c>
      <c r="D8" s="317">
        <v>9.0022862004074347E-2</v>
      </c>
      <c r="E8" s="317">
        <v>9.0918583138403744E-2</v>
      </c>
      <c r="F8" s="317">
        <v>8.8422789661505491E-2</v>
      </c>
      <c r="G8" s="317"/>
      <c r="H8" s="317">
        <v>9.0918583138403758E-2</v>
      </c>
      <c r="I8" s="317">
        <v>9.404801143562605E-2</v>
      </c>
      <c r="J8" s="317">
        <v>9.0602864070378653E-2</v>
      </c>
      <c r="K8" s="148">
        <v>9.8234579568867289E-2</v>
      </c>
    </row>
    <row r="9" spans="2:11" ht="9.9499999999999993" customHeight="1" x14ac:dyDescent="0.15">
      <c r="B9" s="150" t="s">
        <v>336</v>
      </c>
      <c r="C9" s="317">
        <v>8.5050031214917471E-2</v>
      </c>
      <c r="D9" s="317">
        <v>8.7477464038360042E-2</v>
      </c>
      <c r="E9" s="317">
        <v>8.8268380080710113E-2</v>
      </c>
      <c r="F9" s="317">
        <v>8.8762891285185219E-2</v>
      </c>
      <c r="G9" s="317"/>
      <c r="H9" s="317">
        <v>8.8268380080710113E-2</v>
      </c>
      <c r="I9" s="317">
        <v>8.4650850398460598E-2</v>
      </c>
      <c r="J9" s="317">
        <v>8.7951035347429332E-2</v>
      </c>
      <c r="K9" s="148">
        <v>9.1272178635522935E-2</v>
      </c>
    </row>
    <row r="10" spans="2:11" ht="9.9499999999999993" customHeight="1" x14ac:dyDescent="0.15">
      <c r="B10" s="150" t="s">
        <v>337</v>
      </c>
      <c r="C10" s="317">
        <v>8.6599482936585273E-2</v>
      </c>
      <c r="D10" s="317">
        <v>8.995767192741197E-2</v>
      </c>
      <c r="E10" s="317">
        <v>8.7125754441793143E-2</v>
      </c>
      <c r="F10" s="317">
        <v>9.1078895049848063E-2</v>
      </c>
      <c r="G10" s="317"/>
      <c r="H10" s="317">
        <v>8.7125754441793143E-2</v>
      </c>
      <c r="I10" s="317">
        <v>8.6802044013682689E-2</v>
      </c>
      <c r="J10" s="317">
        <v>8.6815039872692457E-2</v>
      </c>
      <c r="K10" s="148">
        <v>9.4203355868508101E-2</v>
      </c>
    </row>
    <row r="11" spans="2:11" ht="9.9499999999999993" customHeight="1" x14ac:dyDescent="0.15">
      <c r="B11" s="150" t="s">
        <v>338</v>
      </c>
      <c r="C11" s="317">
        <v>8.0846255404083966E-2</v>
      </c>
      <c r="D11" s="317">
        <v>8.1386659452448384E-2</v>
      </c>
      <c r="E11" s="317">
        <v>8.0589023142928984E-2</v>
      </c>
      <c r="F11" s="317">
        <v>8.2451787157490741E-2</v>
      </c>
      <c r="G11" s="317"/>
      <c r="H11" s="317">
        <v>8.0589023142928984E-2</v>
      </c>
      <c r="I11" s="317">
        <v>7.8598133203399173E-2</v>
      </c>
      <c r="J11" s="317">
        <v>8.0310364992628586E-2</v>
      </c>
      <c r="K11" s="148">
        <v>8.3132019547620395E-2</v>
      </c>
    </row>
    <row r="12" spans="2:11" ht="9.9499999999999993" customHeight="1" x14ac:dyDescent="0.15">
      <c r="B12" s="150" t="s">
        <v>339</v>
      </c>
      <c r="C12" s="317">
        <v>8.1908249764947372E-2</v>
      </c>
      <c r="D12" s="317">
        <v>8.5204321406291902E-2</v>
      </c>
      <c r="E12" s="317">
        <v>8.5368950939801916E-2</v>
      </c>
      <c r="F12" s="317">
        <v>8.6443756868529398E-2</v>
      </c>
      <c r="G12" s="317"/>
      <c r="H12" s="317">
        <v>8.5368950939801916E-2</v>
      </c>
      <c r="I12" s="317">
        <v>8.2429616481536724E-2</v>
      </c>
      <c r="J12" s="317">
        <v>8.5064324646462783E-2</v>
      </c>
      <c r="K12" s="148">
        <v>8.0257245665374927E-2</v>
      </c>
    </row>
    <row r="13" spans="2:11" ht="9.9499999999999993" customHeight="1" x14ac:dyDescent="0.15">
      <c r="B13" s="150" t="s">
        <v>340</v>
      </c>
      <c r="C13" s="317">
        <v>7.7395832614512952E-2</v>
      </c>
      <c r="D13" s="317">
        <v>7.5322620124537651E-2</v>
      </c>
      <c r="E13" s="317">
        <v>7.4432954139816931E-2</v>
      </c>
      <c r="F13" s="317">
        <v>7.6331814131499115E-2</v>
      </c>
      <c r="G13" s="317"/>
      <c r="H13" s="317">
        <v>7.4432954139816931E-2</v>
      </c>
      <c r="I13" s="317">
        <v>7.2815434218219122E-2</v>
      </c>
      <c r="J13" s="317">
        <v>7.4168161957873957E-2</v>
      </c>
      <c r="K13" s="148">
        <v>7.2160448244430783E-2</v>
      </c>
    </row>
    <row r="14" spans="2:11" ht="9.9499999999999993" customHeight="1" x14ac:dyDescent="0.15">
      <c r="B14" s="150" t="s">
        <v>341</v>
      </c>
      <c r="C14" s="317">
        <v>6.6426641054386296E-2</v>
      </c>
      <c r="D14" s="317">
        <v>6.5919258032213893E-2</v>
      </c>
      <c r="E14" s="317">
        <v>6.5857499191818117E-2</v>
      </c>
      <c r="F14" s="317">
        <v>6.6833216206414664E-2</v>
      </c>
      <c r="G14" s="317"/>
      <c r="H14" s="317">
        <v>6.5857499191818117E-2</v>
      </c>
      <c r="I14" s="317">
        <v>6.3682697120208909E-2</v>
      </c>
      <c r="J14" s="317">
        <v>6.5627866005503313E-2</v>
      </c>
      <c r="K14" s="148">
        <v>6.084459991821816E-2</v>
      </c>
    </row>
    <row r="15" spans="2:11" ht="9.9499999999999993" customHeight="1" x14ac:dyDescent="0.15">
      <c r="B15" s="150" t="s">
        <v>342</v>
      </c>
      <c r="C15" s="317">
        <v>7.9067334425156469E-2</v>
      </c>
      <c r="D15" s="317">
        <v>8.151061085948054E-2</v>
      </c>
      <c r="E15" s="317">
        <v>8.1016041789896673E-2</v>
      </c>
      <c r="F15" s="317">
        <v>8.2645140506078171E-2</v>
      </c>
      <c r="G15" s="317"/>
      <c r="H15" s="317">
        <v>8.1167817239138546E-2</v>
      </c>
      <c r="I15" s="317">
        <v>7.878431737144917E-2</v>
      </c>
      <c r="J15" s="317">
        <v>8.0726737125960915E-2</v>
      </c>
      <c r="K15" s="148">
        <v>7.3789273141264447E-2</v>
      </c>
    </row>
    <row r="16" spans="2:11" ht="9.9499999999999993" customHeight="1" x14ac:dyDescent="0.15">
      <c r="B16" s="163" t="s">
        <v>343</v>
      </c>
      <c r="C16" s="318">
        <v>1.0000000423780999</v>
      </c>
      <c r="D16" s="318">
        <v>0.99999921159107352</v>
      </c>
      <c r="E16" s="318">
        <v>1</v>
      </c>
      <c r="F16" s="318">
        <v>1.0000018268634459</v>
      </c>
      <c r="G16" s="318"/>
      <c r="H16" s="318">
        <v>1.0001517754492419</v>
      </c>
      <c r="I16" s="318">
        <v>1.0000000320895284</v>
      </c>
      <c r="J16" s="318">
        <v>0.99645728227309682</v>
      </c>
      <c r="K16" s="164">
        <v>1.0000014722984663</v>
      </c>
    </row>
    <row r="17" spans="2:88" ht="9.9499999999999993" customHeight="1" x14ac:dyDescent="0.15">
      <c r="B17" s="381" t="s">
        <v>350</v>
      </c>
      <c r="C17" s="384" t="s">
        <v>319</v>
      </c>
      <c r="D17" s="387" t="s">
        <v>351</v>
      </c>
      <c r="E17" s="388"/>
      <c r="F17" s="387" t="s">
        <v>352</v>
      </c>
      <c r="G17" s="393"/>
      <c r="H17" s="388"/>
      <c r="I17" s="387" t="s">
        <v>353</v>
      </c>
      <c r="J17" s="388"/>
      <c r="K17" s="384" t="s">
        <v>321</v>
      </c>
    </row>
    <row r="18" spans="2:88" ht="9.9499999999999993" customHeight="1" x14ac:dyDescent="0.15">
      <c r="B18" s="382"/>
      <c r="C18" s="385"/>
      <c r="D18" s="389"/>
      <c r="E18" s="390"/>
      <c r="F18" s="389"/>
      <c r="G18" s="394"/>
      <c r="H18" s="390"/>
      <c r="I18" s="389"/>
      <c r="J18" s="390"/>
      <c r="K18" s="385"/>
    </row>
    <row r="19" spans="2:88" ht="9.9499999999999993" customHeight="1" x14ac:dyDescent="0.15">
      <c r="B19" s="383"/>
      <c r="C19" s="386"/>
      <c r="D19" s="391"/>
      <c r="E19" s="392"/>
      <c r="F19" s="391"/>
      <c r="G19" s="395"/>
      <c r="H19" s="392"/>
      <c r="I19" s="391"/>
      <c r="J19" s="392"/>
      <c r="K19" s="386"/>
    </row>
    <row r="21" spans="2:88" ht="16.5" customHeight="1" x14ac:dyDescent="0.15">
      <c r="B21" s="152" t="s">
        <v>344</v>
      </c>
      <c r="V21" s="152" t="s">
        <v>539</v>
      </c>
    </row>
    <row r="22" spans="2:88" ht="9.9499999999999993" customHeight="1" x14ac:dyDescent="0.15">
      <c r="B22" s="17"/>
      <c r="C22" s="140" t="s">
        <v>328</v>
      </c>
      <c r="D22" s="146"/>
      <c r="E22" s="146"/>
      <c r="F22" s="9" t="s">
        <v>320</v>
      </c>
      <c r="I22" s="17" t="s">
        <v>322</v>
      </c>
      <c r="M22" s="9" t="s">
        <v>323</v>
      </c>
      <c r="N22" s="9"/>
      <c r="O22" s="9"/>
      <c r="P22" s="9"/>
      <c r="Q22" s="9" t="s">
        <v>324</v>
      </c>
      <c r="R22" s="9"/>
      <c r="V22" s="17"/>
      <c r="W22" s="140" t="s">
        <v>328</v>
      </c>
      <c r="X22" s="146"/>
      <c r="Y22" s="146"/>
      <c r="Z22" s="146"/>
      <c r="AA22" s="146"/>
      <c r="AB22" s="146"/>
      <c r="AC22" s="9" t="s">
        <v>320</v>
      </c>
      <c r="AO22" s="9" t="s">
        <v>549</v>
      </c>
      <c r="BA22" s="9" t="s">
        <v>550</v>
      </c>
      <c r="BM22" s="9" t="s">
        <v>551</v>
      </c>
      <c r="BY22" s="17" t="s">
        <v>322</v>
      </c>
      <c r="CC22" s="9" t="s">
        <v>323</v>
      </c>
      <c r="CD22" s="9"/>
      <c r="CE22" s="9"/>
      <c r="CF22" s="9"/>
      <c r="CG22" s="9" t="s">
        <v>324</v>
      </c>
      <c r="CH22" s="9"/>
      <c r="CI22" s="9"/>
    </row>
    <row r="23" spans="2:88" ht="9.9499999999999993" customHeight="1" x14ac:dyDescent="0.15">
      <c r="C23" s="137" t="s">
        <v>319</v>
      </c>
      <c r="D23" s="158" t="s">
        <v>345</v>
      </c>
      <c r="E23" s="137" t="s">
        <v>330</v>
      </c>
      <c r="F23" s="9" t="s">
        <v>321</v>
      </c>
      <c r="G23" s="158" t="s">
        <v>345</v>
      </c>
      <c r="H23" s="137" t="s">
        <v>330</v>
      </c>
      <c r="I23" s="17" t="s">
        <v>325</v>
      </c>
      <c r="J23" s="158" t="s">
        <v>345</v>
      </c>
      <c r="K23" s="137" t="s">
        <v>330</v>
      </c>
      <c r="L23" s="137" t="s">
        <v>330</v>
      </c>
      <c r="M23" s="17" t="s">
        <v>326</v>
      </c>
      <c r="N23" s="158" t="s">
        <v>345</v>
      </c>
      <c r="O23" s="137" t="s">
        <v>330</v>
      </c>
      <c r="P23" s="137" t="s">
        <v>330</v>
      </c>
      <c r="Q23" s="17" t="s">
        <v>327</v>
      </c>
      <c r="R23" s="158" t="s">
        <v>345</v>
      </c>
      <c r="S23" s="137" t="s">
        <v>330</v>
      </c>
      <c r="T23" s="137" t="s">
        <v>330</v>
      </c>
      <c r="W23" s="137" t="s">
        <v>319</v>
      </c>
      <c r="Y23" s="158" t="s">
        <v>552</v>
      </c>
      <c r="Z23" s="158"/>
      <c r="AA23" s="137" t="s">
        <v>330</v>
      </c>
      <c r="AB23" s="137" t="s">
        <v>330</v>
      </c>
      <c r="AC23" s="9" t="s">
        <v>321</v>
      </c>
      <c r="AE23" s="158" t="s">
        <v>552</v>
      </c>
      <c r="AF23" s="158"/>
      <c r="AG23" s="137" t="s">
        <v>330</v>
      </c>
      <c r="AH23" s="137" t="s">
        <v>330</v>
      </c>
      <c r="AK23" s="158" t="s">
        <v>552</v>
      </c>
      <c r="AL23" s="158"/>
      <c r="AM23" s="137" t="s">
        <v>330</v>
      </c>
      <c r="AN23" s="137" t="s">
        <v>330</v>
      </c>
      <c r="AQ23" s="158" t="s">
        <v>552</v>
      </c>
      <c r="AR23" s="158"/>
      <c r="AS23" s="137" t="s">
        <v>330</v>
      </c>
      <c r="AT23" s="137" t="s">
        <v>330</v>
      </c>
      <c r="AW23" s="158" t="s">
        <v>552</v>
      </c>
      <c r="AX23" s="158"/>
      <c r="AY23" s="137" t="s">
        <v>330</v>
      </c>
      <c r="AZ23" s="137" t="s">
        <v>330</v>
      </c>
      <c r="BC23" s="158" t="s">
        <v>552</v>
      </c>
      <c r="BD23" s="158"/>
      <c r="BE23" s="137" t="s">
        <v>330</v>
      </c>
      <c r="BF23" s="137" t="s">
        <v>330</v>
      </c>
      <c r="BI23" s="158" t="s">
        <v>552</v>
      </c>
      <c r="BJ23" s="158"/>
      <c r="BK23" s="137" t="s">
        <v>330</v>
      </c>
      <c r="BL23" s="137" t="s">
        <v>330</v>
      </c>
      <c r="BO23" s="158" t="s">
        <v>552</v>
      </c>
      <c r="BP23" s="158"/>
      <c r="BQ23" s="137" t="s">
        <v>330</v>
      </c>
      <c r="BR23" s="137" t="s">
        <v>330</v>
      </c>
      <c r="BU23" s="158" t="s">
        <v>552</v>
      </c>
      <c r="BV23" s="158"/>
      <c r="BW23" s="137" t="s">
        <v>330</v>
      </c>
      <c r="BX23" s="137" t="s">
        <v>330</v>
      </c>
      <c r="BY23" s="17" t="s">
        <v>325</v>
      </c>
      <c r="CA23" s="158" t="s">
        <v>345</v>
      </c>
      <c r="CB23" s="137" t="s">
        <v>330</v>
      </c>
      <c r="CC23" s="17" t="s">
        <v>326</v>
      </c>
      <c r="CE23" s="158" t="s">
        <v>345</v>
      </c>
      <c r="CF23" s="137" t="s">
        <v>330</v>
      </c>
      <c r="CG23" s="17" t="s">
        <v>327</v>
      </c>
      <c r="CI23" s="158" t="s">
        <v>345</v>
      </c>
      <c r="CJ23" s="137" t="s">
        <v>330</v>
      </c>
    </row>
    <row r="24" spans="2:88" ht="9.9499999999999993" customHeight="1" x14ac:dyDescent="0.15">
      <c r="B24" s="150" t="s">
        <v>331</v>
      </c>
      <c r="C24" s="136"/>
      <c r="D24" s="136"/>
      <c r="E24" s="148">
        <f t="shared" ref="E24:E35" si="0">AVERAGE(E111,E99,E87,E75,E63,E51,E39)</f>
        <v>7.9992816066502742E-2</v>
      </c>
      <c r="F24" s="55"/>
      <c r="G24" s="55"/>
      <c r="H24" s="148">
        <f t="shared" ref="H24:H35" si="1">AVERAGE(H111,H99,H87,H75,H63,H51,H39)</f>
        <v>7.6501400928994254E-2</v>
      </c>
      <c r="I24" s="55"/>
      <c r="J24" s="55"/>
      <c r="K24" s="148">
        <f t="shared" ref="K24:L28" si="2">AVERAGE(K87,K75,K63,K51)</f>
        <v>8.1239374070688875E-2</v>
      </c>
      <c r="L24" s="148">
        <f t="shared" si="2"/>
        <v>8.1971266995696179E-2</v>
      </c>
      <c r="M24" s="55"/>
      <c r="N24" s="55"/>
      <c r="O24" s="148">
        <f t="shared" ref="O24:P28" si="3">AVERAGE(O87,O75,O63,O51)</f>
        <v>7.9764127092520801E-2</v>
      </c>
      <c r="P24" s="148">
        <f t="shared" si="3"/>
        <v>8.1971266995696179E-2</v>
      </c>
      <c r="Q24" s="55"/>
      <c r="R24" s="55"/>
      <c r="S24" s="148">
        <f t="shared" ref="S24:T28" si="4">AVERAGE(S87,S75,S63,S51)</f>
        <v>8.4725438836653288E-2</v>
      </c>
      <c r="T24" s="148">
        <f t="shared" si="4"/>
        <v>8.1675098411791908E-2</v>
      </c>
      <c r="V24" s="150" t="s">
        <v>331</v>
      </c>
      <c r="W24" s="136"/>
      <c r="X24" s="136"/>
      <c r="Y24" s="136"/>
      <c r="Z24" s="136"/>
      <c r="AA24" s="148">
        <f t="shared" ref="AA24:AB35" si="5">AVERAGE(AA111,AA99,AA87,AA75,AA63,AA51,AA39)</f>
        <v>1.1165967866069841</v>
      </c>
      <c r="AB24" s="148">
        <f t="shared" si="5"/>
        <v>1.0135214004821564</v>
      </c>
      <c r="AC24" s="55"/>
      <c r="AD24" s="55"/>
      <c r="AE24" s="55"/>
      <c r="AF24" s="55"/>
      <c r="AG24" s="148">
        <f t="shared" ref="AG24:AH35" si="6">AVERAGE(AG111,AG99,AG87,AG75,AG63,AG51,AG39)</f>
        <v>1.2563747501635698</v>
      </c>
      <c r="AH24" s="148">
        <f t="shared" si="6"/>
        <v>1.1352977475639701</v>
      </c>
      <c r="AI24" s="55"/>
      <c r="AJ24" s="55"/>
      <c r="AK24" s="55"/>
      <c r="AL24" s="55"/>
      <c r="AM24" s="148">
        <f t="shared" ref="AM24:AN35" si="7">AVERAGE(AM111,AM99,AM87,AM75,AM63,AM51,AM39)</f>
        <v>1.4185587693407726</v>
      </c>
      <c r="AN24" s="148">
        <f t="shared" si="7"/>
        <v>1.3653071724559329</v>
      </c>
      <c r="AO24" s="55"/>
      <c r="AP24" s="55"/>
      <c r="AQ24" s="55"/>
      <c r="AR24" s="55"/>
      <c r="AS24" s="148">
        <f t="shared" ref="AS24:AT24" si="8">AVERAGE(AS111,AS99,AS87,AS75,AS63,AS51,AS39)</f>
        <v>1.2926598829829059</v>
      </c>
      <c r="AT24" s="148">
        <f t="shared" si="8"/>
        <v>1.1552157552435638</v>
      </c>
      <c r="AU24" s="55"/>
      <c r="AV24" s="55"/>
      <c r="AW24" s="55"/>
      <c r="AX24" s="55"/>
      <c r="AY24" s="148">
        <f t="shared" ref="AY24:AZ24" si="9">AVERAGE(AY111,AY99,AY87,AY75,AY63,AY51,AY39)</f>
        <v>1.452565286483974</v>
      </c>
      <c r="AZ24" s="148">
        <f t="shared" si="9"/>
        <v>1.3239291041681904</v>
      </c>
      <c r="BA24" s="55"/>
      <c r="BB24" s="55"/>
      <c r="BC24" s="55"/>
      <c r="BD24" s="55"/>
      <c r="BE24" s="148">
        <f t="shared" ref="BE24:BF24" si="10">AVERAGE(BE111,BE99,BE87,BE75,BE63,BE51,BE39)</f>
        <v>1.5486615666525712</v>
      </c>
      <c r="BF24" s="148">
        <f t="shared" si="10"/>
        <v>1.3188762173566158</v>
      </c>
      <c r="BG24" s="55"/>
      <c r="BH24" s="55"/>
      <c r="BI24" s="55"/>
      <c r="BJ24" s="55"/>
      <c r="BK24" s="148">
        <f t="shared" ref="BK24:BL24" si="11">AVERAGE(BK111,BK99,BK87,BK75,BK63,BK51,BK39)</f>
        <v>1.5493648105883988</v>
      </c>
      <c r="BL24" s="148">
        <f t="shared" si="11"/>
        <v>1.3774762856541909</v>
      </c>
      <c r="BM24" s="55"/>
      <c r="BN24" s="55"/>
      <c r="BO24" s="55"/>
      <c r="BP24" s="55"/>
      <c r="BQ24" s="148">
        <f t="shared" ref="BQ24:BR24" si="12">AVERAGE(BQ111,BQ99,BQ87,BQ75,BQ63,BQ51,BQ39)</f>
        <v>1.3747474747474746</v>
      </c>
      <c r="BR24" s="148">
        <f t="shared" si="12"/>
        <v>1.2184523809523808</v>
      </c>
      <c r="BS24" s="55"/>
      <c r="BT24" s="55"/>
      <c r="BU24" s="55"/>
      <c r="BV24" s="55"/>
      <c r="BW24" s="148">
        <f t="shared" ref="BW24:BX24" si="13">AVERAGE(BW111,BW99,BW87,BW75,BW63,BW51,BW39)</f>
        <v>1.6539682539682541</v>
      </c>
      <c r="BX24" s="148">
        <f t="shared" si="13"/>
        <v>1.2808498989218329</v>
      </c>
      <c r="BY24" s="55"/>
      <c r="BZ24" s="55"/>
      <c r="CA24" s="55"/>
      <c r="CB24" s="148">
        <f>AVERAGE(CB87,CB75,CB63,CB51)</f>
        <v>0</v>
      </c>
      <c r="CC24" s="55"/>
      <c r="CD24" s="55"/>
      <c r="CE24" s="55"/>
      <c r="CF24" s="148">
        <f>AVERAGE(CF87,CF75,CF63,CF51)</f>
        <v>0</v>
      </c>
      <c r="CG24" s="55"/>
      <c r="CH24" s="55"/>
      <c r="CI24" s="55"/>
      <c r="CJ24" s="148">
        <f>AVERAGE(CJ87,CJ75,CJ63,CJ51)</f>
        <v>0</v>
      </c>
    </row>
    <row r="25" spans="2:88" ht="9.9499999999999993" customHeight="1" x14ac:dyDescent="0.15">
      <c r="B25" s="150" t="s">
        <v>332</v>
      </c>
      <c r="C25" s="136"/>
      <c r="D25" s="136"/>
      <c r="E25" s="148">
        <f t="shared" si="0"/>
        <v>9.0772615392838429E-2</v>
      </c>
      <c r="F25" s="55"/>
      <c r="G25" s="136"/>
      <c r="H25" s="148">
        <f t="shared" si="1"/>
        <v>8.6293553760327171E-2</v>
      </c>
      <c r="I25" s="55"/>
      <c r="J25" s="55"/>
      <c r="K25" s="148">
        <f t="shared" si="2"/>
        <v>8.5327029837802548E-2</v>
      </c>
      <c r="L25" s="148">
        <f t="shared" si="2"/>
        <v>8.61486694425114E-2</v>
      </c>
      <c r="M25" s="55"/>
      <c r="N25" s="55"/>
      <c r="O25" s="148">
        <f t="shared" si="3"/>
        <v>8.3799309417239079E-2</v>
      </c>
      <c r="P25" s="148">
        <f t="shared" si="3"/>
        <v>8.61486694425114E-2</v>
      </c>
      <c r="Q25" s="55"/>
      <c r="R25" s="55"/>
      <c r="S25" s="148">
        <f t="shared" si="4"/>
        <v>8.9079102141579242E-2</v>
      </c>
      <c r="T25" s="148">
        <f t="shared" si="4"/>
        <v>8.5843363132333275E-2</v>
      </c>
      <c r="V25" s="150" t="s">
        <v>332</v>
      </c>
      <c r="W25" s="136"/>
      <c r="X25" s="136"/>
      <c r="Y25" s="136"/>
      <c r="Z25" s="136"/>
      <c r="AA25" s="148">
        <f t="shared" si="5"/>
        <v>1.5913923998192099</v>
      </c>
      <c r="AB25" s="148">
        <f t="shared" si="5"/>
        <v>1.4296708001724927</v>
      </c>
      <c r="AC25" s="55"/>
      <c r="AD25" s="55"/>
      <c r="AE25" s="136"/>
      <c r="AF25" s="136"/>
      <c r="AG25" s="148">
        <f t="shared" si="6"/>
        <v>1.4019968988913087</v>
      </c>
      <c r="AH25" s="148">
        <f t="shared" si="6"/>
        <v>1.6000059215890106</v>
      </c>
      <c r="AI25" s="55"/>
      <c r="AJ25" s="55"/>
      <c r="AK25" s="136"/>
      <c r="AL25" s="136"/>
      <c r="AM25" s="148">
        <f t="shared" si="7"/>
        <v>1.6770707758401002</v>
      </c>
      <c r="AN25" s="148">
        <f t="shared" si="7"/>
        <v>1.3725765538386396</v>
      </c>
      <c r="AO25" s="55"/>
      <c r="AP25" s="55"/>
      <c r="AQ25" s="136"/>
      <c r="AR25" s="136"/>
      <c r="AS25" s="148">
        <f t="shared" ref="AS25:AT25" si="14">AVERAGE(AS112,AS100,AS88,AS76,AS64,AS52,AS40)</f>
        <v>1.7681584315125032</v>
      </c>
      <c r="AT25" s="148">
        <f t="shared" si="14"/>
        <v>1.6501155772012281</v>
      </c>
      <c r="AU25" s="55"/>
      <c r="AV25" s="55"/>
      <c r="AW25" s="136"/>
      <c r="AX25" s="136"/>
      <c r="AY25" s="148">
        <f t="shared" ref="AY25:AZ25" si="15">AVERAGE(AY112,AY100,AY88,AY76,AY64,AY52,AY40)</f>
        <v>2.131840991488783</v>
      </c>
      <c r="AZ25" s="148">
        <f t="shared" si="15"/>
        <v>1.9508592737922985</v>
      </c>
      <c r="BA25" s="55"/>
      <c r="BB25" s="55"/>
      <c r="BC25" s="136"/>
      <c r="BD25" s="136"/>
      <c r="BE25" s="148">
        <f t="shared" ref="BE25:BF25" si="16">AVERAGE(BE112,BE100,BE88,BE76,BE64,BE52,BE40)</f>
        <v>1.6817744973667015</v>
      </c>
      <c r="BF25" s="148">
        <f t="shared" si="16"/>
        <v>1.5224595776249459</v>
      </c>
      <c r="BG25" s="55"/>
      <c r="BH25" s="55"/>
      <c r="BI25" s="136"/>
      <c r="BJ25" s="136"/>
      <c r="BK25" s="148">
        <f t="shared" ref="BK25:BL25" si="17">AVERAGE(BK112,BK100,BK88,BK76,BK64,BK52,BK40)</f>
        <v>1.7938959647271506</v>
      </c>
      <c r="BL25" s="148">
        <f t="shared" si="17"/>
        <v>1.6785337854204425</v>
      </c>
      <c r="BM25" s="55"/>
      <c r="BN25" s="55"/>
      <c r="BO25" s="136"/>
      <c r="BP25" s="136"/>
      <c r="BQ25" s="148">
        <f t="shared" ref="BQ25:BR25" si="18">AVERAGE(BQ112,BQ100,BQ88,BQ76,BQ64,BQ52,BQ40)</f>
        <v>1.7035353535353535</v>
      </c>
      <c r="BR25" s="148">
        <f t="shared" si="18"/>
        <v>1.5253968253968253</v>
      </c>
      <c r="BS25" s="55"/>
      <c r="BT25" s="55"/>
      <c r="BU25" s="136"/>
      <c r="BV25" s="136"/>
      <c r="BW25" s="148">
        <f t="shared" ref="BW25:BX25" si="19">AVERAGE(BW112,BW100,BW88,BW76,BW64,BW52,BW40)</f>
        <v>2.0126984126984127</v>
      </c>
      <c r="BX25" s="148">
        <f t="shared" si="19"/>
        <v>1.5907878481581312</v>
      </c>
      <c r="BY25" s="55"/>
      <c r="BZ25" s="55"/>
      <c r="CA25" s="55"/>
      <c r="CB25" s="148">
        <f>AVERAGE(CB88,CB76,CB64,CB52)</f>
        <v>0</v>
      </c>
      <c r="CC25" s="55"/>
      <c r="CD25" s="55"/>
      <c r="CE25" s="55"/>
      <c r="CF25" s="148">
        <f>AVERAGE(CF88,CF76,CF64,CF52)</f>
        <v>0</v>
      </c>
      <c r="CG25" s="55"/>
      <c r="CH25" s="55"/>
      <c r="CI25" s="55"/>
      <c r="CJ25" s="148">
        <f>AVERAGE(CJ88,CJ76,CJ64,CJ52)</f>
        <v>0</v>
      </c>
    </row>
    <row r="26" spans="2:88" ht="9.9499999999999993" customHeight="1" x14ac:dyDescent="0.15">
      <c r="B26" s="150" t="s">
        <v>333</v>
      </c>
      <c r="C26" s="136"/>
      <c r="D26" s="136"/>
      <c r="E26" s="148">
        <f t="shared" si="0"/>
        <v>8.6804076534505711E-2</v>
      </c>
      <c r="F26" s="55"/>
      <c r="G26" s="136"/>
      <c r="H26" s="148">
        <f t="shared" si="1"/>
        <v>8.8658664053806027E-2</v>
      </c>
      <c r="I26" s="55"/>
      <c r="J26" s="55"/>
      <c r="K26" s="148">
        <f t="shared" si="2"/>
        <v>8.4678586523712462E-2</v>
      </c>
      <c r="L26" s="148">
        <f t="shared" si="2"/>
        <v>8.5459112238232091E-2</v>
      </c>
      <c r="M26" s="55"/>
      <c r="N26" s="55"/>
      <c r="O26" s="148">
        <f t="shared" si="3"/>
        <v>8.3103797373363625E-2</v>
      </c>
      <c r="P26" s="148">
        <f t="shared" si="3"/>
        <v>8.5459112238232091E-2</v>
      </c>
      <c r="Q26" s="55"/>
      <c r="R26" s="55"/>
      <c r="S26" s="148">
        <f t="shared" si="4"/>
        <v>8.8340144931220527E-2</v>
      </c>
      <c r="T26" s="148">
        <f t="shared" si="4"/>
        <v>8.5159968580657261E-2</v>
      </c>
      <c r="V26" s="150" t="s">
        <v>333</v>
      </c>
      <c r="W26" s="136"/>
      <c r="X26" s="136"/>
      <c r="Y26" s="136"/>
      <c r="Z26" s="136"/>
      <c r="AA26" s="148">
        <f t="shared" si="5"/>
        <v>1.5959344292801234</v>
      </c>
      <c r="AB26" s="148">
        <f t="shared" si="5"/>
        <v>1.5131956611055588</v>
      </c>
      <c r="AC26" s="55"/>
      <c r="AD26" s="55"/>
      <c r="AE26" s="136"/>
      <c r="AF26" s="136"/>
      <c r="AG26" s="148">
        <f t="shared" si="6"/>
        <v>1.2740111855018685</v>
      </c>
      <c r="AH26" s="148">
        <f t="shared" si="6"/>
        <v>1.4329004994863512</v>
      </c>
      <c r="AI26" s="55"/>
      <c r="AJ26" s="55"/>
      <c r="AK26" s="136"/>
      <c r="AL26" s="136"/>
      <c r="AM26" s="148">
        <f t="shared" si="7"/>
        <v>1.6820544185926074</v>
      </c>
      <c r="AN26" s="148">
        <f t="shared" si="7"/>
        <v>1.439594631373897</v>
      </c>
      <c r="AO26" s="55"/>
      <c r="AP26" s="55"/>
      <c r="AQ26" s="136"/>
      <c r="AR26" s="136"/>
      <c r="AS26" s="148">
        <f t="shared" ref="AS26:AT26" si="20">AVERAGE(AS113,AS101,AS89,AS77,AS65,AS53,AS41)</f>
        <v>1.4554233201460611</v>
      </c>
      <c r="AT26" s="148">
        <f t="shared" si="20"/>
        <v>1.4153169855060845</v>
      </c>
      <c r="AU26" s="55"/>
      <c r="AV26" s="55"/>
      <c r="AW26" s="136"/>
      <c r="AX26" s="136"/>
      <c r="AY26" s="148">
        <f t="shared" ref="AY26:AZ26" si="21">AVERAGE(AY113,AY101,AY89,AY77,AY65,AY53,AY41)</f>
        <v>1.626678846119088</v>
      </c>
      <c r="AZ26" s="148">
        <f t="shared" si="21"/>
        <v>1.5706702365778999</v>
      </c>
      <c r="BA26" s="55"/>
      <c r="BB26" s="55"/>
      <c r="BC26" s="136"/>
      <c r="BD26" s="136"/>
      <c r="BE26" s="148">
        <f t="shared" ref="BE26:BF26" si="22">AVERAGE(BE113,BE101,BE89,BE77,BE65,BE53,BE41)</f>
        <v>1.4166634631402246</v>
      </c>
      <c r="BF26" s="148">
        <f t="shared" si="22"/>
        <v>1.3811174991100927</v>
      </c>
      <c r="BG26" s="55"/>
      <c r="BH26" s="55"/>
      <c r="BI26" s="136"/>
      <c r="BJ26" s="136"/>
      <c r="BK26" s="148">
        <f t="shared" ref="BK26:BL26" si="23">AVERAGE(BK113,BK101,BK89,BK77,BK65,BK53,BK41)</f>
        <v>1.4934125172805877</v>
      </c>
      <c r="BL26" s="148">
        <f t="shared" si="23"/>
        <v>1.3873631312655703</v>
      </c>
      <c r="BM26" s="55"/>
      <c r="BN26" s="55"/>
      <c r="BO26" s="136"/>
      <c r="BP26" s="136"/>
      <c r="BQ26" s="148">
        <f t="shared" ref="BQ26:BR26" si="24">AVERAGE(BQ113,BQ101,BQ89,BQ77,BQ65,BQ53,BQ41)</f>
        <v>0.78989898989898988</v>
      </c>
      <c r="BR26" s="148">
        <f t="shared" si="24"/>
        <v>1.371031746031746</v>
      </c>
      <c r="BS26" s="55"/>
      <c r="BT26" s="55"/>
      <c r="BU26" s="136"/>
      <c r="BV26" s="136"/>
      <c r="BW26" s="148">
        <f t="shared" ref="BW26:BX26" si="25">AVERAGE(BW113,BW101,BW89,BW77,BW65,BW53,BW41)</f>
        <v>1.9301587301587304</v>
      </c>
      <c r="BX26" s="148">
        <f t="shared" si="25"/>
        <v>1.5356628107217729</v>
      </c>
      <c r="BY26" s="55"/>
      <c r="BZ26" s="55"/>
      <c r="CA26" s="55"/>
      <c r="CB26" s="148">
        <f>AVERAGE(CB89,CB77,CB65,CB53)</f>
        <v>0</v>
      </c>
      <c r="CC26" s="55"/>
      <c r="CD26" s="55"/>
      <c r="CE26" s="55"/>
      <c r="CF26" s="148">
        <f>AVERAGE(CF89,CF77,CF65,CF53)</f>
        <v>0</v>
      </c>
      <c r="CG26" s="55"/>
      <c r="CH26" s="55"/>
      <c r="CI26" s="55"/>
      <c r="CJ26" s="148">
        <f>AVERAGE(CJ89,CJ77,CJ65,CJ53)</f>
        <v>0</v>
      </c>
    </row>
    <row r="27" spans="2:88" ht="9.9499999999999993" customHeight="1" x14ac:dyDescent="0.15">
      <c r="B27" s="150" t="s">
        <v>334</v>
      </c>
      <c r="C27" s="136"/>
      <c r="D27" s="136"/>
      <c r="E27" s="148">
        <f t="shared" si="0"/>
        <v>9.0079743785774907E-2</v>
      </c>
      <c r="F27" s="55"/>
      <c r="G27" s="136"/>
      <c r="H27" s="148">
        <f t="shared" si="1"/>
        <v>9.4654152965531743E-2</v>
      </c>
      <c r="I27" s="55"/>
      <c r="J27" s="55"/>
      <c r="K27" s="148">
        <f t="shared" si="2"/>
        <v>9.1952753314051006E-2</v>
      </c>
      <c r="L27" s="148">
        <f t="shared" si="2"/>
        <v>9.284376445839071E-2</v>
      </c>
      <c r="M27" s="55"/>
      <c r="N27" s="55"/>
      <c r="O27" s="148">
        <f t="shared" si="3"/>
        <v>9.0364302113771361E-2</v>
      </c>
      <c r="P27" s="148">
        <f t="shared" si="3"/>
        <v>9.284376445839071E-2</v>
      </c>
      <c r="Q27" s="55"/>
      <c r="R27" s="55"/>
      <c r="S27" s="148">
        <f t="shared" si="4"/>
        <v>9.6044241937492891E-2</v>
      </c>
      <c r="T27" s="148">
        <f t="shared" si="4"/>
        <v>9.2512458129384509E-2</v>
      </c>
      <c r="V27" s="150" t="s">
        <v>334</v>
      </c>
      <c r="W27" s="136"/>
      <c r="X27" s="136"/>
      <c r="Y27" s="136"/>
      <c r="Z27" s="136"/>
      <c r="AA27" s="148">
        <f t="shared" si="5"/>
        <v>1.3303055832952932</v>
      </c>
      <c r="AB27" s="148">
        <f t="shared" si="5"/>
        <v>1.2997557031733962</v>
      </c>
      <c r="AC27" s="55"/>
      <c r="AD27" s="55"/>
      <c r="AE27" s="136"/>
      <c r="AF27" s="136"/>
      <c r="AG27" s="148">
        <f t="shared" si="6"/>
        <v>1.8277136941733214</v>
      </c>
      <c r="AH27" s="148">
        <f t="shared" si="6"/>
        <v>1.4161438640519324</v>
      </c>
      <c r="AI27" s="55"/>
      <c r="AJ27" s="55"/>
      <c r="AK27" s="136"/>
      <c r="AL27" s="136"/>
      <c r="AM27" s="148">
        <f t="shared" si="7"/>
        <v>1.2692930175563488</v>
      </c>
      <c r="AN27" s="148">
        <f t="shared" si="7"/>
        <v>1.1616782538693875</v>
      </c>
      <c r="AO27" s="55"/>
      <c r="AP27" s="55"/>
      <c r="AQ27" s="136"/>
      <c r="AR27" s="136"/>
      <c r="AS27" s="148">
        <f t="shared" ref="AS27:AT27" si="26">AVERAGE(AS114,AS102,AS90,AS78,AS66,AS54,AS42)</f>
        <v>1.5894498557234067</v>
      </c>
      <c r="AT27" s="148">
        <f t="shared" si="26"/>
        <v>1.4798078111481894</v>
      </c>
      <c r="AU27" s="55"/>
      <c r="AV27" s="55"/>
      <c r="AW27" s="136"/>
      <c r="AX27" s="136"/>
      <c r="AY27" s="148">
        <f t="shared" ref="AY27:AZ27" si="27">AVERAGE(AY114,AY102,AY90,AY78,AY66,AY54,AY42)</f>
        <v>1.120685970355271</v>
      </c>
      <c r="AZ27" s="148">
        <f t="shared" si="27"/>
        <v>1.1099686974372904</v>
      </c>
      <c r="BA27" s="55"/>
      <c r="BB27" s="55"/>
      <c r="BC27" s="136"/>
      <c r="BD27" s="136"/>
      <c r="BE27" s="148">
        <f t="shared" ref="BE27:BF27" si="28">AVERAGE(BE114,BE102,BE90,BE78,BE66,BE54,BE42)</f>
        <v>1.6642512676084675</v>
      </c>
      <c r="BF27" s="148">
        <f t="shared" si="28"/>
        <v>1.5674944381697822</v>
      </c>
      <c r="BG27" s="55"/>
      <c r="BH27" s="55"/>
      <c r="BI27" s="136"/>
      <c r="BJ27" s="136"/>
      <c r="BK27" s="148">
        <f t="shared" ref="BK27:BL27" si="29">AVERAGE(BK114,BK102,BK90,BK78,BK66,BK54,BK42)</f>
        <v>1.3330872280571986</v>
      </c>
      <c r="BL27" s="148">
        <f t="shared" si="29"/>
        <v>1.2995034728099906</v>
      </c>
      <c r="BM27" s="55"/>
      <c r="BN27" s="55"/>
      <c r="BO27" s="136"/>
      <c r="BP27" s="136"/>
      <c r="BQ27" s="148">
        <f t="shared" ref="BQ27:BR27" si="30">AVERAGE(BQ114,BQ102,BQ90,BQ78,BQ66,BQ54,BQ42)</f>
        <v>1.2257575757575758</v>
      </c>
      <c r="BR27" s="148">
        <f t="shared" si="30"/>
        <v>1.2214285714285715</v>
      </c>
      <c r="BS27" s="55"/>
      <c r="BT27" s="55"/>
      <c r="BU27" s="136"/>
      <c r="BV27" s="136"/>
      <c r="BW27" s="148">
        <f t="shared" ref="BW27:BX27" si="31">AVERAGE(BW114,BW102,BW90,BW78,BW66,BW54,BW42)</f>
        <v>1.6866666666666668</v>
      </c>
      <c r="BX27" s="148">
        <f t="shared" si="31"/>
        <v>1.4430312219227313</v>
      </c>
      <c r="BY27" s="55"/>
      <c r="BZ27" s="55"/>
      <c r="CA27" s="55"/>
      <c r="CB27" s="148">
        <f>AVERAGE(CB90,CB78,CB66,CB54)</f>
        <v>0</v>
      </c>
      <c r="CC27" s="55"/>
      <c r="CD27" s="55"/>
      <c r="CE27" s="55"/>
      <c r="CF27" s="148">
        <f>AVERAGE(CF90,CF78,CF66,CF54)</f>
        <v>0</v>
      </c>
      <c r="CG27" s="55"/>
      <c r="CH27" s="55"/>
      <c r="CI27" s="55"/>
      <c r="CJ27" s="148">
        <f>AVERAGE(CJ90,CJ78,CJ66,CJ54)</f>
        <v>0</v>
      </c>
    </row>
    <row r="28" spans="2:88" ht="9.9499999999999993" customHeight="1" x14ac:dyDescent="0.15">
      <c r="B28" s="150" t="s">
        <v>335</v>
      </c>
      <c r="C28" s="136"/>
      <c r="D28" s="136"/>
      <c r="E28" s="148">
        <f t="shared" si="0"/>
        <v>9.5056963183888205E-2</v>
      </c>
      <c r="F28" s="55"/>
      <c r="G28" s="136"/>
      <c r="H28" s="148">
        <f t="shared" si="1"/>
        <v>9.8234579568867289E-2</v>
      </c>
      <c r="I28" s="55"/>
      <c r="J28" s="55"/>
      <c r="K28" s="148">
        <f t="shared" si="2"/>
        <v>9.0022862004074347E-2</v>
      </c>
      <c r="L28" s="148">
        <f t="shared" si="2"/>
        <v>9.0918583138403744E-2</v>
      </c>
      <c r="M28" s="55"/>
      <c r="N28" s="55"/>
      <c r="O28" s="148">
        <f t="shared" si="3"/>
        <v>8.8422789661505491E-2</v>
      </c>
      <c r="P28" s="148">
        <f t="shared" si="3"/>
        <v>9.0918583138403758E-2</v>
      </c>
      <c r="Q28" s="55"/>
      <c r="R28" s="55"/>
      <c r="S28" s="148">
        <f t="shared" si="4"/>
        <v>9.404801143562605E-2</v>
      </c>
      <c r="T28" s="148">
        <f t="shared" si="4"/>
        <v>9.0602864070378653E-2</v>
      </c>
      <c r="V28" s="150" t="s">
        <v>335</v>
      </c>
      <c r="W28" s="136"/>
      <c r="X28" s="136"/>
      <c r="Y28" s="136"/>
      <c r="Z28" s="136"/>
      <c r="AA28" s="148">
        <f t="shared" si="5"/>
        <v>1.0547743440391999</v>
      </c>
      <c r="AB28" s="148">
        <f t="shared" si="5"/>
        <v>1.0857684641339549</v>
      </c>
      <c r="AC28" s="55"/>
      <c r="AD28" s="55"/>
      <c r="AE28" s="136"/>
      <c r="AF28" s="136"/>
      <c r="AG28" s="148">
        <f t="shared" si="6"/>
        <v>0.87291952354064151</v>
      </c>
      <c r="AH28" s="148">
        <f t="shared" si="6"/>
        <v>1.1923581863615043</v>
      </c>
      <c r="AI28" s="55"/>
      <c r="AJ28" s="55"/>
      <c r="AK28" s="136"/>
      <c r="AL28" s="136"/>
      <c r="AM28" s="148">
        <f t="shared" si="7"/>
        <v>1.1291764174123347</v>
      </c>
      <c r="AN28" s="148">
        <f t="shared" si="7"/>
        <v>1.0588207502514446</v>
      </c>
      <c r="AO28" s="55"/>
      <c r="AP28" s="55"/>
      <c r="AQ28" s="136"/>
      <c r="AR28" s="136"/>
      <c r="AS28" s="148">
        <f t="shared" ref="AS28:AT28" si="32">AVERAGE(AS115,AS103,AS91,AS79,AS67,AS55,AS43)</f>
        <v>1.3545171122630026</v>
      </c>
      <c r="AT28" s="148">
        <f t="shared" si="32"/>
        <v>1.4249497272578475</v>
      </c>
      <c r="AU28" s="55"/>
      <c r="AV28" s="55"/>
      <c r="AW28" s="136"/>
      <c r="AX28" s="136"/>
      <c r="AY28" s="148">
        <f t="shared" ref="AY28:AZ28" si="33">AVERAGE(AY115,AY103,AY91,AY79,AY67,AY55,AY43)</f>
        <v>1.1520727095876142</v>
      </c>
      <c r="AZ28" s="148">
        <f t="shared" si="33"/>
        <v>1.1668699608358841</v>
      </c>
      <c r="BA28" s="55"/>
      <c r="BB28" s="55"/>
      <c r="BC28" s="136"/>
      <c r="BD28" s="136"/>
      <c r="BE28" s="148">
        <f t="shared" ref="BE28:BF28" si="34">AVERAGE(BE115,BE103,BE91,BE79,BE67,BE55,BE43)</f>
        <v>1.2530160153568075</v>
      </c>
      <c r="BF28" s="148">
        <f t="shared" si="34"/>
        <v>1.2529243995135524</v>
      </c>
      <c r="BG28" s="55"/>
      <c r="BH28" s="55"/>
      <c r="BI28" s="136"/>
      <c r="BJ28" s="136"/>
      <c r="BK28" s="148">
        <f t="shared" ref="BK28:BL28" si="35">AVERAGE(BK115,BK103,BK91,BK79,BK67,BK55,BK43)</f>
        <v>1.131193499158661</v>
      </c>
      <c r="BL28" s="148">
        <f t="shared" si="35"/>
        <v>1.1043171366047468</v>
      </c>
      <c r="BM28" s="55"/>
      <c r="BN28" s="55"/>
      <c r="BO28" s="136"/>
      <c r="BP28" s="136"/>
      <c r="BQ28" s="148">
        <f t="shared" ref="BQ28:BR28" si="36">AVERAGE(BQ115,BQ103,BQ91,BQ79,BQ67,BQ55,BQ43)</f>
        <v>1.2979797979797978</v>
      </c>
      <c r="BR28" s="148">
        <f t="shared" si="36"/>
        <v>1.2083333333333333</v>
      </c>
      <c r="BS28" s="55"/>
      <c r="BT28" s="55"/>
      <c r="BU28" s="136"/>
      <c r="BV28" s="136"/>
      <c r="BW28" s="148">
        <f t="shared" ref="BW28:BX28" si="37">AVERAGE(BW115,BW103,BW91,BW79,BW67,BW55,BW43)</f>
        <v>1.6139682539682541</v>
      </c>
      <c r="BX28" s="148">
        <f t="shared" si="37"/>
        <v>1.3576178309374063</v>
      </c>
      <c r="BY28" s="55"/>
      <c r="BZ28" s="55"/>
      <c r="CA28" s="55"/>
      <c r="CB28" s="148">
        <f>AVERAGE(CB91,CB79,CB67,CB55)</f>
        <v>0</v>
      </c>
      <c r="CC28" s="55"/>
      <c r="CD28" s="55"/>
      <c r="CE28" s="55"/>
      <c r="CF28" s="148">
        <f>AVERAGE(CF91,CF79,CF67,CF55)</f>
        <v>0</v>
      </c>
      <c r="CG28" s="55"/>
      <c r="CH28" s="55"/>
      <c r="CI28" s="55"/>
      <c r="CJ28" s="148">
        <f>AVERAGE(CJ91,CJ79,CJ67,CJ55)</f>
        <v>0</v>
      </c>
    </row>
    <row r="29" spans="2:88" ht="9.9499999999999993" customHeight="1" x14ac:dyDescent="0.15">
      <c r="B29" s="150" t="s">
        <v>336</v>
      </c>
      <c r="C29" s="136"/>
      <c r="D29" s="136"/>
      <c r="E29" s="148">
        <f t="shared" si="0"/>
        <v>8.5050031214917471E-2</v>
      </c>
      <c r="F29" s="55"/>
      <c r="G29" s="136"/>
      <c r="H29" s="148">
        <f t="shared" si="1"/>
        <v>9.1272178635522935E-2</v>
      </c>
      <c r="I29" s="55"/>
      <c r="J29" s="55"/>
      <c r="K29" s="148">
        <f t="shared" ref="K29:K35" si="38">AVERAGE(K80,K68,K56,K44)</f>
        <v>8.7477464038360042E-2</v>
      </c>
      <c r="L29" s="148">
        <f t="shared" ref="L29:L35" si="39">AVERAGE(L92,L80,L68,L56)</f>
        <v>8.8268380080710113E-2</v>
      </c>
      <c r="M29" s="55"/>
      <c r="N29" s="55"/>
      <c r="O29" s="148">
        <f t="shared" ref="O29:O35" si="40">AVERAGE(O80,O68,O56,O44)</f>
        <v>8.8762891285185219E-2</v>
      </c>
      <c r="P29" s="148">
        <f t="shared" ref="P29:P35" si="41">AVERAGE(P92,P80,P68,P56)</f>
        <v>8.8268380080710113E-2</v>
      </c>
      <c r="Q29" s="55"/>
      <c r="R29" s="55"/>
      <c r="S29" s="148">
        <f t="shared" ref="S29:S35" si="42">AVERAGE(S80,S68,S56,S44)</f>
        <v>8.4650850398460598E-2</v>
      </c>
      <c r="T29" s="148">
        <f t="shared" ref="T29:T35" si="43">AVERAGE(T92,T80,T68,T56)</f>
        <v>8.7951035347429332E-2</v>
      </c>
      <c r="V29" s="150" t="s">
        <v>336</v>
      </c>
      <c r="W29" s="136"/>
      <c r="X29" s="136"/>
      <c r="Y29" s="136"/>
      <c r="Z29" s="136"/>
      <c r="AA29" s="148">
        <f t="shared" si="5"/>
        <v>0.93448663755514594</v>
      </c>
      <c r="AB29" s="148">
        <f t="shared" si="5"/>
        <v>0.98796419120933032</v>
      </c>
      <c r="AC29" s="55"/>
      <c r="AD29" s="55"/>
      <c r="AE29" s="136"/>
      <c r="AF29" s="136"/>
      <c r="AG29" s="148">
        <f t="shared" si="6"/>
        <v>1.4009646150950499</v>
      </c>
      <c r="AH29" s="148">
        <f t="shared" si="6"/>
        <v>1.2535908724551699</v>
      </c>
      <c r="AI29" s="55"/>
      <c r="AJ29" s="55"/>
      <c r="AK29" s="136"/>
      <c r="AL29" s="136"/>
      <c r="AM29" s="148">
        <f t="shared" si="7"/>
        <v>0.95688209876759811</v>
      </c>
      <c r="AN29" s="148">
        <f t="shared" si="7"/>
        <v>1.1001056767218826</v>
      </c>
      <c r="AO29" s="55"/>
      <c r="AP29" s="55"/>
      <c r="AQ29" s="136"/>
      <c r="AR29" s="136"/>
      <c r="AS29" s="148">
        <f t="shared" ref="AS29:AT29" si="44">AVERAGE(AS116,AS104,AS92,AS80,AS68,AS56,AS44)</f>
        <v>0.97664101024080918</v>
      </c>
      <c r="AT29" s="148">
        <f t="shared" si="44"/>
        <v>1.0268549973778005</v>
      </c>
      <c r="AU29" s="55"/>
      <c r="AV29" s="55"/>
      <c r="AW29" s="136"/>
      <c r="AX29" s="136"/>
      <c r="AY29" s="148">
        <f t="shared" ref="AY29:AZ29" si="45">AVERAGE(AY116,AY104,AY92,AY80,AY68,AY56,AY44)</f>
        <v>0.89988268667166516</v>
      </c>
      <c r="AZ29" s="148">
        <f t="shared" si="45"/>
        <v>0.93474578339331793</v>
      </c>
      <c r="BA29" s="55"/>
      <c r="BB29" s="55"/>
      <c r="BC29" s="136"/>
      <c r="BD29" s="136"/>
      <c r="BE29" s="148">
        <f t="shared" ref="BE29:BF29" si="46">AVERAGE(BE116,BE104,BE92,BE80,BE68,BE56,BE44)</f>
        <v>1.0655677732664941</v>
      </c>
      <c r="BF29" s="148">
        <f t="shared" si="46"/>
        <v>1.0559853582114798</v>
      </c>
      <c r="BG29" s="55"/>
      <c r="BH29" s="55"/>
      <c r="BI29" s="136"/>
      <c r="BJ29" s="136"/>
      <c r="BK29" s="148">
        <f t="shared" ref="BK29:BL29" si="47">AVERAGE(BK116,BK104,BK92,BK80,BK68,BK56,BK44)</f>
        <v>0.96446151593005558</v>
      </c>
      <c r="BL29" s="148">
        <f t="shared" si="47"/>
        <v>0.96800130731264167</v>
      </c>
      <c r="BM29" s="55"/>
      <c r="BN29" s="55"/>
      <c r="BO29" s="136"/>
      <c r="BP29" s="136"/>
      <c r="BQ29" s="148">
        <f t="shared" ref="BQ29:BR29" si="48">AVERAGE(BQ116,BQ104,BQ92,BQ80,BQ68,BQ56,BQ44)</f>
        <v>1.4080808080808083</v>
      </c>
      <c r="BR29" s="148">
        <f t="shared" si="48"/>
        <v>1.4597222222222221</v>
      </c>
      <c r="BS29" s="55"/>
      <c r="BT29" s="55"/>
      <c r="BU29" s="136"/>
      <c r="BV29" s="136"/>
      <c r="BW29" s="148">
        <f t="shared" ref="BW29:BX29" si="49">AVERAGE(BW116,BW104,BW92,BW80,BW68,BW56,BW44)</f>
        <v>1.8063492063492064</v>
      </c>
      <c r="BX29" s="148">
        <f t="shared" si="49"/>
        <v>1.5300356581311769</v>
      </c>
      <c r="BY29" s="55"/>
      <c r="BZ29" s="55"/>
      <c r="CA29" s="55"/>
      <c r="CB29" s="148">
        <f t="shared" ref="CB29:CB35" si="50">AVERAGE(CB80,CB68,CB56,CB44)</f>
        <v>0</v>
      </c>
      <c r="CC29" s="55"/>
      <c r="CD29" s="55"/>
      <c r="CE29" s="55"/>
      <c r="CF29" s="148">
        <f t="shared" ref="CF29:CF35" si="51">AVERAGE(CF80,CF68,CF56,CF44)</f>
        <v>0</v>
      </c>
      <c r="CG29" s="55"/>
      <c r="CH29" s="55"/>
      <c r="CI29" s="55"/>
      <c r="CJ29" s="148">
        <f t="shared" ref="CJ29:CJ35" si="52">AVERAGE(CJ80,CJ68,CJ56,CJ44)</f>
        <v>0</v>
      </c>
    </row>
    <row r="30" spans="2:88" ht="9.9499999999999993" customHeight="1" x14ac:dyDescent="0.15">
      <c r="B30" s="150" t="s">
        <v>337</v>
      </c>
      <c r="C30" s="136"/>
      <c r="D30" s="136"/>
      <c r="E30" s="148">
        <f t="shared" si="0"/>
        <v>8.6599482936585273E-2</v>
      </c>
      <c r="F30" s="55"/>
      <c r="G30" s="136"/>
      <c r="H30" s="148">
        <f t="shared" si="1"/>
        <v>9.4203355868508101E-2</v>
      </c>
      <c r="I30" s="55"/>
      <c r="J30" s="55"/>
      <c r="K30" s="148">
        <f t="shared" si="38"/>
        <v>8.995767192741197E-2</v>
      </c>
      <c r="L30" s="148">
        <f t="shared" si="39"/>
        <v>8.7125754441793143E-2</v>
      </c>
      <c r="M30" s="55"/>
      <c r="N30" s="55"/>
      <c r="O30" s="148">
        <f t="shared" si="40"/>
        <v>9.1078895049848063E-2</v>
      </c>
      <c r="P30" s="148">
        <f t="shared" si="41"/>
        <v>8.7125754441793143E-2</v>
      </c>
      <c r="Q30" s="55"/>
      <c r="R30" s="55"/>
      <c r="S30" s="148">
        <f t="shared" si="42"/>
        <v>8.6802044013682689E-2</v>
      </c>
      <c r="T30" s="148">
        <f t="shared" si="43"/>
        <v>8.6815039872692457E-2</v>
      </c>
      <c r="V30" s="150" t="s">
        <v>337</v>
      </c>
      <c r="W30" s="136"/>
      <c r="X30" s="136"/>
      <c r="Y30" s="136"/>
      <c r="Z30" s="136"/>
      <c r="AA30" s="148">
        <f t="shared" si="5"/>
        <v>0.88645573393881549</v>
      </c>
      <c r="AB30" s="148">
        <f t="shared" si="5"/>
        <v>0.90946220560201774</v>
      </c>
      <c r="AC30" s="55"/>
      <c r="AD30" s="55"/>
      <c r="AE30" s="136"/>
      <c r="AF30" s="136"/>
      <c r="AG30" s="148">
        <f t="shared" si="6"/>
        <v>1.3118294748729531</v>
      </c>
      <c r="AH30" s="148">
        <f t="shared" si="6"/>
        <v>1.3279199303711402</v>
      </c>
      <c r="AI30" s="55"/>
      <c r="AJ30" s="55"/>
      <c r="AK30" s="136"/>
      <c r="AL30" s="136"/>
      <c r="AM30" s="148">
        <f t="shared" si="7"/>
        <v>1.0518894396949863</v>
      </c>
      <c r="AN30" s="148">
        <f t="shared" si="7"/>
        <v>1.2082320122472245</v>
      </c>
      <c r="AO30" s="55"/>
      <c r="AP30" s="55"/>
      <c r="AQ30" s="136"/>
      <c r="AR30" s="136"/>
      <c r="AS30" s="148">
        <f t="shared" ref="AS30:AT30" si="53">AVERAGE(AS117,AS105,AS93,AS81,AS69,AS57,AS45)</f>
        <v>1.0270663686836374</v>
      </c>
      <c r="AT30" s="148">
        <f t="shared" si="53"/>
        <v>1.0842683061259257</v>
      </c>
      <c r="AU30" s="55"/>
      <c r="AV30" s="55"/>
      <c r="AW30" s="136"/>
      <c r="AX30" s="136"/>
      <c r="AY30" s="148">
        <f t="shared" ref="AY30:AZ30" si="54">AVERAGE(AY117,AY105,AY93,AY81,AY69,AY57,AY45)</f>
        <v>0.94108181879594932</v>
      </c>
      <c r="AZ30" s="148">
        <f t="shared" si="54"/>
        <v>0.99733219763056447</v>
      </c>
      <c r="BA30" s="55"/>
      <c r="BB30" s="55"/>
      <c r="BC30" s="136"/>
      <c r="BD30" s="136"/>
      <c r="BE30" s="148">
        <f t="shared" ref="BE30:BF30" si="55">AVERAGE(BE117,BE105,BE93,BE81,BE69,BE57,BE45)</f>
        <v>0.80419845792416522</v>
      </c>
      <c r="BF30" s="148">
        <f t="shared" si="55"/>
        <v>0.87246724803032838</v>
      </c>
      <c r="BG30" s="55"/>
      <c r="BH30" s="55"/>
      <c r="BI30" s="136"/>
      <c r="BJ30" s="136"/>
      <c r="BK30" s="148">
        <f t="shared" ref="BK30:BL30" si="56">AVERAGE(BK117,BK105,BK93,BK81,BK69,BK57,BK45)</f>
        <v>0.91007551373549567</v>
      </c>
      <c r="BL30" s="148">
        <f t="shared" si="56"/>
        <v>0.93913472981929624</v>
      </c>
      <c r="BM30" s="55"/>
      <c r="BN30" s="55"/>
      <c r="BO30" s="136"/>
      <c r="BP30" s="136"/>
      <c r="BQ30" s="148">
        <f t="shared" ref="BQ30:BR30" si="57">AVERAGE(BQ117,BQ105,BQ93,BQ81,BQ69,BQ57,BQ45)</f>
        <v>0.60808080808080811</v>
      </c>
      <c r="BR30" s="148">
        <f t="shared" si="57"/>
        <v>1.1033730158730159</v>
      </c>
      <c r="BS30" s="55"/>
      <c r="BT30" s="55"/>
      <c r="BU30" s="136"/>
      <c r="BV30" s="136"/>
      <c r="BW30" s="148">
        <f t="shared" ref="BW30:BX30" si="58">AVERAGE(BW117,BW105,BW93,BW81,BW69,BW57,BW45)</f>
        <v>1.5088888888888887</v>
      </c>
      <c r="BX30" s="148">
        <f t="shared" si="58"/>
        <v>1.376219021413597</v>
      </c>
      <c r="BY30" s="55"/>
      <c r="BZ30" s="55"/>
      <c r="CA30" s="55"/>
      <c r="CB30" s="148">
        <f t="shared" si="50"/>
        <v>0</v>
      </c>
      <c r="CC30" s="55"/>
      <c r="CD30" s="55"/>
      <c r="CE30" s="55"/>
      <c r="CF30" s="148">
        <f t="shared" si="51"/>
        <v>0</v>
      </c>
      <c r="CG30" s="55"/>
      <c r="CH30" s="55"/>
      <c r="CI30" s="55"/>
      <c r="CJ30" s="148">
        <f t="shared" si="52"/>
        <v>0</v>
      </c>
    </row>
    <row r="31" spans="2:88" ht="9.9499999999999993" customHeight="1" x14ac:dyDescent="0.15">
      <c r="B31" s="150" t="s">
        <v>338</v>
      </c>
      <c r="C31" s="136"/>
      <c r="D31" s="136"/>
      <c r="E31" s="148">
        <f t="shared" si="0"/>
        <v>8.0846255404083966E-2</v>
      </c>
      <c r="F31" s="55"/>
      <c r="G31" s="136"/>
      <c r="H31" s="148">
        <f t="shared" si="1"/>
        <v>8.3132019547620395E-2</v>
      </c>
      <c r="I31" s="55"/>
      <c r="J31" s="55"/>
      <c r="K31" s="148">
        <f t="shared" si="38"/>
        <v>8.1386659452448384E-2</v>
      </c>
      <c r="L31" s="148">
        <f t="shared" si="39"/>
        <v>8.0589023142928984E-2</v>
      </c>
      <c r="M31" s="55"/>
      <c r="N31" s="55"/>
      <c r="O31" s="148">
        <f t="shared" si="40"/>
        <v>8.2451787157490741E-2</v>
      </c>
      <c r="P31" s="148">
        <f t="shared" si="41"/>
        <v>8.0589023142928984E-2</v>
      </c>
      <c r="Q31" s="55"/>
      <c r="R31" s="55"/>
      <c r="S31" s="148">
        <f t="shared" si="42"/>
        <v>7.8598133203399173E-2</v>
      </c>
      <c r="T31" s="148">
        <f t="shared" si="43"/>
        <v>8.0310364992628586E-2</v>
      </c>
      <c r="V31" s="150" t="s">
        <v>338</v>
      </c>
      <c r="W31" s="136"/>
      <c r="X31" s="136"/>
      <c r="Y31" s="136"/>
      <c r="Z31" s="136"/>
      <c r="AA31" s="148">
        <f t="shared" si="5"/>
        <v>0.81215001764498918</v>
      </c>
      <c r="AB31" s="148">
        <f t="shared" si="5"/>
        <v>0.88420322156192499</v>
      </c>
      <c r="AC31" s="55"/>
      <c r="AD31" s="55"/>
      <c r="AE31" s="136"/>
      <c r="AF31" s="136"/>
      <c r="AG31" s="148">
        <f t="shared" si="6"/>
        <v>0.65436530343362642</v>
      </c>
      <c r="AH31" s="148">
        <f t="shared" si="6"/>
        <v>0.69713620537412235</v>
      </c>
      <c r="AI31" s="55"/>
      <c r="AJ31" s="55"/>
      <c r="AK31" s="136"/>
      <c r="AL31" s="136"/>
      <c r="AM31" s="148">
        <f t="shared" si="7"/>
        <v>0.78359617262460701</v>
      </c>
      <c r="AN31" s="148">
        <f t="shared" si="7"/>
        <v>1.0013457147675147</v>
      </c>
      <c r="AO31" s="55"/>
      <c r="AP31" s="55"/>
      <c r="AQ31" s="136"/>
      <c r="AR31" s="136"/>
      <c r="AS31" s="148">
        <f t="shared" ref="AS31:AT31" si="59">AVERAGE(AS118,AS106,AS94,AS82,AS70,AS58,AS46)</f>
        <v>0.73837536141685567</v>
      </c>
      <c r="AT31" s="148">
        <f t="shared" si="59"/>
        <v>0.80067450654213723</v>
      </c>
      <c r="AU31" s="55"/>
      <c r="AV31" s="55"/>
      <c r="AW31" s="136"/>
      <c r="AX31" s="136"/>
      <c r="AY31" s="148">
        <f t="shared" ref="AY31:AZ31" si="60">AVERAGE(AY118,AY106,AY94,AY82,AY70,AY58,AY46)</f>
        <v>0.61422022961583578</v>
      </c>
      <c r="AZ31" s="148">
        <f t="shared" si="60"/>
        <v>0.68332941425552929</v>
      </c>
      <c r="BA31" s="55"/>
      <c r="BB31" s="55"/>
      <c r="BC31" s="136"/>
      <c r="BD31" s="136"/>
      <c r="BE31" s="148">
        <f t="shared" ref="BE31:BF31" si="61">AVERAGE(BE118,BE106,BE94,BE82,BE70,BE58,BE46)</f>
        <v>1.1895058042510018</v>
      </c>
      <c r="BF31" s="148">
        <f t="shared" si="61"/>
        <v>1.3132921149248831</v>
      </c>
      <c r="BG31" s="55"/>
      <c r="BH31" s="55"/>
      <c r="BI31" s="136"/>
      <c r="BJ31" s="136"/>
      <c r="BK31" s="148">
        <f t="shared" ref="BK31:BL31" si="62">AVERAGE(BK118,BK106,BK94,BK82,BK70,BK58,BK46)</f>
        <v>1.0438371372915813</v>
      </c>
      <c r="BL31" s="148">
        <f t="shared" si="62"/>
        <v>1.0753837933267631</v>
      </c>
      <c r="BM31" s="55"/>
      <c r="BN31" s="55"/>
      <c r="BO31" s="136"/>
      <c r="BP31" s="136"/>
      <c r="BQ31" s="148">
        <f t="shared" ref="BQ31:BR31" si="63">AVERAGE(BQ118,BQ106,BQ94,BQ82,BQ70,BQ58,BQ46)</f>
        <v>0.54090909090909089</v>
      </c>
      <c r="BR31" s="148">
        <f t="shared" si="63"/>
        <v>1.0797619047619047</v>
      </c>
      <c r="BS31" s="55"/>
      <c r="BT31" s="55"/>
      <c r="BU31" s="136"/>
      <c r="BV31" s="136"/>
      <c r="BW31" s="148">
        <f t="shared" ref="BW31:BX31" si="64">AVERAGE(BW118,BW106,BW94,BW82,BW70,BW58,BW46)</f>
        <v>1.2565079365079364</v>
      </c>
      <c r="BX31" s="148">
        <f t="shared" si="64"/>
        <v>1.1337484089547769</v>
      </c>
      <c r="BY31" s="55"/>
      <c r="BZ31" s="55"/>
      <c r="CA31" s="55"/>
      <c r="CB31" s="148">
        <f t="shared" si="50"/>
        <v>0</v>
      </c>
      <c r="CC31" s="55"/>
      <c r="CD31" s="55"/>
      <c r="CE31" s="55"/>
      <c r="CF31" s="148">
        <f t="shared" si="51"/>
        <v>0</v>
      </c>
      <c r="CG31" s="55"/>
      <c r="CH31" s="55"/>
      <c r="CI31" s="55"/>
      <c r="CJ31" s="148">
        <f t="shared" si="52"/>
        <v>0</v>
      </c>
    </row>
    <row r="32" spans="2:88" ht="9.9499999999999993" customHeight="1" x14ac:dyDescent="0.15">
      <c r="B32" s="150" t="s">
        <v>339</v>
      </c>
      <c r="C32" s="136"/>
      <c r="D32" s="136"/>
      <c r="E32" s="148">
        <f t="shared" si="0"/>
        <v>8.1908249764947372E-2</v>
      </c>
      <c r="F32" s="55"/>
      <c r="G32" s="136"/>
      <c r="H32" s="148">
        <f t="shared" si="1"/>
        <v>8.0257245665374927E-2</v>
      </c>
      <c r="I32" s="55"/>
      <c r="J32" s="55"/>
      <c r="K32" s="148">
        <f t="shared" si="38"/>
        <v>8.5204321406291902E-2</v>
      </c>
      <c r="L32" s="148">
        <f t="shared" si="39"/>
        <v>8.5368950939801916E-2</v>
      </c>
      <c r="M32" s="55"/>
      <c r="N32" s="55"/>
      <c r="O32" s="148">
        <f t="shared" si="40"/>
        <v>8.6443756868529398E-2</v>
      </c>
      <c r="P32" s="148">
        <f t="shared" si="41"/>
        <v>8.5368950939801916E-2</v>
      </c>
      <c r="Q32" s="55"/>
      <c r="R32" s="55"/>
      <c r="S32" s="148">
        <f t="shared" si="42"/>
        <v>8.2429616481536724E-2</v>
      </c>
      <c r="T32" s="148">
        <f t="shared" si="43"/>
        <v>8.5064324646462783E-2</v>
      </c>
      <c r="V32" s="150" t="s">
        <v>339</v>
      </c>
      <c r="W32" s="136"/>
      <c r="X32" s="136"/>
      <c r="Y32" s="136"/>
      <c r="Z32" s="136"/>
      <c r="AA32" s="148">
        <f t="shared" si="5"/>
        <v>0.89245172182040633</v>
      </c>
      <c r="AB32" s="148">
        <f t="shared" si="5"/>
        <v>0.92073980446849846</v>
      </c>
      <c r="AC32" s="55"/>
      <c r="AD32" s="55"/>
      <c r="AE32" s="136"/>
      <c r="AF32" s="136"/>
      <c r="AG32" s="148">
        <f t="shared" si="6"/>
        <v>0.65691296281358391</v>
      </c>
      <c r="AH32" s="148">
        <f t="shared" si="6"/>
        <v>0.65857850294094955</v>
      </c>
      <c r="AI32" s="55"/>
      <c r="AJ32" s="55"/>
      <c r="AK32" s="136"/>
      <c r="AL32" s="136"/>
      <c r="AM32" s="148">
        <f t="shared" si="7"/>
        <v>0.63326173434132105</v>
      </c>
      <c r="AN32" s="148">
        <f t="shared" si="7"/>
        <v>0.84514834014612705</v>
      </c>
      <c r="AO32" s="55"/>
      <c r="AP32" s="55"/>
      <c r="AQ32" s="136"/>
      <c r="AR32" s="136"/>
      <c r="AS32" s="148">
        <f t="shared" ref="AS32:AT32" si="65">AVERAGE(AS119,AS107,AS95,AS83,AS71,AS59,AS47)</f>
        <v>0.54714322915533276</v>
      </c>
      <c r="AT32" s="148">
        <f t="shared" si="65"/>
        <v>0.60796275975641945</v>
      </c>
      <c r="AU32" s="55"/>
      <c r="AV32" s="55"/>
      <c r="AW32" s="136"/>
      <c r="AX32" s="136"/>
      <c r="AY32" s="148">
        <f t="shared" ref="AY32:AZ32" si="66">AVERAGE(AY119,AY107,AY95,AY83,AY71,AY59,AY47)</f>
        <v>0.57893730795218168</v>
      </c>
      <c r="AZ32" s="148">
        <f t="shared" si="66"/>
        <v>0.62225140286933622</v>
      </c>
      <c r="BA32" s="55"/>
      <c r="BB32" s="55"/>
      <c r="BC32" s="136"/>
      <c r="BD32" s="136"/>
      <c r="BE32" s="148">
        <f t="shared" ref="BE32:BF32" si="67">AVERAGE(BE119,BE107,BE95,BE83,BE71,BE59,BE47)</f>
        <v>0.59415475583559763</v>
      </c>
      <c r="BF32" s="148">
        <f t="shared" si="67"/>
        <v>0.68882205315985301</v>
      </c>
      <c r="BG32" s="55"/>
      <c r="BH32" s="55"/>
      <c r="BI32" s="136"/>
      <c r="BJ32" s="136"/>
      <c r="BK32" s="148">
        <f t="shared" ref="BK32:BL32" si="68">AVERAGE(BK119,BK107,BK95,BK83,BK71,BK59,BK47)</f>
        <v>0.74167120455340974</v>
      </c>
      <c r="BL32" s="148">
        <f t="shared" si="68"/>
        <v>0.79530245534421595</v>
      </c>
      <c r="BM32" s="55"/>
      <c r="BN32" s="55"/>
      <c r="BO32" s="136"/>
      <c r="BP32" s="136"/>
      <c r="BQ32" s="148">
        <f t="shared" ref="BQ32:BR32" si="69">AVERAGE(BQ119,BQ107,BQ95,BQ83,BQ71,BQ59,BQ47)</f>
        <v>1.6007575757575758</v>
      </c>
      <c r="BR32" s="148">
        <f t="shared" si="69"/>
        <v>0.61289682539682533</v>
      </c>
      <c r="BS32" s="55"/>
      <c r="BT32" s="55"/>
      <c r="BU32" s="136"/>
      <c r="BV32" s="136"/>
      <c r="BW32" s="148">
        <f t="shared" ref="BW32:BX32" si="70">AVERAGE(BW119,BW107,BW95,BW83,BW71,BW59,BW47)</f>
        <v>0.94634920634920638</v>
      </c>
      <c r="BX32" s="148">
        <f t="shared" si="70"/>
        <v>0.91475741239892183</v>
      </c>
      <c r="BY32" s="55"/>
      <c r="BZ32" s="55"/>
      <c r="CA32" s="55"/>
      <c r="CB32" s="148">
        <f t="shared" si="50"/>
        <v>0</v>
      </c>
      <c r="CC32" s="55"/>
      <c r="CD32" s="55"/>
      <c r="CE32" s="55"/>
      <c r="CF32" s="148">
        <f t="shared" si="51"/>
        <v>0</v>
      </c>
      <c r="CG32" s="55"/>
      <c r="CH32" s="55"/>
      <c r="CI32" s="55"/>
      <c r="CJ32" s="148">
        <f t="shared" si="52"/>
        <v>0</v>
      </c>
    </row>
    <row r="33" spans="2:88" ht="9.9499999999999993" customHeight="1" x14ac:dyDescent="0.15">
      <c r="B33" s="150" t="s">
        <v>340</v>
      </c>
      <c r="C33" s="136"/>
      <c r="D33" s="136"/>
      <c r="E33" s="148">
        <f t="shared" si="0"/>
        <v>7.7395832614512952E-2</v>
      </c>
      <c r="F33" s="55"/>
      <c r="G33" s="136"/>
      <c r="H33" s="148">
        <f t="shared" si="1"/>
        <v>7.2160448244430783E-2</v>
      </c>
      <c r="I33" s="55"/>
      <c r="J33" s="55"/>
      <c r="K33" s="148">
        <f t="shared" si="38"/>
        <v>7.5322620124537651E-2</v>
      </c>
      <c r="L33" s="148">
        <f t="shared" si="39"/>
        <v>7.4432954139816931E-2</v>
      </c>
      <c r="M33" s="55"/>
      <c r="N33" s="55"/>
      <c r="O33" s="148">
        <f t="shared" si="40"/>
        <v>7.6331814131499115E-2</v>
      </c>
      <c r="P33" s="148">
        <f t="shared" si="41"/>
        <v>7.4432954139816931E-2</v>
      </c>
      <c r="Q33" s="55"/>
      <c r="R33" s="55"/>
      <c r="S33" s="148">
        <f t="shared" si="42"/>
        <v>7.2815434218219122E-2</v>
      </c>
      <c r="T33" s="148">
        <f t="shared" si="43"/>
        <v>7.4168161957873957E-2</v>
      </c>
      <c r="V33" s="150" t="s">
        <v>340</v>
      </c>
      <c r="W33" s="136"/>
      <c r="X33" s="136"/>
      <c r="Y33" s="136"/>
      <c r="Z33" s="136"/>
      <c r="AA33" s="148">
        <f t="shared" si="5"/>
        <v>0.71891383916599472</v>
      </c>
      <c r="AB33" s="148">
        <f t="shared" si="5"/>
        <v>0.74040761771391728</v>
      </c>
      <c r="AC33" s="55"/>
      <c r="AD33" s="55"/>
      <c r="AE33" s="136"/>
      <c r="AF33" s="136"/>
      <c r="AG33" s="148">
        <f t="shared" si="6"/>
        <v>0.51952757387539994</v>
      </c>
      <c r="AH33" s="148">
        <f t="shared" si="6"/>
        <v>0.36491111889663841</v>
      </c>
      <c r="AI33" s="55"/>
      <c r="AJ33" s="55"/>
      <c r="AK33" s="136"/>
      <c r="AL33" s="136"/>
      <c r="AM33" s="148">
        <f t="shared" si="7"/>
        <v>0.43241520633347802</v>
      </c>
      <c r="AN33" s="148">
        <f t="shared" si="7"/>
        <v>0.44259257915208378</v>
      </c>
      <c r="AO33" s="55"/>
      <c r="AP33" s="55"/>
      <c r="AQ33" s="136"/>
      <c r="AR33" s="136"/>
      <c r="AS33" s="148">
        <f t="shared" ref="AS33:AT33" si="71">AVERAGE(AS120,AS108,AS96,AS84,AS72,AS60,AS48)</f>
        <v>0.30749534673531587</v>
      </c>
      <c r="AT33" s="148">
        <f t="shared" si="71"/>
        <v>0.36633115874495187</v>
      </c>
      <c r="AU33" s="55"/>
      <c r="AV33" s="55"/>
      <c r="AW33" s="136"/>
      <c r="AX33" s="136"/>
      <c r="AY33" s="148">
        <f t="shared" ref="AY33:AZ33" si="72">AVERAGE(AY120,AY108,AY96,AY84,AY72,AY60,AY48)</f>
        <v>0.35987473973278439</v>
      </c>
      <c r="AZ33" s="148">
        <f t="shared" si="72"/>
        <v>0.41282224042509846</v>
      </c>
      <c r="BA33" s="55"/>
      <c r="BB33" s="55"/>
      <c r="BC33" s="136"/>
      <c r="BD33" s="136"/>
      <c r="BE33" s="148">
        <f t="shared" ref="BE33:BF33" si="73">AVERAGE(BE120,BE108,BE96,BE84,BE72,BE60,BE48)</f>
        <v>0.40731834837433911</v>
      </c>
      <c r="BF33" s="148">
        <f t="shared" si="73"/>
        <v>0.49550702839301641</v>
      </c>
      <c r="BG33" s="55"/>
      <c r="BH33" s="55"/>
      <c r="BI33" s="136"/>
      <c r="BJ33" s="136"/>
      <c r="BK33" s="148">
        <f t="shared" ref="BK33:BL33" si="74">AVERAGE(BK120,BK108,BK96,BK84,BK72,BK60,BK48)</f>
        <v>0.49988424670948695</v>
      </c>
      <c r="BL33" s="148">
        <f t="shared" si="74"/>
        <v>0.56610702724788609</v>
      </c>
      <c r="BM33" s="55"/>
      <c r="BN33" s="55"/>
      <c r="BO33" s="136"/>
      <c r="BP33" s="136"/>
      <c r="BQ33" s="148">
        <f t="shared" ref="BQ33:BR33" si="75">AVERAGE(BQ120,BQ108,BQ96,BQ84,BQ72,BQ60,BQ48)</f>
        <v>0.1393939393939394</v>
      </c>
      <c r="BR33" s="148">
        <f t="shared" si="75"/>
        <v>0.491468253968254</v>
      </c>
      <c r="BS33" s="55"/>
      <c r="BT33" s="55"/>
      <c r="BU33" s="136"/>
      <c r="BV33" s="136"/>
      <c r="BW33" s="148">
        <f t="shared" ref="BW33:BX33" si="76">AVERAGE(BW120,BW108,BW96,BW84,BW72,BW60,BW48)</f>
        <v>0.61968253968253961</v>
      </c>
      <c r="BX33" s="148">
        <f t="shared" si="76"/>
        <v>0.63972418763102723</v>
      </c>
      <c r="BY33" s="55"/>
      <c r="BZ33" s="55"/>
      <c r="CA33" s="55"/>
      <c r="CB33" s="148">
        <f t="shared" si="50"/>
        <v>0</v>
      </c>
      <c r="CC33" s="55"/>
      <c r="CD33" s="55"/>
      <c r="CE33" s="55"/>
      <c r="CF33" s="148">
        <f t="shared" si="51"/>
        <v>0</v>
      </c>
      <c r="CG33" s="55"/>
      <c r="CH33" s="55"/>
      <c r="CI33" s="55"/>
      <c r="CJ33" s="148">
        <f t="shared" si="52"/>
        <v>0</v>
      </c>
    </row>
    <row r="34" spans="2:88" ht="9.9499999999999993" customHeight="1" x14ac:dyDescent="0.15">
      <c r="B34" s="150" t="s">
        <v>341</v>
      </c>
      <c r="C34" s="136"/>
      <c r="D34" s="136"/>
      <c r="E34" s="148">
        <f t="shared" si="0"/>
        <v>6.6426641054386296E-2</v>
      </c>
      <c r="F34" s="55"/>
      <c r="G34" s="136"/>
      <c r="H34" s="148">
        <f t="shared" si="1"/>
        <v>6.084459991821816E-2</v>
      </c>
      <c r="I34" s="55"/>
      <c r="J34" s="55"/>
      <c r="K34" s="148">
        <f t="shared" si="38"/>
        <v>6.5919258032213893E-2</v>
      </c>
      <c r="L34" s="148">
        <f t="shared" si="39"/>
        <v>6.5857499191818117E-2</v>
      </c>
      <c r="M34" s="55"/>
      <c r="N34" s="55"/>
      <c r="O34" s="148">
        <f t="shared" si="40"/>
        <v>6.6833216206414664E-2</v>
      </c>
      <c r="P34" s="148">
        <f t="shared" si="41"/>
        <v>6.5857499191818117E-2</v>
      </c>
      <c r="Q34" s="55"/>
      <c r="R34" s="55"/>
      <c r="S34" s="148">
        <f t="shared" si="42"/>
        <v>6.3682697120208909E-2</v>
      </c>
      <c r="T34" s="148">
        <f t="shared" si="43"/>
        <v>6.5627866005503313E-2</v>
      </c>
      <c r="V34" s="150" t="s">
        <v>341</v>
      </c>
      <c r="W34" s="136"/>
      <c r="X34" s="136"/>
      <c r="Y34" s="136"/>
      <c r="Z34" s="136"/>
      <c r="AA34" s="148">
        <f t="shared" si="5"/>
        <v>0.56030423394472717</v>
      </c>
      <c r="AB34" s="148">
        <f t="shared" si="5"/>
        <v>0.59205155806121612</v>
      </c>
      <c r="AC34" s="55"/>
      <c r="AD34" s="55"/>
      <c r="AE34" s="136"/>
      <c r="AF34" s="136"/>
      <c r="AG34" s="148">
        <f t="shared" si="6"/>
        <v>0.52027103331451163</v>
      </c>
      <c r="AH34" s="148">
        <f t="shared" si="6"/>
        <v>0.31913547319331431</v>
      </c>
      <c r="AI34" s="55"/>
      <c r="AJ34" s="55"/>
      <c r="AK34" s="136"/>
      <c r="AL34" s="136"/>
      <c r="AM34" s="148">
        <f t="shared" si="7"/>
        <v>0.35712630471736706</v>
      </c>
      <c r="AN34" s="148">
        <f t="shared" si="7"/>
        <v>0.3964987116771036</v>
      </c>
      <c r="AO34" s="55"/>
      <c r="AP34" s="55"/>
      <c r="AQ34" s="136"/>
      <c r="AR34" s="136"/>
      <c r="AS34" s="148">
        <f t="shared" ref="AS34:AT34" si="77">AVERAGE(AS121,AS109,AS97,AS85,AS73,AS61,AS49)</f>
        <v>0.21892286533749408</v>
      </c>
      <c r="AT34" s="148">
        <f t="shared" si="77"/>
        <v>0.25017735755778026</v>
      </c>
      <c r="AU34" s="55"/>
      <c r="AV34" s="55"/>
      <c r="AW34" s="136"/>
      <c r="AX34" s="136"/>
      <c r="AY34" s="148">
        <f t="shared" ref="AY34:AZ34" si="78">AVERAGE(AY121,AY109,AY97,AY85,AY73,AY61,AY49)</f>
        <v>0.31435407262831716</v>
      </c>
      <c r="AZ34" s="148">
        <f t="shared" si="78"/>
        <v>0.34271734272323151</v>
      </c>
      <c r="BA34" s="55"/>
      <c r="BB34" s="55"/>
      <c r="BC34" s="136"/>
      <c r="BD34" s="136"/>
      <c r="BE34" s="148">
        <f t="shared" ref="BE34:BF34" si="79">AVERAGE(BE121,BE109,BE97,BE85,BE73,BE61,BE49)</f>
        <v>0.31825865464104758</v>
      </c>
      <c r="BF34" s="148">
        <f t="shared" si="79"/>
        <v>0.40323430776272928</v>
      </c>
      <c r="BG34" s="55"/>
      <c r="BH34" s="55"/>
      <c r="BI34" s="136"/>
      <c r="BJ34" s="136"/>
      <c r="BK34" s="148">
        <f t="shared" ref="BK34:BL34" si="80">AVERAGE(BK121,BK109,BK97,BK85,BK73,BK61,BK49)</f>
        <v>0.44849450936986512</v>
      </c>
      <c r="BL34" s="148">
        <f t="shared" si="80"/>
        <v>0.52146834043739143</v>
      </c>
      <c r="BM34" s="55"/>
      <c r="BN34" s="55"/>
      <c r="BO34" s="136"/>
      <c r="BP34" s="136"/>
      <c r="BQ34" s="148">
        <f t="shared" ref="BQ34:BR34" si="81">AVERAGE(BQ121,BQ109,BQ97,BQ85,BQ73,BQ61,BQ49)</f>
        <v>0.56818181818181823</v>
      </c>
      <c r="BR34" s="148">
        <f t="shared" si="81"/>
        <v>0.32182539682539685</v>
      </c>
      <c r="BS34" s="55"/>
      <c r="BT34" s="55"/>
      <c r="BU34" s="136"/>
      <c r="BV34" s="136"/>
      <c r="BW34" s="148">
        <f t="shared" ref="BW34:BX34" si="82">AVERAGE(BW121,BW109,BW97,BW85,BW73,BW61,BW49)</f>
        <v>0.42888888888888888</v>
      </c>
      <c r="BX34" s="148">
        <f t="shared" si="82"/>
        <v>0.40432202755315966</v>
      </c>
      <c r="BY34" s="55"/>
      <c r="BZ34" s="55"/>
      <c r="CA34" s="55"/>
      <c r="CB34" s="148">
        <f t="shared" si="50"/>
        <v>0</v>
      </c>
      <c r="CC34" s="55"/>
      <c r="CD34" s="55"/>
      <c r="CE34" s="55"/>
      <c r="CF34" s="148">
        <f t="shared" si="51"/>
        <v>0</v>
      </c>
      <c r="CG34" s="55"/>
      <c r="CH34" s="55"/>
      <c r="CI34" s="55"/>
      <c r="CJ34" s="148">
        <f t="shared" si="52"/>
        <v>0</v>
      </c>
    </row>
    <row r="35" spans="2:88" ht="9.9499999999999993" customHeight="1" x14ac:dyDescent="0.15">
      <c r="B35" s="150" t="s">
        <v>342</v>
      </c>
      <c r="C35" s="136"/>
      <c r="D35" s="136"/>
      <c r="E35" s="148">
        <f t="shared" si="0"/>
        <v>7.9067334425156469E-2</v>
      </c>
      <c r="F35" s="55"/>
      <c r="G35" s="136"/>
      <c r="H35" s="148">
        <f t="shared" si="1"/>
        <v>7.3789273141264447E-2</v>
      </c>
      <c r="I35" s="55"/>
      <c r="J35" s="55"/>
      <c r="K35" s="148">
        <f t="shared" si="38"/>
        <v>8.151061085948054E-2</v>
      </c>
      <c r="L35" s="148">
        <f t="shared" si="39"/>
        <v>8.1016041789896673E-2</v>
      </c>
      <c r="M35" s="55"/>
      <c r="N35" s="55"/>
      <c r="O35" s="148">
        <f t="shared" si="40"/>
        <v>8.2645140506078171E-2</v>
      </c>
      <c r="P35" s="148">
        <f t="shared" si="41"/>
        <v>8.1167817239138546E-2</v>
      </c>
      <c r="Q35" s="55"/>
      <c r="R35" s="55"/>
      <c r="S35" s="148">
        <f t="shared" si="42"/>
        <v>7.878431737144917E-2</v>
      </c>
      <c r="T35" s="148">
        <f t="shared" si="43"/>
        <v>8.0726737125960915E-2</v>
      </c>
      <c r="V35" s="150" t="s">
        <v>342</v>
      </c>
      <c r="W35" s="136"/>
      <c r="X35" s="136"/>
      <c r="Y35" s="136"/>
      <c r="Z35" s="136"/>
      <c r="AA35" s="148">
        <f t="shared" si="5"/>
        <v>0.47442854636095927</v>
      </c>
      <c r="AB35" s="148">
        <f t="shared" si="5"/>
        <v>0.61223675501096986</v>
      </c>
      <c r="AC35" s="55"/>
      <c r="AD35" s="55"/>
      <c r="AE35" s="136"/>
      <c r="AF35" s="136"/>
      <c r="AG35" s="148">
        <f t="shared" si="6"/>
        <v>0.41296550240649615</v>
      </c>
      <c r="AH35" s="148">
        <f t="shared" si="6"/>
        <v>0.4653163928886444</v>
      </c>
      <c r="AI35" s="55"/>
      <c r="AJ35" s="55"/>
      <c r="AK35" s="136"/>
      <c r="AL35" s="136"/>
      <c r="AM35" s="148">
        <f t="shared" si="7"/>
        <v>0.39523365098041313</v>
      </c>
      <c r="AN35" s="148">
        <f t="shared" si="7"/>
        <v>0.46314215206771686</v>
      </c>
      <c r="AO35" s="55"/>
      <c r="AP35" s="55"/>
      <c r="AQ35" s="136"/>
      <c r="AR35" s="136"/>
      <c r="AS35" s="148">
        <f t="shared" ref="AS35:AT35" si="83">AVERAGE(AS122,AS110,AS98,AS86,AS74,AS62,AS50)</f>
        <v>0.21628682534915805</v>
      </c>
      <c r="AT35" s="148">
        <f t="shared" si="83"/>
        <v>0.24921301446051169</v>
      </c>
      <c r="AU35" s="55"/>
      <c r="AV35" s="55"/>
      <c r="AW35" s="136"/>
      <c r="AX35" s="136"/>
      <c r="AY35" s="148">
        <f t="shared" ref="AY35:AZ35" si="84">AVERAGE(AY122,AY110,AY98,AY86,AY74,AY62,AY50)</f>
        <v>0.31654598309447224</v>
      </c>
      <c r="AZ35" s="148">
        <f t="shared" si="84"/>
        <v>0.38371243235407804</v>
      </c>
      <c r="BA35" s="55"/>
      <c r="BB35" s="55"/>
      <c r="BC35" s="136"/>
      <c r="BD35" s="136"/>
      <c r="BE35" s="148">
        <f t="shared" ref="BE35:BF35" si="85">AVERAGE(BE122,BE110,BE98,BE86,BE74,BE62,BE50)</f>
        <v>0.37896968122696378</v>
      </c>
      <c r="BF35" s="148">
        <f t="shared" si="85"/>
        <v>0.44815604373990803</v>
      </c>
      <c r="BG35" s="55"/>
      <c r="BH35" s="55"/>
      <c r="BI35" s="136"/>
      <c r="BJ35" s="136"/>
      <c r="BK35" s="148">
        <f t="shared" ref="BK35:BL35" si="86">AVERAGE(BK122,BK110,BK98,BK86,BK74,BK62,BK50)</f>
        <v>0.53476691825650347</v>
      </c>
      <c r="BL35" s="148">
        <f t="shared" si="86"/>
        <v>0.64545212823548548</v>
      </c>
      <c r="BM35" s="55"/>
      <c r="BN35" s="55"/>
      <c r="BO35" s="136"/>
      <c r="BP35" s="136"/>
      <c r="BQ35" s="148">
        <f t="shared" ref="BQ35:BR35" si="87">AVERAGE(BQ122,BQ110,BQ98,BQ86,BQ74,BQ62,BQ50)</f>
        <v>0.66969696969696957</v>
      </c>
      <c r="BR35" s="148">
        <f t="shared" si="87"/>
        <v>0.42023809523809524</v>
      </c>
      <c r="BS35" s="55"/>
      <c r="BT35" s="55"/>
      <c r="BU35" s="136"/>
      <c r="BV35" s="136"/>
      <c r="BW35" s="148">
        <f t="shared" ref="BW35:BX35" si="88">AVERAGE(BW122,BW110,BW98,BW86,BW74,BW62,BW50)</f>
        <v>0.64317460317460318</v>
      </c>
      <c r="BX35" s="148">
        <f t="shared" si="88"/>
        <v>0.59079252770290502</v>
      </c>
      <c r="BY35" s="55"/>
      <c r="BZ35" s="55"/>
      <c r="CA35" s="55"/>
      <c r="CB35" s="148">
        <f t="shared" si="50"/>
        <v>0</v>
      </c>
      <c r="CC35" s="55"/>
      <c r="CD35" s="55"/>
      <c r="CE35" s="55"/>
      <c r="CF35" s="148">
        <f t="shared" si="51"/>
        <v>0</v>
      </c>
      <c r="CG35" s="55"/>
      <c r="CH35" s="55"/>
      <c r="CI35" s="55"/>
      <c r="CJ35" s="148">
        <f t="shared" si="52"/>
        <v>0</v>
      </c>
    </row>
    <row r="36" spans="2:88" ht="9.9499999999999993" customHeight="1" thickBot="1" x14ac:dyDescent="0.2">
      <c r="B36" s="154" t="s">
        <v>343</v>
      </c>
      <c r="C36" s="155"/>
      <c r="D36" s="155"/>
      <c r="E36" s="156">
        <f>SUM(E24:E35)</f>
        <v>1.0000000423780999</v>
      </c>
      <c r="F36" s="157"/>
      <c r="G36" s="155"/>
      <c r="H36" s="156">
        <f>SUM(H24:H35)</f>
        <v>1.0000014722984663</v>
      </c>
      <c r="I36" s="157"/>
      <c r="J36" s="157"/>
      <c r="K36" s="156">
        <f>SUM(K24:K35)</f>
        <v>0.99999921159107352</v>
      </c>
      <c r="L36" s="156">
        <f>SUM(L24:L35)</f>
        <v>1</v>
      </c>
      <c r="M36" s="157"/>
      <c r="N36" s="157"/>
      <c r="O36" s="156">
        <f>SUM(O24:O35)</f>
        <v>1.0000018268634459</v>
      </c>
      <c r="P36" s="156">
        <f>SUM(P24:P35)</f>
        <v>1.0001517754492419</v>
      </c>
      <c r="Q36" s="157"/>
      <c r="R36" s="157"/>
      <c r="S36" s="156">
        <f>SUM(S24:S35)</f>
        <v>1.0000000320895284</v>
      </c>
      <c r="T36" s="156">
        <f>SUM(T24:T35)</f>
        <v>0.99645728227309682</v>
      </c>
      <c r="V36" s="154" t="s">
        <v>343</v>
      </c>
      <c r="W36" s="155"/>
      <c r="X36" s="155"/>
      <c r="Y36" s="155"/>
      <c r="Z36" s="155"/>
      <c r="AA36" s="156">
        <f>SUM(AA24:AA35)</f>
        <v>11.968194273471847</v>
      </c>
      <c r="AB36" s="156">
        <f>SUM(AB24:AB35)</f>
        <v>11.988977382695435</v>
      </c>
      <c r="AC36" s="157"/>
      <c r="AD36" s="157"/>
      <c r="AE36" s="155"/>
      <c r="AF36" s="155"/>
      <c r="AG36" s="156">
        <f>SUM(AG24:AG35)</f>
        <v>12.109852518082333</v>
      </c>
      <c r="AH36" s="156">
        <f>SUM(AH24:AH35)</f>
        <v>11.863294715172746</v>
      </c>
      <c r="AI36" s="157"/>
      <c r="AJ36" s="157"/>
      <c r="AK36" s="155"/>
      <c r="AL36" s="155"/>
      <c r="AM36" s="156">
        <f>SUM(AM24:AM35)</f>
        <v>11.786558006201934</v>
      </c>
      <c r="AN36" s="156">
        <f>SUM(AN24:AN35)</f>
        <v>11.855042548568955</v>
      </c>
      <c r="AO36" s="157"/>
      <c r="AP36" s="157"/>
      <c r="AQ36" s="155"/>
      <c r="AR36" s="155"/>
      <c r="AS36" s="156">
        <f>SUM(AS24:AS35)</f>
        <v>11.492139609546483</v>
      </c>
      <c r="AT36" s="156">
        <f>SUM(AT24:AT35)</f>
        <v>11.510887956922442</v>
      </c>
      <c r="AU36" s="157"/>
      <c r="AV36" s="157"/>
      <c r="AW36" s="155"/>
      <c r="AX36" s="155"/>
      <c r="AY36" s="156">
        <f>SUM(AY24:AY35)</f>
        <v>11.508740642525934</v>
      </c>
      <c r="AZ36" s="156">
        <f>SUM(AZ24:AZ35)</f>
        <v>11.499208086462721</v>
      </c>
      <c r="BA36" s="157"/>
      <c r="BB36" s="157"/>
      <c r="BC36" s="155"/>
      <c r="BD36" s="155"/>
      <c r="BE36" s="156">
        <f>SUM(BE24:BE35)</f>
        <v>12.322340285644383</v>
      </c>
      <c r="BF36" s="156">
        <f>SUM(BF24:BF35)</f>
        <v>12.320336285997186</v>
      </c>
      <c r="BG36" s="157"/>
      <c r="BH36" s="157"/>
      <c r="BI36" s="155"/>
      <c r="BJ36" s="155"/>
      <c r="BK36" s="156">
        <f>SUM(BK24:BK35)</f>
        <v>12.444145065658393</v>
      </c>
      <c r="BL36" s="156">
        <f>SUM(BL24:BL35)</f>
        <v>12.358043593478619</v>
      </c>
      <c r="BM36" s="157"/>
      <c r="BN36" s="157"/>
      <c r="BO36" s="155"/>
      <c r="BP36" s="155"/>
      <c r="BQ36" s="156">
        <f>SUM(BQ24:BQ35)</f>
        <v>11.927020202020202</v>
      </c>
      <c r="BR36" s="156">
        <f>SUM(BR24:BR35)</f>
        <v>12.033928571428572</v>
      </c>
      <c r="BS36" s="157"/>
      <c r="BT36" s="157"/>
      <c r="BU36" s="155"/>
      <c r="BV36" s="155"/>
      <c r="BW36" s="156">
        <f>SUM(BW24:BW35)</f>
        <v>16.107301587301588</v>
      </c>
      <c r="BX36" s="156">
        <f>SUM(BX24:BX35)</f>
        <v>13.797548854447438</v>
      </c>
      <c r="BY36" s="157"/>
      <c r="BZ36" s="157"/>
      <c r="CA36" s="157"/>
      <c r="CB36" s="156">
        <f>SUM(CB24:CB35)</f>
        <v>0</v>
      </c>
      <c r="CC36" s="157"/>
      <c r="CD36" s="157"/>
      <c r="CE36" s="157"/>
      <c r="CF36" s="156">
        <f>SUM(CF24:CF35)</f>
        <v>0</v>
      </c>
      <c r="CG36" s="157"/>
      <c r="CH36" s="157"/>
      <c r="CI36" s="157"/>
      <c r="CJ36" s="156">
        <f>SUM(CJ24:CJ35)</f>
        <v>0</v>
      </c>
    </row>
    <row r="37" spans="2:88" ht="9.9499999999999993" customHeight="1" thickTop="1" x14ac:dyDescent="0.15">
      <c r="B37" s="326"/>
      <c r="C37" s="327"/>
      <c r="D37" s="327"/>
      <c r="E37" s="328"/>
      <c r="F37" s="230"/>
      <c r="G37" s="327"/>
      <c r="H37" s="328"/>
      <c r="I37" s="230"/>
      <c r="J37" s="230"/>
      <c r="K37" s="328"/>
      <c r="L37" s="328"/>
      <c r="M37" s="230"/>
      <c r="N37" s="230"/>
      <c r="O37" s="328"/>
      <c r="P37" s="328"/>
      <c r="Q37" s="230"/>
      <c r="R37" s="230"/>
      <c r="S37" s="328"/>
      <c r="T37" s="328"/>
      <c r="V37" s="326"/>
      <c r="W37" s="327" t="s">
        <v>544</v>
      </c>
      <c r="X37" s="327"/>
      <c r="Y37" s="327" t="s">
        <v>544</v>
      </c>
      <c r="Z37" s="327"/>
      <c r="AA37" s="328" t="s">
        <v>544</v>
      </c>
      <c r="AB37" s="328"/>
      <c r="AC37" s="230" t="s">
        <v>547</v>
      </c>
      <c r="AD37" s="230"/>
      <c r="AE37" s="327" t="s">
        <v>547</v>
      </c>
      <c r="AF37" s="327"/>
      <c r="AG37" s="327" t="s">
        <v>547</v>
      </c>
      <c r="AH37" s="327"/>
      <c r="AI37" s="230" t="s">
        <v>548</v>
      </c>
      <c r="AJ37" s="327"/>
      <c r="AK37" s="327" t="s">
        <v>547</v>
      </c>
      <c r="AL37" s="327"/>
      <c r="AM37" s="327" t="s">
        <v>547</v>
      </c>
      <c r="AN37" s="327"/>
      <c r="AO37" s="230" t="s">
        <v>545</v>
      </c>
      <c r="AP37" s="230"/>
      <c r="AQ37" s="327" t="s">
        <v>547</v>
      </c>
      <c r="AR37" s="327"/>
      <c r="AS37" s="327" t="s">
        <v>547</v>
      </c>
      <c r="AT37" s="327"/>
      <c r="AU37" s="230" t="s">
        <v>546</v>
      </c>
      <c r="AV37" s="327"/>
      <c r="AW37" s="327" t="s">
        <v>547</v>
      </c>
      <c r="AX37" s="327"/>
      <c r="AY37" s="327" t="s">
        <v>547</v>
      </c>
      <c r="AZ37" s="327"/>
      <c r="BA37" s="230" t="s">
        <v>545</v>
      </c>
      <c r="BB37" s="230"/>
      <c r="BC37" s="327" t="s">
        <v>547</v>
      </c>
      <c r="BD37" s="327"/>
      <c r="BE37" s="327" t="s">
        <v>547</v>
      </c>
      <c r="BF37" s="327"/>
      <c r="BG37" s="230" t="s">
        <v>546</v>
      </c>
      <c r="BH37" s="327"/>
      <c r="BI37" s="327" t="s">
        <v>547</v>
      </c>
      <c r="BJ37" s="327"/>
      <c r="BK37" s="327" t="s">
        <v>547</v>
      </c>
      <c r="BL37" s="327"/>
      <c r="BM37" s="230" t="s">
        <v>545</v>
      </c>
      <c r="BN37" s="230"/>
      <c r="BO37" s="327" t="s">
        <v>547</v>
      </c>
      <c r="BP37" s="327"/>
      <c r="BQ37" s="327" t="s">
        <v>547</v>
      </c>
      <c r="BR37" s="327"/>
      <c r="BS37" s="230" t="s">
        <v>546</v>
      </c>
      <c r="BT37" s="327"/>
      <c r="BU37" s="327" t="s">
        <v>547</v>
      </c>
      <c r="BV37" s="327"/>
      <c r="BW37" s="327" t="s">
        <v>547</v>
      </c>
      <c r="BX37" s="327"/>
      <c r="BY37" s="230"/>
      <c r="BZ37" s="230"/>
      <c r="CA37" s="230"/>
      <c r="CB37" s="328"/>
      <c r="CC37" s="230"/>
      <c r="CD37" s="230"/>
      <c r="CE37" s="230"/>
      <c r="CF37" s="328"/>
      <c r="CG37" s="230"/>
      <c r="CH37" s="230"/>
      <c r="CI37" s="230"/>
      <c r="CJ37" s="328"/>
    </row>
    <row r="38" spans="2:88" ht="9.9499999999999993" customHeight="1" x14ac:dyDescent="0.15">
      <c r="B38" s="153"/>
      <c r="C38" s="141"/>
      <c r="D38" s="141"/>
      <c r="E38" s="141"/>
      <c r="F38" s="141"/>
      <c r="G38" s="141"/>
      <c r="H38" s="141"/>
      <c r="I38" s="141"/>
      <c r="J38" s="141"/>
      <c r="K38" s="141"/>
      <c r="L38" s="141"/>
      <c r="M38" s="141"/>
      <c r="N38" s="141"/>
      <c r="O38" s="141"/>
      <c r="P38" s="141"/>
      <c r="Q38" s="141"/>
      <c r="R38" s="141"/>
      <c r="S38" s="141"/>
      <c r="T38" s="141"/>
      <c r="V38" s="153"/>
      <c r="W38" s="325" t="s">
        <v>541</v>
      </c>
      <c r="X38" s="325" t="s">
        <v>543</v>
      </c>
      <c r="Y38" s="141" t="s">
        <v>540</v>
      </c>
      <c r="Z38" s="141" t="s">
        <v>542</v>
      </c>
      <c r="AA38" s="141" t="s">
        <v>540</v>
      </c>
      <c r="AB38" s="141" t="s">
        <v>542</v>
      </c>
      <c r="AC38" s="325" t="s">
        <v>541</v>
      </c>
      <c r="AD38" s="325" t="s">
        <v>543</v>
      </c>
      <c r="AE38" s="141" t="s">
        <v>540</v>
      </c>
      <c r="AF38" s="141" t="s">
        <v>542</v>
      </c>
      <c r="AG38" s="141" t="s">
        <v>540</v>
      </c>
      <c r="AH38" s="141" t="s">
        <v>542</v>
      </c>
      <c r="AI38" s="325" t="s">
        <v>541</v>
      </c>
      <c r="AJ38" s="325" t="s">
        <v>543</v>
      </c>
      <c r="AK38" s="141" t="s">
        <v>540</v>
      </c>
      <c r="AL38" s="141" t="s">
        <v>542</v>
      </c>
      <c r="AM38" s="141" t="s">
        <v>540</v>
      </c>
      <c r="AN38" s="141" t="s">
        <v>542</v>
      </c>
      <c r="AO38" s="325" t="s">
        <v>541</v>
      </c>
      <c r="AP38" s="325" t="s">
        <v>543</v>
      </c>
      <c r="AQ38" s="141" t="s">
        <v>540</v>
      </c>
      <c r="AR38" s="141" t="s">
        <v>542</v>
      </c>
      <c r="AS38" s="141" t="s">
        <v>540</v>
      </c>
      <c r="AT38" s="141" t="s">
        <v>542</v>
      </c>
      <c r="AU38" s="325" t="s">
        <v>541</v>
      </c>
      <c r="AV38" s="325" t="s">
        <v>543</v>
      </c>
      <c r="AW38" s="141" t="s">
        <v>540</v>
      </c>
      <c r="AX38" s="141" t="s">
        <v>542</v>
      </c>
      <c r="AY38" s="141" t="s">
        <v>540</v>
      </c>
      <c r="AZ38" s="141" t="s">
        <v>542</v>
      </c>
      <c r="BA38" s="325" t="s">
        <v>541</v>
      </c>
      <c r="BB38" s="325" t="s">
        <v>543</v>
      </c>
      <c r="BC38" s="141" t="s">
        <v>540</v>
      </c>
      <c r="BD38" s="141" t="s">
        <v>542</v>
      </c>
      <c r="BE38" s="141" t="s">
        <v>540</v>
      </c>
      <c r="BF38" s="141" t="s">
        <v>542</v>
      </c>
      <c r="BG38" s="325" t="s">
        <v>541</v>
      </c>
      <c r="BH38" s="325" t="s">
        <v>543</v>
      </c>
      <c r="BI38" s="141" t="s">
        <v>540</v>
      </c>
      <c r="BJ38" s="141" t="s">
        <v>542</v>
      </c>
      <c r="BK38" s="141" t="s">
        <v>540</v>
      </c>
      <c r="BL38" s="141" t="s">
        <v>542</v>
      </c>
      <c r="BM38" s="325" t="s">
        <v>540</v>
      </c>
      <c r="BN38" s="325" t="s">
        <v>542</v>
      </c>
      <c r="BO38" s="141" t="s">
        <v>540</v>
      </c>
      <c r="BP38" s="141" t="s">
        <v>542</v>
      </c>
      <c r="BQ38" s="141" t="s">
        <v>540</v>
      </c>
      <c r="BR38" s="141" t="s">
        <v>542</v>
      </c>
      <c r="BS38" s="325" t="s">
        <v>540</v>
      </c>
      <c r="BT38" s="325" t="s">
        <v>542</v>
      </c>
      <c r="BU38" s="141" t="s">
        <v>540</v>
      </c>
      <c r="BV38" s="141" t="s">
        <v>542</v>
      </c>
      <c r="BW38" s="141" t="s">
        <v>540</v>
      </c>
      <c r="BX38" s="141" t="s">
        <v>542</v>
      </c>
      <c r="BY38" s="141"/>
      <c r="BZ38" s="141"/>
      <c r="CA38" s="141"/>
      <c r="CB38" s="141"/>
      <c r="CC38" s="141"/>
      <c r="CD38" s="141"/>
      <c r="CE38" s="141"/>
      <c r="CF38" s="141"/>
      <c r="CG38" s="141"/>
      <c r="CH38" s="141"/>
      <c r="CI38" s="141"/>
      <c r="CJ38" s="141"/>
    </row>
    <row r="39" spans="2:88" ht="9.9499999999999993" customHeight="1" x14ac:dyDescent="0.15">
      <c r="B39" s="142">
        <v>41012</v>
      </c>
      <c r="C39" s="144">
        <v>5693.7099343496038</v>
      </c>
      <c r="D39" s="144"/>
      <c r="E39" s="148">
        <f>C39/71329</f>
        <v>7.9823212639313662E-2</v>
      </c>
      <c r="F39" s="138">
        <v>3453.58</v>
      </c>
      <c r="G39" s="144"/>
      <c r="H39" s="148">
        <f>F39/45887</f>
        <v>7.5262710571621594E-2</v>
      </c>
      <c r="I39" s="143"/>
      <c r="J39" s="143"/>
      <c r="K39" s="143"/>
      <c r="L39" s="143"/>
      <c r="M39" s="143"/>
      <c r="N39" s="143"/>
      <c r="O39" s="143"/>
      <c r="P39" s="143"/>
      <c r="Q39" s="143"/>
      <c r="R39" s="143"/>
      <c r="S39" s="143"/>
      <c r="T39" s="143"/>
      <c r="V39" s="142">
        <v>41012</v>
      </c>
      <c r="W39" s="144">
        <v>340</v>
      </c>
      <c r="X39" s="144">
        <v>510</v>
      </c>
      <c r="Y39" s="144"/>
      <c r="Z39" s="144"/>
      <c r="AA39" s="148">
        <f>W39/308</f>
        <v>1.1038961038961039</v>
      </c>
      <c r="AB39" s="148">
        <f>X39/518</f>
        <v>0.98455598455598459</v>
      </c>
      <c r="AC39" s="138">
        <v>120</v>
      </c>
      <c r="AD39" s="138">
        <v>190</v>
      </c>
      <c r="AE39" s="144"/>
      <c r="AF39" s="144"/>
      <c r="AG39" s="148">
        <f>AC39/84</f>
        <v>1.4285714285714286</v>
      </c>
      <c r="AH39" s="148">
        <f>AD39/132</f>
        <v>1.4393939393939394</v>
      </c>
      <c r="AI39" s="138">
        <v>840</v>
      </c>
      <c r="AJ39" s="138">
        <v>1300</v>
      </c>
      <c r="AK39" s="144"/>
      <c r="AL39" s="144"/>
      <c r="AM39" s="148">
        <f>AI39/612</f>
        <v>1.3725490196078431</v>
      </c>
      <c r="AN39" s="148">
        <f>AJ39/1001</f>
        <v>1.2987012987012987</v>
      </c>
      <c r="AO39" s="138">
        <v>160</v>
      </c>
      <c r="AP39" s="138">
        <v>270</v>
      </c>
      <c r="AQ39" s="144"/>
      <c r="AR39" s="144"/>
      <c r="AS39" s="148">
        <f>AO39/139</f>
        <v>1.1510791366906474</v>
      </c>
      <c r="AT39" s="148">
        <f>AP39/225</f>
        <v>1.2</v>
      </c>
      <c r="AU39" s="138">
        <v>780</v>
      </c>
      <c r="AV39" s="138">
        <v>1100</v>
      </c>
      <c r="AW39" s="144"/>
      <c r="AX39" s="144"/>
      <c r="AY39" s="148">
        <f>AU39/412</f>
        <v>1.8932038834951457</v>
      </c>
      <c r="AZ39" s="148">
        <f>AV39/650</f>
        <v>1.6923076923076923</v>
      </c>
      <c r="BA39" s="138"/>
      <c r="BB39" s="138"/>
      <c r="BC39" s="144"/>
      <c r="BD39" s="144"/>
      <c r="BE39" s="148"/>
      <c r="BF39" s="148"/>
      <c r="BG39" s="138"/>
      <c r="BH39" s="138"/>
      <c r="BI39" s="144"/>
      <c r="BJ39" s="144"/>
      <c r="BK39" s="148"/>
      <c r="BL39" s="148"/>
      <c r="BM39" s="138"/>
      <c r="BN39" s="138"/>
      <c r="BO39" s="144"/>
      <c r="BP39" s="144"/>
      <c r="BQ39" s="148"/>
      <c r="BR39" s="148"/>
      <c r="BS39" s="138"/>
      <c r="BT39" s="138"/>
      <c r="BU39" s="144"/>
      <c r="BV39" s="144"/>
      <c r="BW39" s="148"/>
      <c r="BX39" s="148"/>
      <c r="BY39" s="143"/>
      <c r="BZ39" s="143"/>
      <c r="CA39" s="143"/>
      <c r="CB39" s="143"/>
      <c r="CC39" s="143"/>
      <c r="CD39" s="143"/>
      <c r="CE39" s="143"/>
      <c r="CF39" s="143"/>
      <c r="CG39" s="143"/>
      <c r="CH39" s="143"/>
      <c r="CI39" s="143"/>
      <c r="CJ39" s="143"/>
    </row>
    <row r="40" spans="2:88" ht="9.9499999999999993" customHeight="1" x14ac:dyDescent="0.15">
      <c r="B40" s="142">
        <v>41045</v>
      </c>
      <c r="C40" s="144">
        <v>6461.0235251811728</v>
      </c>
      <c r="D40" s="144"/>
      <c r="E40" s="148">
        <f t="shared" ref="E40:E50" si="89">C40/71329</f>
        <v>9.0580598707134169E-2</v>
      </c>
      <c r="F40" s="139">
        <v>3056.66</v>
      </c>
      <c r="G40" s="144"/>
      <c r="H40" s="148">
        <f t="shared" ref="H40:H50" si="90">F40/45887</f>
        <v>6.6612766142916294E-2</v>
      </c>
      <c r="I40" s="143"/>
      <c r="J40" s="143"/>
      <c r="K40" s="143"/>
      <c r="L40" s="143"/>
      <c r="M40" s="143"/>
      <c r="N40" s="143"/>
      <c r="O40" s="143"/>
      <c r="P40" s="143"/>
      <c r="Q40" s="143"/>
      <c r="R40" s="143"/>
      <c r="S40" s="143"/>
      <c r="T40" s="143"/>
      <c r="V40" s="142">
        <v>41045</v>
      </c>
      <c r="W40" s="144">
        <v>550</v>
      </c>
      <c r="X40" s="144">
        <v>850</v>
      </c>
      <c r="Y40" s="144"/>
      <c r="Z40" s="144"/>
      <c r="AA40" s="148">
        <f t="shared" ref="AA40:AA50" si="91">W40/308</f>
        <v>1.7857142857142858</v>
      </c>
      <c r="AB40" s="148">
        <f t="shared" ref="AB40:AB50" si="92">X40/518</f>
        <v>1.640926640926641</v>
      </c>
      <c r="AC40" s="139">
        <v>130</v>
      </c>
      <c r="AD40" s="139">
        <v>190</v>
      </c>
      <c r="AE40" s="144"/>
      <c r="AF40" s="144"/>
      <c r="AG40" s="148">
        <f t="shared" ref="AG40:AG50" si="93">AC40/84</f>
        <v>1.5476190476190477</v>
      </c>
      <c r="AH40" s="148">
        <f t="shared" ref="AH40:AH50" si="94">AD40/132</f>
        <v>1.4393939393939394</v>
      </c>
      <c r="AI40" s="139">
        <v>750</v>
      </c>
      <c r="AJ40" s="139">
        <v>1100</v>
      </c>
      <c r="AK40" s="144"/>
      <c r="AL40" s="144"/>
      <c r="AM40" s="148">
        <f t="shared" ref="AM40:AM50" si="95">AI40/612</f>
        <v>1.2254901960784315</v>
      </c>
      <c r="AN40" s="148">
        <f t="shared" ref="AN40:AN50" si="96">AJ40/1001</f>
        <v>1.098901098901099</v>
      </c>
      <c r="AO40" s="139">
        <v>350</v>
      </c>
      <c r="AP40" s="139">
        <v>530</v>
      </c>
      <c r="AQ40" s="144"/>
      <c r="AR40" s="144"/>
      <c r="AS40" s="148">
        <f t="shared" ref="AS40:AS50" si="97">AO40/139</f>
        <v>2.5179856115107913</v>
      </c>
      <c r="AT40" s="148">
        <f t="shared" ref="AT40:AT50" si="98">AP40/225</f>
        <v>2.3555555555555556</v>
      </c>
      <c r="AU40" s="139">
        <v>800</v>
      </c>
      <c r="AV40" s="139">
        <v>1200</v>
      </c>
      <c r="AW40" s="144"/>
      <c r="AX40" s="144"/>
      <c r="AY40" s="148">
        <f t="shared" ref="AY40:AY50" si="99">AU40/412</f>
        <v>1.941747572815534</v>
      </c>
      <c r="AZ40" s="148">
        <f t="shared" ref="AZ40:AZ50" si="100">AV40/650</f>
        <v>1.8461538461538463</v>
      </c>
      <c r="BA40" s="139"/>
      <c r="BB40" s="139"/>
      <c r="BC40" s="144"/>
      <c r="BD40" s="144"/>
      <c r="BE40" s="148"/>
      <c r="BF40" s="148"/>
      <c r="BG40" s="139"/>
      <c r="BH40" s="139"/>
      <c r="BI40" s="144"/>
      <c r="BJ40" s="144"/>
      <c r="BK40" s="148"/>
      <c r="BL40" s="148"/>
      <c r="BM40" s="139"/>
      <c r="BN40" s="139"/>
      <c r="BO40" s="144"/>
      <c r="BP40" s="144"/>
      <c r="BQ40" s="148"/>
      <c r="BR40" s="148"/>
      <c r="BS40" s="139"/>
      <c r="BT40" s="139"/>
      <c r="BU40" s="144"/>
      <c r="BV40" s="144"/>
      <c r="BW40" s="148"/>
      <c r="BX40" s="148"/>
      <c r="BY40" s="143"/>
      <c r="BZ40" s="143"/>
      <c r="CA40" s="143"/>
      <c r="CB40" s="143"/>
      <c r="CC40" s="143"/>
      <c r="CD40" s="143"/>
      <c r="CE40" s="143"/>
      <c r="CF40" s="143"/>
      <c r="CG40" s="143"/>
      <c r="CH40" s="143"/>
      <c r="CI40" s="143"/>
      <c r="CJ40" s="143"/>
    </row>
    <row r="41" spans="2:88" ht="9.9499999999999993" customHeight="1" x14ac:dyDescent="0.15">
      <c r="B41" s="142">
        <v>41073</v>
      </c>
      <c r="C41" s="144">
        <v>6179.5927881937196</v>
      </c>
      <c r="D41" s="144"/>
      <c r="E41" s="148">
        <f t="shared" si="89"/>
        <v>8.663506831995009E-2</v>
      </c>
      <c r="F41" s="139">
        <v>3703.76</v>
      </c>
      <c r="G41" s="144"/>
      <c r="H41" s="148">
        <f t="shared" si="90"/>
        <v>8.0714799398522469E-2</v>
      </c>
      <c r="I41" s="143"/>
      <c r="J41" s="143"/>
      <c r="K41" s="143"/>
      <c r="L41" s="143"/>
      <c r="M41" s="143"/>
      <c r="N41" s="143"/>
      <c r="O41" s="143"/>
      <c r="P41" s="143"/>
      <c r="Q41" s="143"/>
      <c r="R41" s="143"/>
      <c r="S41" s="143"/>
      <c r="T41" s="143"/>
      <c r="V41" s="142">
        <v>41073</v>
      </c>
      <c r="W41" s="144">
        <v>550</v>
      </c>
      <c r="X41" s="144">
        <v>890</v>
      </c>
      <c r="Y41" s="144"/>
      <c r="Z41" s="144"/>
      <c r="AA41" s="148">
        <f t="shared" si="91"/>
        <v>1.7857142857142858</v>
      </c>
      <c r="AB41" s="148">
        <f t="shared" si="92"/>
        <v>1.718146718146718</v>
      </c>
      <c r="AC41" s="139">
        <v>170</v>
      </c>
      <c r="AD41" s="139">
        <v>250</v>
      </c>
      <c r="AE41" s="144"/>
      <c r="AF41" s="144"/>
      <c r="AG41" s="148">
        <f t="shared" si="93"/>
        <v>2.0238095238095237</v>
      </c>
      <c r="AH41" s="148">
        <f t="shared" si="94"/>
        <v>1.893939393939394</v>
      </c>
      <c r="AI41" s="139">
        <v>1000</v>
      </c>
      <c r="AJ41" s="139">
        <v>1500</v>
      </c>
      <c r="AK41" s="144"/>
      <c r="AL41" s="144"/>
      <c r="AM41" s="148">
        <f t="shared" si="95"/>
        <v>1.6339869281045751</v>
      </c>
      <c r="AN41" s="148">
        <f t="shared" si="96"/>
        <v>1.4985014985014986</v>
      </c>
      <c r="AO41" s="139">
        <v>220</v>
      </c>
      <c r="AP41" s="139">
        <v>340</v>
      </c>
      <c r="AQ41" s="144"/>
      <c r="AR41" s="144"/>
      <c r="AS41" s="148">
        <f t="shared" si="97"/>
        <v>1.5827338129496402</v>
      </c>
      <c r="AT41" s="148">
        <f t="shared" si="98"/>
        <v>1.5111111111111111</v>
      </c>
      <c r="AU41" s="139">
        <v>680</v>
      </c>
      <c r="AV41" s="139">
        <v>1000</v>
      </c>
      <c r="AW41" s="144"/>
      <c r="AX41" s="144"/>
      <c r="AY41" s="148">
        <f t="shared" si="99"/>
        <v>1.6504854368932038</v>
      </c>
      <c r="AZ41" s="148">
        <f t="shared" si="100"/>
        <v>1.5384615384615385</v>
      </c>
      <c r="BA41" s="139"/>
      <c r="BB41" s="139"/>
      <c r="BC41" s="144"/>
      <c r="BD41" s="144"/>
      <c r="BE41" s="148"/>
      <c r="BF41" s="148"/>
      <c r="BG41" s="139"/>
      <c r="BH41" s="139"/>
      <c r="BI41" s="144"/>
      <c r="BJ41" s="144"/>
      <c r="BK41" s="148"/>
      <c r="BL41" s="148"/>
      <c r="BM41" s="139"/>
      <c r="BN41" s="139"/>
      <c r="BO41" s="144"/>
      <c r="BP41" s="144"/>
      <c r="BQ41" s="148"/>
      <c r="BR41" s="148"/>
      <c r="BS41" s="139"/>
      <c r="BT41" s="139"/>
      <c r="BU41" s="144"/>
      <c r="BV41" s="144"/>
      <c r="BW41" s="148"/>
      <c r="BX41" s="148"/>
      <c r="BY41" s="143"/>
      <c r="BZ41" s="143"/>
      <c r="CA41" s="143"/>
      <c r="CB41" s="143"/>
      <c r="CC41" s="143"/>
      <c r="CD41" s="143"/>
      <c r="CE41" s="143"/>
      <c r="CF41" s="143"/>
      <c r="CG41" s="143"/>
      <c r="CH41" s="143"/>
      <c r="CI41" s="143"/>
      <c r="CJ41" s="143"/>
    </row>
    <row r="42" spans="2:88" ht="9.9499999999999993" customHeight="1" x14ac:dyDescent="0.15">
      <c r="B42" s="142">
        <v>41101</v>
      </c>
      <c r="C42" s="144">
        <v>6411.8394300434275</v>
      </c>
      <c r="D42" s="144"/>
      <c r="E42" s="148">
        <f t="shared" si="89"/>
        <v>8.9891060158468886E-2</v>
      </c>
      <c r="F42" s="139">
        <v>3890.44</v>
      </c>
      <c r="G42" s="144"/>
      <c r="H42" s="148">
        <f t="shared" si="90"/>
        <v>8.4783054024015522E-2</v>
      </c>
      <c r="I42" s="143"/>
      <c r="J42" s="143"/>
      <c r="K42" s="143"/>
      <c r="L42" s="143"/>
      <c r="M42" s="143"/>
      <c r="N42" s="143"/>
      <c r="O42" s="143"/>
      <c r="P42" s="143"/>
      <c r="Q42" s="143"/>
      <c r="R42" s="143"/>
      <c r="S42" s="143"/>
      <c r="T42" s="143"/>
      <c r="V42" s="142">
        <v>41101</v>
      </c>
      <c r="W42" s="144">
        <v>460</v>
      </c>
      <c r="X42" s="144">
        <v>760</v>
      </c>
      <c r="Y42" s="144"/>
      <c r="Z42" s="144"/>
      <c r="AA42" s="148">
        <f t="shared" si="91"/>
        <v>1.4935064935064934</v>
      </c>
      <c r="AB42" s="148">
        <f t="shared" si="92"/>
        <v>1.4671814671814671</v>
      </c>
      <c r="AC42" s="139">
        <v>130</v>
      </c>
      <c r="AD42" s="139">
        <v>190</v>
      </c>
      <c r="AE42" s="144"/>
      <c r="AF42" s="144"/>
      <c r="AG42" s="148">
        <f t="shared" si="93"/>
        <v>1.5476190476190477</v>
      </c>
      <c r="AH42" s="148">
        <f t="shared" si="94"/>
        <v>1.4393939393939394</v>
      </c>
      <c r="AI42" s="139">
        <v>660</v>
      </c>
      <c r="AJ42" s="139">
        <v>1000</v>
      </c>
      <c r="AK42" s="144"/>
      <c r="AL42" s="144"/>
      <c r="AM42" s="148">
        <f t="shared" si="95"/>
        <v>1.0784313725490196</v>
      </c>
      <c r="AN42" s="148">
        <f t="shared" si="96"/>
        <v>0.99900099900099903</v>
      </c>
      <c r="AO42" s="139">
        <v>260</v>
      </c>
      <c r="AP42" s="139">
        <v>400</v>
      </c>
      <c r="AQ42" s="144"/>
      <c r="AR42" s="144"/>
      <c r="AS42" s="148">
        <f t="shared" si="97"/>
        <v>1.8705035971223021</v>
      </c>
      <c r="AT42" s="148">
        <f t="shared" si="98"/>
        <v>1.7777777777777777</v>
      </c>
      <c r="AU42" s="139">
        <v>570</v>
      </c>
      <c r="AV42" s="139">
        <v>900</v>
      </c>
      <c r="AW42" s="144"/>
      <c r="AX42" s="144"/>
      <c r="AY42" s="148">
        <f t="shared" si="99"/>
        <v>1.383495145631068</v>
      </c>
      <c r="AZ42" s="148">
        <f t="shared" si="100"/>
        <v>1.3846153846153846</v>
      </c>
      <c r="BA42" s="56">
        <v>220</v>
      </c>
      <c r="BB42" s="56">
        <v>340</v>
      </c>
      <c r="BC42" s="144"/>
      <c r="BD42" s="144"/>
      <c r="BE42" s="148">
        <f>BA42/107</f>
        <v>2.05607476635514</v>
      </c>
      <c r="BF42" s="148">
        <f>BB42/174</f>
        <v>1.9540229885057472</v>
      </c>
      <c r="BG42" s="56">
        <v>840</v>
      </c>
      <c r="BH42" s="56">
        <v>1300</v>
      </c>
      <c r="BI42" s="144"/>
      <c r="BJ42" s="144"/>
      <c r="BK42" s="148">
        <f>BG42/467</f>
        <v>1.7987152034261242</v>
      </c>
      <c r="BL42" s="148">
        <f>BH42/784</f>
        <v>1.6581632653061225</v>
      </c>
      <c r="BM42" s="139"/>
      <c r="BN42" s="139"/>
      <c r="BO42" s="144"/>
      <c r="BP42" s="144"/>
      <c r="BQ42" s="148"/>
      <c r="BR42" s="148"/>
      <c r="BS42" s="139"/>
      <c r="BT42" s="139"/>
      <c r="BU42" s="144"/>
      <c r="BV42" s="144"/>
      <c r="BW42" s="148"/>
      <c r="BX42" s="148"/>
      <c r="BY42" s="143"/>
      <c r="BZ42" s="143"/>
      <c r="CA42" s="143"/>
      <c r="CB42" s="143"/>
      <c r="CC42" s="143"/>
      <c r="CD42" s="143"/>
      <c r="CE42" s="143"/>
      <c r="CF42" s="143"/>
      <c r="CG42" s="143"/>
      <c r="CH42" s="143"/>
      <c r="CI42" s="143"/>
      <c r="CJ42" s="143"/>
    </row>
    <row r="43" spans="2:88" ht="9.9499999999999993" customHeight="1" x14ac:dyDescent="0.15">
      <c r="B43" s="142">
        <v>41129</v>
      </c>
      <c r="C43" s="144">
        <v>6767.281654590066</v>
      </c>
      <c r="D43" s="144"/>
      <c r="E43" s="148">
        <f t="shared" si="89"/>
        <v>9.4874197795988532E-2</v>
      </c>
      <c r="F43" s="139">
        <v>4693.46</v>
      </c>
      <c r="G43" s="144"/>
      <c r="H43" s="148">
        <f t="shared" si="90"/>
        <v>0.10228299954235405</v>
      </c>
      <c r="I43" s="143"/>
      <c r="J43" s="143"/>
      <c r="K43" s="143"/>
      <c r="L43" s="143"/>
      <c r="M43" s="143"/>
      <c r="N43" s="143"/>
      <c r="O43" s="143"/>
      <c r="P43" s="143"/>
      <c r="Q43" s="143"/>
      <c r="R43" s="143"/>
      <c r="S43" s="143"/>
      <c r="T43" s="143"/>
      <c r="V43" s="142">
        <v>41129</v>
      </c>
      <c r="W43" s="144">
        <v>390</v>
      </c>
      <c r="X43" s="144">
        <v>660</v>
      </c>
      <c r="Y43" s="144"/>
      <c r="Z43" s="144"/>
      <c r="AA43" s="148">
        <f t="shared" si="91"/>
        <v>1.2662337662337662</v>
      </c>
      <c r="AB43" s="148">
        <f t="shared" si="92"/>
        <v>1.274131274131274</v>
      </c>
      <c r="AC43" s="139">
        <v>93</v>
      </c>
      <c r="AD43" s="139">
        <v>110</v>
      </c>
      <c r="AE43" s="144"/>
      <c r="AF43" s="144"/>
      <c r="AG43" s="148">
        <f t="shared" si="93"/>
        <v>1.1071428571428572</v>
      </c>
      <c r="AH43" s="148">
        <f t="shared" si="94"/>
        <v>0.83333333333333337</v>
      </c>
      <c r="AI43" s="139">
        <v>810</v>
      </c>
      <c r="AJ43" s="139">
        <v>1200</v>
      </c>
      <c r="AK43" s="144"/>
      <c r="AL43" s="144"/>
      <c r="AM43" s="148">
        <f t="shared" si="95"/>
        <v>1.3235294117647058</v>
      </c>
      <c r="AN43" s="148">
        <f t="shared" si="96"/>
        <v>1.1988011988011988</v>
      </c>
      <c r="AO43" s="139">
        <v>160</v>
      </c>
      <c r="AP43" s="139">
        <v>260</v>
      </c>
      <c r="AQ43" s="144"/>
      <c r="AR43" s="144"/>
      <c r="AS43" s="148">
        <f t="shared" si="97"/>
        <v>1.1510791366906474</v>
      </c>
      <c r="AT43" s="148">
        <f t="shared" si="98"/>
        <v>1.1555555555555554</v>
      </c>
      <c r="AU43" s="139">
        <v>610</v>
      </c>
      <c r="AV43" s="139">
        <v>980</v>
      </c>
      <c r="AW43" s="144"/>
      <c r="AX43" s="144"/>
      <c r="AY43" s="148">
        <f t="shared" si="99"/>
        <v>1.4805825242718447</v>
      </c>
      <c r="AZ43" s="148">
        <f t="shared" si="100"/>
        <v>1.5076923076923077</v>
      </c>
      <c r="BA43" s="56">
        <v>150</v>
      </c>
      <c r="BB43" s="56">
        <v>230</v>
      </c>
      <c r="BC43" s="144"/>
      <c r="BD43" s="144"/>
      <c r="BE43" s="148">
        <f t="shared" ref="BE43:BE50" si="101">BA43/107</f>
        <v>1.4018691588785046</v>
      </c>
      <c r="BF43" s="148">
        <f t="shared" ref="BF43:BF50" si="102">BB43/174</f>
        <v>1.3218390804597702</v>
      </c>
      <c r="BG43" s="56">
        <v>600</v>
      </c>
      <c r="BH43" s="56">
        <v>970</v>
      </c>
      <c r="BI43" s="144"/>
      <c r="BJ43" s="144"/>
      <c r="BK43" s="148">
        <f t="shared" ref="BK43:BK50" si="103">BG43/467</f>
        <v>1.2847965738758029</v>
      </c>
      <c r="BL43" s="148">
        <f t="shared" ref="BL43:BL50" si="104">BH43/784</f>
        <v>1.2372448979591837</v>
      </c>
      <c r="BM43" s="139"/>
      <c r="BN43" s="139"/>
      <c r="BO43" s="144"/>
      <c r="BP43" s="144"/>
      <c r="BQ43" s="148"/>
      <c r="BR43" s="148"/>
      <c r="BS43" s="139"/>
      <c r="BT43" s="139"/>
      <c r="BU43" s="144"/>
      <c r="BV43" s="144"/>
      <c r="BW43" s="148"/>
      <c r="BX43" s="148"/>
      <c r="BY43" s="143"/>
      <c r="BZ43" s="143"/>
      <c r="CA43" s="143"/>
      <c r="CB43" s="143"/>
      <c r="CC43" s="143"/>
      <c r="CD43" s="143"/>
      <c r="CE43" s="143"/>
      <c r="CF43" s="143"/>
      <c r="CG43" s="143"/>
      <c r="CH43" s="143"/>
      <c r="CI43" s="143"/>
      <c r="CJ43" s="143"/>
    </row>
    <row r="44" spans="2:88" ht="9.9499999999999993" customHeight="1" x14ac:dyDescent="0.15">
      <c r="B44" s="142">
        <v>41164</v>
      </c>
      <c r="C44" s="144">
        <v>6054.9434296986519</v>
      </c>
      <c r="D44" s="144"/>
      <c r="E44" s="148">
        <f t="shared" si="89"/>
        <v>8.4887541248281226E-2</v>
      </c>
      <c r="F44" s="139">
        <v>4639.37</v>
      </c>
      <c r="G44" s="144"/>
      <c r="H44" s="148">
        <f t="shared" si="90"/>
        <v>0.10110423431472966</v>
      </c>
      <c r="I44" s="139">
        <v>8409.4314775882813</v>
      </c>
      <c r="J44" s="139"/>
      <c r="K44" s="148">
        <f>I44/97243</f>
        <v>8.6478527786969558E-2</v>
      </c>
      <c r="L44" s="148"/>
      <c r="M44" s="139">
        <v>9981.4154262554948</v>
      </c>
      <c r="N44" s="139"/>
      <c r="O44" s="148">
        <f>M44/120438</f>
        <v>8.2875964614619102E-2</v>
      </c>
      <c r="P44" s="148"/>
      <c r="Q44" s="139">
        <v>9688.1530961562239</v>
      </c>
      <c r="R44" s="139"/>
      <c r="S44" s="148">
        <f>Q44/128327</f>
        <v>7.5495827816096567E-2</v>
      </c>
      <c r="T44" s="148"/>
      <c r="V44" s="142">
        <v>41164</v>
      </c>
      <c r="W44" s="144">
        <v>300</v>
      </c>
      <c r="X44" s="144">
        <v>510</v>
      </c>
      <c r="Y44" s="144"/>
      <c r="Z44" s="144"/>
      <c r="AA44" s="148">
        <f t="shared" si="91"/>
        <v>0.97402597402597402</v>
      </c>
      <c r="AB44" s="148">
        <f t="shared" si="92"/>
        <v>0.98455598455598459</v>
      </c>
      <c r="AC44" s="139">
        <v>84</v>
      </c>
      <c r="AD44" s="139">
        <v>140</v>
      </c>
      <c r="AE44" s="144"/>
      <c r="AF44" s="144"/>
      <c r="AG44" s="148">
        <f t="shared" si="93"/>
        <v>1</v>
      </c>
      <c r="AH44" s="148">
        <f t="shared" si="94"/>
        <v>1.0606060606060606</v>
      </c>
      <c r="AI44" s="139">
        <v>740</v>
      </c>
      <c r="AJ44" s="139">
        <v>1200</v>
      </c>
      <c r="AK44" s="144"/>
      <c r="AL44" s="144"/>
      <c r="AM44" s="148">
        <f t="shared" si="95"/>
        <v>1.2091503267973855</v>
      </c>
      <c r="AN44" s="148">
        <f t="shared" si="96"/>
        <v>1.1988011988011988</v>
      </c>
      <c r="AO44" s="139">
        <v>120</v>
      </c>
      <c r="AP44" s="139">
        <v>200</v>
      </c>
      <c r="AQ44" s="144"/>
      <c r="AR44" s="144"/>
      <c r="AS44" s="148">
        <f t="shared" si="97"/>
        <v>0.86330935251798557</v>
      </c>
      <c r="AT44" s="148">
        <f t="shared" si="98"/>
        <v>0.88888888888888884</v>
      </c>
      <c r="AU44" s="139">
        <v>380</v>
      </c>
      <c r="AV44" s="139">
        <v>650</v>
      </c>
      <c r="AW44" s="144"/>
      <c r="AX44" s="144"/>
      <c r="AY44" s="148">
        <f t="shared" si="99"/>
        <v>0.92233009708737868</v>
      </c>
      <c r="AZ44" s="148">
        <f t="shared" si="100"/>
        <v>1</v>
      </c>
      <c r="BA44" s="56">
        <v>120</v>
      </c>
      <c r="BB44" s="56">
        <v>190</v>
      </c>
      <c r="BC44" s="144"/>
      <c r="BD44" s="144"/>
      <c r="BE44" s="148">
        <f t="shared" si="101"/>
        <v>1.1214953271028036</v>
      </c>
      <c r="BF44" s="148">
        <f t="shared" si="102"/>
        <v>1.0919540229885059</v>
      </c>
      <c r="BG44" s="56">
        <v>510</v>
      </c>
      <c r="BH44" s="56">
        <v>840</v>
      </c>
      <c r="BI44" s="144"/>
      <c r="BJ44" s="144"/>
      <c r="BK44" s="148">
        <f t="shared" si="103"/>
        <v>1.0920770877944326</v>
      </c>
      <c r="BL44" s="148">
        <f t="shared" si="104"/>
        <v>1.0714285714285714</v>
      </c>
      <c r="BM44" s="139"/>
      <c r="BN44" s="139"/>
      <c r="BO44" s="144"/>
      <c r="BP44" s="144"/>
      <c r="BQ44" s="148"/>
      <c r="BR44" s="148"/>
      <c r="BS44" s="139"/>
      <c r="BT44" s="139"/>
      <c r="BU44" s="144"/>
      <c r="BV44" s="144"/>
      <c r="BW44" s="148"/>
      <c r="BX44" s="148"/>
      <c r="BY44" s="139"/>
      <c r="BZ44" s="139"/>
      <c r="CA44" s="139"/>
      <c r="CB44" s="148">
        <f>BY44/97243</f>
        <v>0</v>
      </c>
      <c r="CC44" s="139"/>
      <c r="CD44" s="139"/>
      <c r="CE44" s="139"/>
      <c r="CF44" s="148">
        <f>CC44/120438</f>
        <v>0</v>
      </c>
      <c r="CG44" s="139"/>
      <c r="CH44" s="139"/>
      <c r="CI44" s="139"/>
      <c r="CJ44" s="148">
        <f>CG44/128327</f>
        <v>0</v>
      </c>
    </row>
    <row r="45" spans="2:88" ht="9.9499999999999993" customHeight="1" x14ac:dyDescent="0.15">
      <c r="B45" s="142">
        <v>41199</v>
      </c>
      <c r="C45" s="144">
        <v>6164.2626032404287</v>
      </c>
      <c r="D45" s="144"/>
      <c r="E45" s="148">
        <f t="shared" si="89"/>
        <v>8.6420146129069925E-2</v>
      </c>
      <c r="F45" s="139">
        <v>4819.8100000000004</v>
      </c>
      <c r="G45" s="144"/>
      <c r="H45" s="148">
        <f t="shared" si="90"/>
        <v>0.10503650271318675</v>
      </c>
      <c r="I45" s="139">
        <v>9585.8354394091002</v>
      </c>
      <c r="J45" s="139"/>
      <c r="K45" s="148">
        <f t="shared" ref="K45:K55" si="105">I45/97243</f>
        <v>9.8576097399392243E-2</v>
      </c>
      <c r="L45" s="148"/>
      <c r="M45" s="139">
        <v>11377.725828845743</v>
      </c>
      <c r="N45" s="139"/>
      <c r="O45" s="148">
        <f t="shared" ref="O45:O55" si="106">M45/120438</f>
        <v>9.4469567983906599E-2</v>
      </c>
      <c r="P45" s="148"/>
      <c r="Q45" s="139">
        <v>11043.438731745156</v>
      </c>
      <c r="R45" s="139"/>
      <c r="S45" s="148">
        <f t="shared" ref="S45:S55" si="107">Q45/128327</f>
        <v>8.605701630790992E-2</v>
      </c>
      <c r="T45" s="148"/>
      <c r="V45" s="142">
        <v>41199</v>
      </c>
      <c r="W45" s="144">
        <v>260</v>
      </c>
      <c r="X45" s="144">
        <v>450</v>
      </c>
      <c r="Y45" s="144"/>
      <c r="Z45" s="144"/>
      <c r="AA45" s="148">
        <f t="shared" si="91"/>
        <v>0.8441558441558441</v>
      </c>
      <c r="AB45" s="148">
        <f t="shared" si="92"/>
        <v>0.86872586872586877</v>
      </c>
      <c r="AC45" s="139">
        <v>77</v>
      </c>
      <c r="AD45" s="139">
        <v>110</v>
      </c>
      <c r="AE45" s="144"/>
      <c r="AF45" s="144"/>
      <c r="AG45" s="148">
        <f t="shared" si="93"/>
        <v>0.91666666666666663</v>
      </c>
      <c r="AH45" s="148">
        <f t="shared" si="94"/>
        <v>0.83333333333333337</v>
      </c>
      <c r="AI45" s="139">
        <v>440</v>
      </c>
      <c r="AJ45" s="139">
        <v>860</v>
      </c>
      <c r="AK45" s="144"/>
      <c r="AL45" s="144"/>
      <c r="AM45" s="148">
        <f t="shared" si="95"/>
        <v>0.71895424836601307</v>
      </c>
      <c r="AN45" s="148">
        <f t="shared" si="96"/>
        <v>0.85914085914085914</v>
      </c>
      <c r="AO45" s="139">
        <v>110</v>
      </c>
      <c r="AP45" s="139">
        <v>180</v>
      </c>
      <c r="AQ45" s="144"/>
      <c r="AR45" s="144"/>
      <c r="AS45" s="148">
        <f t="shared" si="97"/>
        <v>0.79136690647482011</v>
      </c>
      <c r="AT45" s="148">
        <f t="shared" si="98"/>
        <v>0.8</v>
      </c>
      <c r="AU45" s="139">
        <v>350</v>
      </c>
      <c r="AV45" s="139">
        <v>600</v>
      </c>
      <c r="AW45" s="144"/>
      <c r="AX45" s="144"/>
      <c r="AY45" s="148">
        <f t="shared" si="99"/>
        <v>0.84951456310679607</v>
      </c>
      <c r="AZ45" s="148">
        <f t="shared" si="100"/>
        <v>0.92307692307692313</v>
      </c>
      <c r="BA45" s="56">
        <v>120</v>
      </c>
      <c r="BB45" s="56">
        <v>200</v>
      </c>
      <c r="BC45" s="144"/>
      <c r="BD45" s="144"/>
      <c r="BE45" s="148">
        <f t="shared" si="101"/>
        <v>1.1214953271028036</v>
      </c>
      <c r="BF45" s="148">
        <f t="shared" si="102"/>
        <v>1.1494252873563218</v>
      </c>
      <c r="BG45" s="56">
        <v>530</v>
      </c>
      <c r="BH45" s="56">
        <v>880</v>
      </c>
      <c r="BI45" s="144"/>
      <c r="BJ45" s="144"/>
      <c r="BK45" s="148">
        <f t="shared" si="103"/>
        <v>1.1349036402569592</v>
      </c>
      <c r="BL45" s="148">
        <f t="shared" si="104"/>
        <v>1.1224489795918366</v>
      </c>
      <c r="BM45" s="139"/>
      <c r="BN45" s="139"/>
      <c r="BO45" s="144"/>
      <c r="BP45" s="144"/>
      <c r="BQ45" s="148"/>
      <c r="BR45" s="148"/>
      <c r="BS45" s="139"/>
      <c r="BT45" s="139"/>
      <c r="BU45" s="144"/>
      <c r="BV45" s="144"/>
      <c r="BW45" s="148"/>
      <c r="BX45" s="148"/>
      <c r="BY45" s="139"/>
      <c r="BZ45" s="139"/>
      <c r="CA45" s="139"/>
      <c r="CB45" s="148">
        <f t="shared" ref="CB45:CB55" si="108">BY45/97243</f>
        <v>0</v>
      </c>
      <c r="CC45" s="139"/>
      <c r="CD45" s="139"/>
      <c r="CE45" s="139"/>
      <c r="CF45" s="148">
        <f t="shared" ref="CF45:CF55" si="109">CC45/120438</f>
        <v>0</v>
      </c>
      <c r="CG45" s="139"/>
      <c r="CH45" s="139"/>
      <c r="CI45" s="139"/>
      <c r="CJ45" s="148">
        <f t="shared" ref="CJ45:CJ55" si="110">CG45/128327</f>
        <v>0</v>
      </c>
    </row>
    <row r="46" spans="2:88" ht="9.9499999999999993" customHeight="1" x14ac:dyDescent="0.15">
      <c r="B46" s="142">
        <v>41234</v>
      </c>
      <c r="C46" s="144">
        <v>5754.4110320193013</v>
      </c>
      <c r="D46" s="144"/>
      <c r="E46" s="148">
        <f t="shared" si="89"/>
        <v>8.0674214303008612E-2</v>
      </c>
      <c r="F46" s="139">
        <v>4550.29</v>
      </c>
      <c r="G46" s="144"/>
      <c r="H46" s="148">
        <f t="shared" si="90"/>
        <v>9.9162943753132698E-2</v>
      </c>
      <c r="I46" s="139">
        <v>8357.6193886384335</v>
      </c>
      <c r="J46" s="139"/>
      <c r="K46" s="148">
        <f t="shared" si="105"/>
        <v>8.5945717312695347E-2</v>
      </c>
      <c r="L46" s="148"/>
      <c r="M46" s="139">
        <v>9919.9180485446723</v>
      </c>
      <c r="N46" s="139"/>
      <c r="O46" s="148">
        <f t="shared" si="106"/>
        <v>8.2365350209607197E-2</v>
      </c>
      <c r="P46" s="148"/>
      <c r="Q46" s="139">
        <v>9628.4625628168942</v>
      </c>
      <c r="R46" s="139"/>
      <c r="S46" s="148">
        <f t="shared" si="107"/>
        <v>7.5030683821930649E-2</v>
      </c>
      <c r="T46" s="148"/>
      <c r="V46" s="142">
        <v>41234</v>
      </c>
      <c r="W46" s="144">
        <v>250</v>
      </c>
      <c r="X46" s="144">
        <v>450</v>
      </c>
      <c r="Y46" s="144"/>
      <c r="Z46" s="144"/>
      <c r="AA46" s="148">
        <f t="shared" si="91"/>
        <v>0.81168831168831168</v>
      </c>
      <c r="AB46" s="148">
        <f t="shared" si="92"/>
        <v>0.86872586872586877</v>
      </c>
      <c r="AC46" s="139">
        <v>46</v>
      </c>
      <c r="AD46" s="139">
        <v>95</v>
      </c>
      <c r="AE46" s="144"/>
      <c r="AF46" s="144"/>
      <c r="AG46" s="148">
        <f t="shared" si="93"/>
        <v>0.54761904761904767</v>
      </c>
      <c r="AH46" s="148">
        <f t="shared" si="94"/>
        <v>0.71969696969696972</v>
      </c>
      <c r="AI46" s="139">
        <v>600</v>
      </c>
      <c r="AJ46" s="139">
        <v>1100</v>
      </c>
      <c r="AK46" s="144"/>
      <c r="AL46" s="144"/>
      <c r="AM46" s="148">
        <f t="shared" si="95"/>
        <v>0.98039215686274506</v>
      </c>
      <c r="AN46" s="148">
        <f t="shared" si="96"/>
        <v>1.098901098901099</v>
      </c>
      <c r="AO46" s="139">
        <v>130</v>
      </c>
      <c r="AP46" s="139">
        <v>230</v>
      </c>
      <c r="AQ46" s="144"/>
      <c r="AR46" s="144"/>
      <c r="AS46" s="148">
        <f t="shared" si="97"/>
        <v>0.93525179856115104</v>
      </c>
      <c r="AT46" s="148">
        <f t="shared" si="98"/>
        <v>1.0222222222222221</v>
      </c>
      <c r="AU46" s="139">
        <v>160</v>
      </c>
      <c r="AV46" s="139">
        <v>280</v>
      </c>
      <c r="AW46" s="144"/>
      <c r="AX46" s="144"/>
      <c r="AY46" s="148">
        <f t="shared" si="99"/>
        <v>0.38834951456310679</v>
      </c>
      <c r="AZ46" s="148">
        <f t="shared" si="100"/>
        <v>0.43076923076923079</v>
      </c>
      <c r="BA46" s="56">
        <v>120</v>
      </c>
      <c r="BB46" s="56">
        <v>210</v>
      </c>
      <c r="BC46" s="144"/>
      <c r="BD46" s="144"/>
      <c r="BE46" s="148">
        <f t="shared" si="101"/>
        <v>1.1214953271028036</v>
      </c>
      <c r="BF46" s="148">
        <f t="shared" si="102"/>
        <v>1.2068965517241379</v>
      </c>
      <c r="BG46" s="56">
        <v>540</v>
      </c>
      <c r="BH46" s="56">
        <v>910</v>
      </c>
      <c r="BI46" s="144"/>
      <c r="BJ46" s="144"/>
      <c r="BK46" s="148">
        <f t="shared" si="103"/>
        <v>1.1563169164882228</v>
      </c>
      <c r="BL46" s="148">
        <f t="shared" si="104"/>
        <v>1.1607142857142858</v>
      </c>
      <c r="BM46" s="139"/>
      <c r="BN46" s="139"/>
      <c r="BO46" s="144"/>
      <c r="BP46" s="144"/>
      <c r="BQ46" s="148"/>
      <c r="BR46" s="148"/>
      <c r="BS46" s="139"/>
      <c r="BT46" s="139"/>
      <c r="BU46" s="144"/>
      <c r="BV46" s="144"/>
      <c r="BW46" s="148"/>
      <c r="BX46" s="148"/>
      <c r="BY46" s="139"/>
      <c r="BZ46" s="139"/>
      <c r="CA46" s="139"/>
      <c r="CB46" s="148">
        <f t="shared" si="108"/>
        <v>0</v>
      </c>
      <c r="CC46" s="139"/>
      <c r="CD46" s="139"/>
      <c r="CE46" s="139"/>
      <c r="CF46" s="148">
        <f t="shared" si="109"/>
        <v>0</v>
      </c>
      <c r="CG46" s="139"/>
      <c r="CH46" s="139"/>
      <c r="CI46" s="139"/>
      <c r="CJ46" s="148">
        <f t="shared" si="110"/>
        <v>0</v>
      </c>
    </row>
    <row r="47" spans="2:88" ht="9.9499999999999993" customHeight="1" x14ac:dyDescent="0.15">
      <c r="B47" s="142">
        <v>41262</v>
      </c>
      <c r="C47" s="144">
        <v>5830.9070462498912</v>
      </c>
      <c r="D47" s="144"/>
      <c r="E47" s="148">
        <f t="shared" si="89"/>
        <v>8.1746653482453011E-2</v>
      </c>
      <c r="F47" s="139">
        <v>4161.66</v>
      </c>
      <c r="G47" s="144"/>
      <c r="H47" s="148">
        <f t="shared" si="90"/>
        <v>9.0693660513871024E-2</v>
      </c>
      <c r="I47" s="139">
        <v>8213.8633036908795</v>
      </c>
      <c r="J47" s="139"/>
      <c r="K47" s="148">
        <f t="shared" si="105"/>
        <v>8.4467399233784227E-2</v>
      </c>
      <c r="L47" s="148"/>
      <c r="M47" s="139">
        <v>9749.2894861100176</v>
      </c>
      <c r="N47" s="139"/>
      <c r="O47" s="148">
        <f t="shared" si="106"/>
        <v>8.0948616600325624E-2</v>
      </c>
      <c r="P47" s="148"/>
      <c r="Q47" s="139">
        <v>9462.8472101991028</v>
      </c>
      <c r="R47" s="139"/>
      <c r="S47" s="148">
        <f t="shared" si="107"/>
        <v>7.3740110890140834E-2</v>
      </c>
      <c r="T47" s="148"/>
      <c r="V47" s="142">
        <v>41262</v>
      </c>
      <c r="W47" s="144">
        <v>180</v>
      </c>
      <c r="X47" s="144">
        <v>330</v>
      </c>
      <c r="Y47" s="144"/>
      <c r="Z47" s="144"/>
      <c r="AA47" s="148">
        <f t="shared" si="91"/>
        <v>0.58441558441558439</v>
      </c>
      <c r="AB47" s="148">
        <f t="shared" si="92"/>
        <v>0.63706563706563701</v>
      </c>
      <c r="AC47" s="139">
        <v>47</v>
      </c>
      <c r="AD47" s="139">
        <v>99</v>
      </c>
      <c r="AE47" s="144"/>
      <c r="AF47" s="144"/>
      <c r="AG47" s="148">
        <f t="shared" si="93"/>
        <v>0.55952380952380953</v>
      </c>
      <c r="AH47" s="148">
        <f t="shared" si="94"/>
        <v>0.75</v>
      </c>
      <c r="AI47" s="139">
        <v>550</v>
      </c>
      <c r="AJ47" s="139">
        <v>890</v>
      </c>
      <c r="AK47" s="144"/>
      <c r="AL47" s="144"/>
      <c r="AM47" s="148">
        <f t="shared" si="95"/>
        <v>0.89869281045751637</v>
      </c>
      <c r="AN47" s="148">
        <f t="shared" si="96"/>
        <v>0.88911088911088909</v>
      </c>
      <c r="AO47" s="139">
        <v>66</v>
      </c>
      <c r="AP47" s="139">
        <v>110</v>
      </c>
      <c r="AQ47" s="144"/>
      <c r="AR47" s="144"/>
      <c r="AS47" s="148">
        <f t="shared" si="97"/>
        <v>0.47482014388489208</v>
      </c>
      <c r="AT47" s="148">
        <f t="shared" si="98"/>
        <v>0.48888888888888887</v>
      </c>
      <c r="AU47" s="139">
        <v>250</v>
      </c>
      <c r="AV47" s="139">
        <v>430</v>
      </c>
      <c r="AW47" s="144"/>
      <c r="AX47" s="144"/>
      <c r="AY47" s="148">
        <f t="shared" si="99"/>
        <v>0.60679611650485432</v>
      </c>
      <c r="AZ47" s="148">
        <f t="shared" si="100"/>
        <v>0.66153846153846152</v>
      </c>
      <c r="BA47" s="56">
        <v>98</v>
      </c>
      <c r="BB47" s="56">
        <v>170</v>
      </c>
      <c r="BC47" s="144"/>
      <c r="BD47" s="144"/>
      <c r="BE47" s="148">
        <f t="shared" si="101"/>
        <v>0.91588785046728971</v>
      </c>
      <c r="BF47" s="148">
        <f t="shared" si="102"/>
        <v>0.97701149425287359</v>
      </c>
      <c r="BG47" s="56">
        <v>500</v>
      </c>
      <c r="BH47" s="56">
        <v>870</v>
      </c>
      <c r="BI47" s="144"/>
      <c r="BJ47" s="144"/>
      <c r="BK47" s="148">
        <f t="shared" si="103"/>
        <v>1.0706638115631693</v>
      </c>
      <c r="BL47" s="148">
        <f t="shared" si="104"/>
        <v>1.1096938775510203</v>
      </c>
      <c r="BM47" s="139"/>
      <c r="BN47" s="139"/>
      <c r="BO47" s="144"/>
      <c r="BP47" s="144"/>
      <c r="BQ47" s="148"/>
      <c r="BR47" s="148"/>
      <c r="BS47" s="139"/>
      <c r="BT47" s="139"/>
      <c r="BU47" s="144"/>
      <c r="BV47" s="144"/>
      <c r="BW47" s="148"/>
      <c r="BX47" s="148"/>
      <c r="BY47" s="139"/>
      <c r="BZ47" s="139"/>
      <c r="CA47" s="139"/>
      <c r="CB47" s="148">
        <f t="shared" si="108"/>
        <v>0</v>
      </c>
      <c r="CC47" s="139"/>
      <c r="CD47" s="139"/>
      <c r="CE47" s="139"/>
      <c r="CF47" s="148">
        <f t="shared" si="109"/>
        <v>0</v>
      </c>
      <c r="CG47" s="139"/>
      <c r="CH47" s="139"/>
      <c r="CI47" s="139"/>
      <c r="CJ47" s="148">
        <f t="shared" si="110"/>
        <v>0</v>
      </c>
    </row>
    <row r="48" spans="2:88" ht="9.9499999999999993" customHeight="1" x14ac:dyDescent="0.15">
      <c r="B48" s="142">
        <v>41290</v>
      </c>
      <c r="C48" s="144">
        <v>5508.7884612072394</v>
      </c>
      <c r="D48" s="144"/>
      <c r="E48" s="148">
        <f t="shared" si="89"/>
        <v>7.7230698049983032E-2</v>
      </c>
      <c r="F48" s="139">
        <v>3121.59</v>
      </c>
      <c r="G48" s="144"/>
      <c r="H48" s="148">
        <f t="shared" si="90"/>
        <v>6.8027763854686521E-2</v>
      </c>
      <c r="I48" s="139">
        <v>7647.8237192098841</v>
      </c>
      <c r="J48" s="139"/>
      <c r="K48" s="148">
        <f t="shared" si="105"/>
        <v>7.8646521798071675E-2</v>
      </c>
      <c r="L48" s="148"/>
      <c r="M48" s="139">
        <v>9077.4395215235691</v>
      </c>
      <c r="N48" s="139"/>
      <c r="O48" s="148">
        <f t="shared" si="106"/>
        <v>7.5370228013779447E-2</v>
      </c>
      <c r="P48" s="148"/>
      <c r="Q48" s="139">
        <v>8810.7367592665469</v>
      </c>
      <c r="R48" s="139"/>
      <c r="S48" s="148">
        <f t="shared" si="107"/>
        <v>6.865847997121842E-2</v>
      </c>
      <c r="T48" s="148"/>
      <c r="V48" s="142">
        <v>41290</v>
      </c>
      <c r="W48" s="144">
        <v>160</v>
      </c>
      <c r="X48" s="144">
        <v>300</v>
      </c>
      <c r="Y48" s="144"/>
      <c r="Z48" s="144"/>
      <c r="AA48" s="148">
        <f t="shared" si="91"/>
        <v>0.51948051948051943</v>
      </c>
      <c r="AB48" s="148">
        <f t="shared" si="92"/>
        <v>0.5791505791505791</v>
      </c>
      <c r="AC48" s="139">
        <v>21</v>
      </c>
      <c r="AD48" s="139">
        <v>58</v>
      </c>
      <c r="AE48" s="144"/>
      <c r="AF48" s="144"/>
      <c r="AG48" s="148">
        <f t="shared" si="93"/>
        <v>0.25</v>
      </c>
      <c r="AH48" s="148">
        <f t="shared" si="94"/>
        <v>0.43939393939393939</v>
      </c>
      <c r="AI48" s="139">
        <v>240</v>
      </c>
      <c r="AJ48" s="139">
        <v>420</v>
      </c>
      <c r="AK48" s="144"/>
      <c r="AL48" s="144"/>
      <c r="AM48" s="148">
        <f t="shared" si="95"/>
        <v>0.39215686274509803</v>
      </c>
      <c r="AN48" s="148">
        <f t="shared" si="96"/>
        <v>0.41958041958041958</v>
      </c>
      <c r="AO48" s="139">
        <v>22</v>
      </c>
      <c r="AP48" s="139">
        <v>42</v>
      </c>
      <c r="AQ48" s="144"/>
      <c r="AR48" s="144"/>
      <c r="AS48" s="148">
        <f t="shared" si="97"/>
        <v>0.15827338129496402</v>
      </c>
      <c r="AT48" s="148">
        <f t="shared" si="98"/>
        <v>0.18666666666666668</v>
      </c>
      <c r="AU48" s="139">
        <v>68</v>
      </c>
      <c r="AV48" s="139">
        <v>130</v>
      </c>
      <c r="AW48" s="144"/>
      <c r="AX48" s="144"/>
      <c r="AY48" s="148">
        <f t="shared" si="99"/>
        <v>0.1650485436893204</v>
      </c>
      <c r="AZ48" s="148">
        <f t="shared" si="100"/>
        <v>0.2</v>
      </c>
      <c r="BA48" s="56">
        <v>32</v>
      </c>
      <c r="BB48" s="56">
        <v>59</v>
      </c>
      <c r="BC48" s="144"/>
      <c r="BD48" s="144"/>
      <c r="BE48" s="148">
        <f t="shared" si="101"/>
        <v>0.29906542056074764</v>
      </c>
      <c r="BF48" s="148">
        <f t="shared" si="102"/>
        <v>0.33908045977011492</v>
      </c>
      <c r="BG48" s="56">
        <v>180</v>
      </c>
      <c r="BH48" s="56">
        <v>330</v>
      </c>
      <c r="BI48" s="144"/>
      <c r="BJ48" s="144"/>
      <c r="BK48" s="148">
        <f t="shared" si="103"/>
        <v>0.38543897216274092</v>
      </c>
      <c r="BL48" s="148">
        <f t="shared" si="104"/>
        <v>0.42091836734693877</v>
      </c>
      <c r="BM48" s="139"/>
      <c r="BN48" s="139"/>
      <c r="BO48" s="144"/>
      <c r="BP48" s="144"/>
      <c r="BQ48" s="148"/>
      <c r="BR48" s="148"/>
      <c r="BS48" s="139"/>
      <c r="BT48" s="139"/>
      <c r="BU48" s="144"/>
      <c r="BV48" s="144"/>
      <c r="BW48" s="148"/>
      <c r="BX48" s="148"/>
      <c r="BY48" s="139"/>
      <c r="BZ48" s="139"/>
      <c r="CA48" s="139"/>
      <c r="CB48" s="148">
        <f t="shared" si="108"/>
        <v>0</v>
      </c>
      <c r="CC48" s="139"/>
      <c r="CD48" s="139"/>
      <c r="CE48" s="139"/>
      <c r="CF48" s="148">
        <f t="shared" si="109"/>
        <v>0</v>
      </c>
      <c r="CG48" s="139"/>
      <c r="CH48" s="139"/>
      <c r="CI48" s="139"/>
      <c r="CJ48" s="148">
        <f t="shared" si="110"/>
        <v>0</v>
      </c>
    </row>
    <row r="49" spans="2:88" ht="9.9499999999999993" customHeight="1" x14ac:dyDescent="0.15">
      <c r="B49" s="142">
        <v>41318</v>
      </c>
      <c r="C49" s="144">
        <v>4728.3759929486159</v>
      </c>
      <c r="D49" s="144"/>
      <c r="E49" s="148">
        <f t="shared" si="89"/>
        <v>6.6289671703635492E-2</v>
      </c>
      <c r="F49" s="139">
        <v>2658.44</v>
      </c>
      <c r="G49" s="144"/>
      <c r="H49" s="148">
        <f t="shared" si="90"/>
        <v>5.7934491250245169E-2</v>
      </c>
      <c r="I49" s="139">
        <v>6563.3637533867723</v>
      </c>
      <c r="J49" s="139"/>
      <c r="K49" s="148">
        <f t="shared" si="105"/>
        <v>6.7494459790285899E-2</v>
      </c>
      <c r="L49" s="148"/>
      <c r="M49" s="139">
        <v>7790.2603036571518</v>
      </c>
      <c r="N49" s="139"/>
      <c r="O49" s="148">
        <f t="shared" si="106"/>
        <v>6.4682743848761617E-2</v>
      </c>
      <c r="P49" s="148"/>
      <c r="Q49" s="139">
        <v>7561.375942956076</v>
      </c>
      <c r="R49" s="139"/>
      <c r="S49" s="148">
        <f t="shared" si="107"/>
        <v>5.8922720417028965E-2</v>
      </c>
      <c r="T49" s="148"/>
      <c r="V49" s="142">
        <v>41318</v>
      </c>
      <c r="W49" s="144">
        <v>98</v>
      </c>
      <c r="X49" s="144">
        <v>180</v>
      </c>
      <c r="Y49" s="144"/>
      <c r="Z49" s="144"/>
      <c r="AA49" s="148">
        <f t="shared" si="91"/>
        <v>0.31818181818181818</v>
      </c>
      <c r="AB49" s="148">
        <f t="shared" si="92"/>
        <v>0.34749034749034752</v>
      </c>
      <c r="AC49" s="139">
        <v>35</v>
      </c>
      <c r="AD49" s="139">
        <v>54</v>
      </c>
      <c r="AE49" s="144"/>
      <c r="AF49" s="144"/>
      <c r="AG49" s="148">
        <f t="shared" si="93"/>
        <v>0.41666666666666669</v>
      </c>
      <c r="AH49" s="148">
        <f t="shared" si="94"/>
        <v>0.40909090909090912</v>
      </c>
      <c r="AI49" s="139">
        <v>270</v>
      </c>
      <c r="AJ49" s="139">
        <v>570</v>
      </c>
      <c r="AK49" s="144"/>
      <c r="AL49" s="144"/>
      <c r="AM49" s="148">
        <f t="shared" si="95"/>
        <v>0.44117647058823528</v>
      </c>
      <c r="AN49" s="148">
        <f t="shared" si="96"/>
        <v>0.56943056943056947</v>
      </c>
      <c r="AO49" s="139">
        <v>23</v>
      </c>
      <c r="AP49" s="139">
        <v>44</v>
      </c>
      <c r="AQ49" s="144"/>
      <c r="AR49" s="144"/>
      <c r="AS49" s="148">
        <f t="shared" si="97"/>
        <v>0.16546762589928057</v>
      </c>
      <c r="AT49" s="148">
        <f t="shared" si="98"/>
        <v>0.19555555555555557</v>
      </c>
      <c r="AU49" s="139">
        <v>100</v>
      </c>
      <c r="AV49" s="139">
        <v>180</v>
      </c>
      <c r="AW49" s="144"/>
      <c r="AX49" s="144"/>
      <c r="AY49" s="148">
        <f t="shared" si="99"/>
        <v>0.24271844660194175</v>
      </c>
      <c r="AZ49" s="148">
        <f t="shared" si="100"/>
        <v>0.27692307692307694</v>
      </c>
      <c r="BA49" s="56">
        <v>37</v>
      </c>
      <c r="BB49" s="56">
        <v>70</v>
      </c>
      <c r="BC49" s="144"/>
      <c r="BD49" s="144"/>
      <c r="BE49" s="148">
        <f t="shared" si="101"/>
        <v>0.34579439252336447</v>
      </c>
      <c r="BF49" s="148">
        <f t="shared" si="102"/>
        <v>0.40229885057471265</v>
      </c>
      <c r="BG49" s="56">
        <v>220</v>
      </c>
      <c r="BH49" s="56">
        <v>400</v>
      </c>
      <c r="BI49" s="144"/>
      <c r="BJ49" s="144"/>
      <c r="BK49" s="148">
        <f t="shared" si="103"/>
        <v>0.47109207708779444</v>
      </c>
      <c r="BL49" s="148">
        <f t="shared" si="104"/>
        <v>0.51020408163265307</v>
      </c>
      <c r="BM49" s="139"/>
      <c r="BN49" s="139"/>
      <c r="BO49" s="144"/>
      <c r="BP49" s="144"/>
      <c r="BQ49" s="148"/>
      <c r="BR49" s="148"/>
      <c r="BS49" s="139"/>
      <c r="BT49" s="139"/>
      <c r="BU49" s="144"/>
      <c r="BV49" s="144"/>
      <c r="BW49" s="148"/>
      <c r="BX49" s="148"/>
      <c r="BY49" s="139"/>
      <c r="BZ49" s="139"/>
      <c r="CA49" s="139"/>
      <c r="CB49" s="148">
        <f t="shared" si="108"/>
        <v>0</v>
      </c>
      <c r="CC49" s="139"/>
      <c r="CD49" s="139"/>
      <c r="CE49" s="139"/>
      <c r="CF49" s="148">
        <f t="shared" si="109"/>
        <v>0</v>
      </c>
      <c r="CG49" s="139"/>
      <c r="CH49" s="139"/>
      <c r="CI49" s="139"/>
      <c r="CJ49" s="148">
        <f t="shared" si="110"/>
        <v>0</v>
      </c>
    </row>
    <row r="50" spans="2:88" ht="9.9499999999999993" customHeight="1" x14ac:dyDescent="0.15">
      <c r="B50" s="142">
        <v>41346</v>
      </c>
      <c r="C50" s="144">
        <v>5774.2107831388548</v>
      </c>
      <c r="D50" s="147">
        <f>SUM(C39:C50)</f>
        <v>71329.346680860966</v>
      </c>
      <c r="E50" s="148">
        <f t="shared" si="89"/>
        <v>8.0951797770035402E-2</v>
      </c>
      <c r="F50" s="139">
        <v>3137.77</v>
      </c>
      <c r="G50" s="147">
        <f>SUM(F39:F50)</f>
        <v>45886.829999999994</v>
      </c>
      <c r="H50" s="148">
        <f t="shared" si="90"/>
        <v>6.8380369167738139E-2</v>
      </c>
      <c r="I50" s="139">
        <v>8125.8127016605022</v>
      </c>
      <c r="J50" s="139"/>
      <c r="K50" s="148">
        <f t="shared" si="105"/>
        <v>8.3561929410451166E-2</v>
      </c>
      <c r="L50" s="148"/>
      <c r="M50" s="139">
        <v>9644.7794916187922</v>
      </c>
      <c r="N50" s="139"/>
      <c r="O50" s="148">
        <f t="shared" si="106"/>
        <v>8.0080867264640657E-2</v>
      </c>
      <c r="P50" s="148"/>
      <c r="Q50" s="139">
        <v>9361.4078067207047</v>
      </c>
      <c r="R50" s="139"/>
      <c r="S50" s="148">
        <f t="shared" si="107"/>
        <v>7.2949634969419572E-2</v>
      </c>
      <c r="T50" s="148"/>
      <c r="V50" s="142">
        <v>41346</v>
      </c>
      <c r="W50" s="144">
        <v>160</v>
      </c>
      <c r="X50" s="144">
        <v>320</v>
      </c>
      <c r="Y50" s="147">
        <f>AVERAGE(W39:W50)</f>
        <v>308.16666666666669</v>
      </c>
      <c r="Z50" s="147">
        <f>AVERAGE(X39:X50)</f>
        <v>517.5</v>
      </c>
      <c r="AA50" s="148">
        <f t="shared" si="91"/>
        <v>0.51948051948051943</v>
      </c>
      <c r="AB50" s="148">
        <f t="shared" si="92"/>
        <v>0.61776061776061775</v>
      </c>
      <c r="AC50" s="139">
        <v>57</v>
      </c>
      <c r="AD50" s="139">
        <v>98</v>
      </c>
      <c r="AE50" s="147">
        <f>AVERAGE(AC39:AC50)</f>
        <v>84.166666666666671</v>
      </c>
      <c r="AF50" s="147">
        <f>AVERAGE(AD39:AD50)</f>
        <v>132</v>
      </c>
      <c r="AG50" s="148">
        <f t="shared" si="93"/>
        <v>0.6785714285714286</v>
      </c>
      <c r="AH50" s="148">
        <f t="shared" si="94"/>
        <v>0.74242424242424243</v>
      </c>
      <c r="AI50" s="139">
        <v>440</v>
      </c>
      <c r="AJ50" s="139">
        <v>870</v>
      </c>
      <c r="AK50" s="147">
        <f>AVERAGE(AI39:AI50)</f>
        <v>611.66666666666663</v>
      </c>
      <c r="AL50" s="147">
        <f>AVERAGE(AJ39:AJ50)</f>
        <v>1000.8333333333334</v>
      </c>
      <c r="AM50" s="148">
        <f t="shared" si="95"/>
        <v>0.71895424836601307</v>
      </c>
      <c r="AN50" s="148">
        <f t="shared" si="96"/>
        <v>0.86913086913086912</v>
      </c>
      <c r="AO50" s="139">
        <v>52</v>
      </c>
      <c r="AP50" s="139">
        <v>93</v>
      </c>
      <c r="AQ50" s="147">
        <f>AVERAGE(AO39:AO50)</f>
        <v>139.41666666666666</v>
      </c>
      <c r="AR50" s="147">
        <f>AVERAGE(AP39:AP50)</f>
        <v>224.91666666666666</v>
      </c>
      <c r="AS50" s="148">
        <f t="shared" si="97"/>
        <v>0.37410071942446044</v>
      </c>
      <c r="AT50" s="148">
        <f t="shared" si="98"/>
        <v>0.41333333333333333</v>
      </c>
      <c r="AU50" s="139">
        <v>200</v>
      </c>
      <c r="AV50" s="139">
        <v>350</v>
      </c>
      <c r="AW50" s="147">
        <f>AVERAGE(AU39:AU50)</f>
        <v>412.33333333333331</v>
      </c>
      <c r="AX50" s="147">
        <f>AVERAGE(AV39:AV50)</f>
        <v>650</v>
      </c>
      <c r="AY50" s="148">
        <f t="shared" si="99"/>
        <v>0.4854368932038835</v>
      </c>
      <c r="AZ50" s="148">
        <f t="shared" si="100"/>
        <v>0.53846153846153844</v>
      </c>
      <c r="BA50" s="56">
        <v>62</v>
      </c>
      <c r="BB50" s="56">
        <v>100</v>
      </c>
      <c r="BC50" s="147">
        <f>AVERAGE(BA39:BA50)</f>
        <v>106.55555555555556</v>
      </c>
      <c r="BD50" s="147">
        <f>AVERAGE(BB39:BB50)</f>
        <v>174.33333333333334</v>
      </c>
      <c r="BE50" s="148">
        <f t="shared" si="101"/>
        <v>0.57943925233644855</v>
      </c>
      <c r="BF50" s="148">
        <f t="shared" si="102"/>
        <v>0.57471264367816088</v>
      </c>
      <c r="BG50" s="56">
        <v>280</v>
      </c>
      <c r="BH50" s="56">
        <v>560</v>
      </c>
      <c r="BI50" s="147">
        <f>AVERAGE(BG39:BG50)</f>
        <v>466.66666666666669</v>
      </c>
      <c r="BJ50" s="147">
        <f>AVERAGE(BH39:BH50)</f>
        <v>784.44444444444446</v>
      </c>
      <c r="BK50" s="148">
        <f t="shared" si="103"/>
        <v>0.59957173447537471</v>
      </c>
      <c r="BL50" s="148">
        <f t="shared" si="104"/>
        <v>0.7142857142857143</v>
      </c>
      <c r="BM50" s="139"/>
      <c r="BN50" s="139"/>
      <c r="BO50" s="147"/>
      <c r="BP50" s="147"/>
      <c r="BQ50" s="148"/>
      <c r="BR50" s="148"/>
      <c r="BS50" s="139"/>
      <c r="BT50" s="139"/>
      <c r="BU50" s="147"/>
      <c r="BV50" s="147"/>
      <c r="BW50" s="148"/>
      <c r="BX50" s="148"/>
      <c r="BY50" s="139"/>
      <c r="BZ50" s="139"/>
      <c r="CA50" s="139"/>
      <c r="CB50" s="148">
        <f t="shared" si="108"/>
        <v>0</v>
      </c>
      <c r="CC50" s="139"/>
      <c r="CD50" s="139"/>
      <c r="CE50" s="139"/>
      <c r="CF50" s="148">
        <f t="shared" si="109"/>
        <v>0</v>
      </c>
      <c r="CG50" s="139"/>
      <c r="CH50" s="139"/>
      <c r="CI50" s="139"/>
      <c r="CJ50" s="148">
        <f t="shared" si="110"/>
        <v>0</v>
      </c>
    </row>
    <row r="51" spans="2:88" ht="9.9499999999999993" customHeight="1" x14ac:dyDescent="0.15">
      <c r="B51" s="142">
        <v>41376</v>
      </c>
      <c r="C51" s="139">
        <v>5482.3589469097042</v>
      </c>
      <c r="D51" s="139"/>
      <c r="E51" s="148">
        <f>C51/68682</f>
        <v>7.9822354429249356E-2</v>
      </c>
      <c r="F51" s="139">
        <v>3274.12</v>
      </c>
      <c r="G51" s="139"/>
      <c r="H51" s="148">
        <f>F51/41759</f>
        <v>7.8405134222562803E-2</v>
      </c>
      <c r="I51" s="139">
        <v>7499.9095391172968</v>
      </c>
      <c r="J51" s="139"/>
      <c r="K51" s="148">
        <f t="shared" si="105"/>
        <v>7.7125443878914651E-2</v>
      </c>
      <c r="L51" s="148">
        <f>I51/91177</f>
        <v>8.2256594745575062E-2</v>
      </c>
      <c r="M51" s="139">
        <v>9834.7629809704449</v>
      </c>
      <c r="N51" s="139"/>
      <c r="O51" s="148">
        <f t="shared" si="106"/>
        <v>8.1658305360189018E-2</v>
      </c>
      <c r="P51" s="148">
        <f>M51/119562</f>
        <v>8.2256594745575062E-2</v>
      </c>
      <c r="Q51" s="139">
        <v>11670.401149312698</v>
      </c>
      <c r="R51" s="139"/>
      <c r="S51" s="148">
        <f t="shared" si="107"/>
        <v>9.0942678854120315E-2</v>
      </c>
      <c r="T51" s="148">
        <f>Q51/141878</f>
        <v>8.2256594745575062E-2</v>
      </c>
      <c r="V51" s="142">
        <v>41376</v>
      </c>
      <c r="W51" s="139">
        <v>220</v>
      </c>
      <c r="X51" s="139">
        <v>460</v>
      </c>
      <c r="Y51" s="139"/>
      <c r="Z51" s="139"/>
      <c r="AA51" s="148">
        <f>W51/150</f>
        <v>1.4666666666666666</v>
      </c>
      <c r="AB51" s="148">
        <f>X51/338</f>
        <v>1.3609467455621302</v>
      </c>
      <c r="AC51" s="139">
        <v>60</v>
      </c>
      <c r="AD51" s="139">
        <v>130</v>
      </c>
      <c r="AE51" s="139"/>
      <c r="AF51" s="139"/>
      <c r="AG51" s="148">
        <f>AC51/44</f>
        <v>1.3636363636363635</v>
      </c>
      <c r="AH51" s="148">
        <f>AD51/98</f>
        <v>1.3265306122448979</v>
      </c>
      <c r="AI51" s="139">
        <v>550</v>
      </c>
      <c r="AJ51" s="139">
        <v>1000</v>
      </c>
      <c r="AK51" s="139"/>
      <c r="AL51" s="139"/>
      <c r="AM51" s="148">
        <f>AI51/338</f>
        <v>1.6272189349112427</v>
      </c>
      <c r="AN51" s="148">
        <f>AJ51/722</f>
        <v>1.3850415512465375</v>
      </c>
      <c r="AO51" s="139">
        <v>71</v>
      </c>
      <c r="AP51" s="139">
        <v>130</v>
      </c>
      <c r="AQ51" s="139"/>
      <c r="AR51" s="139"/>
      <c r="AS51" s="148">
        <f>AO51/57</f>
        <v>1.2456140350877194</v>
      </c>
      <c r="AT51" s="148">
        <f>AP51/124</f>
        <v>1.0483870967741935</v>
      </c>
      <c r="AU51" s="139">
        <v>250</v>
      </c>
      <c r="AV51" s="139">
        <v>510</v>
      </c>
      <c r="AW51" s="139"/>
      <c r="AX51" s="139"/>
      <c r="AY51" s="148">
        <f>AU51/185</f>
        <v>1.3513513513513513</v>
      </c>
      <c r="AZ51" s="148">
        <f>AV51/398</f>
        <v>1.2814070351758795</v>
      </c>
      <c r="BA51" s="56">
        <v>140</v>
      </c>
      <c r="BB51" s="56">
        <v>260</v>
      </c>
      <c r="BC51" s="139"/>
      <c r="BD51" s="139"/>
      <c r="BE51" s="148">
        <f>BA51/87</f>
        <v>1.6091954022988506</v>
      </c>
      <c r="BF51" s="148">
        <f>BB51/191</f>
        <v>1.3612565445026179</v>
      </c>
      <c r="BG51" s="56">
        <v>530</v>
      </c>
      <c r="BH51" s="56">
        <v>1000</v>
      </c>
      <c r="BI51" s="139"/>
      <c r="BJ51" s="139"/>
      <c r="BK51" s="148">
        <f>BG51/289</f>
        <v>1.833910034602076</v>
      </c>
      <c r="BL51" s="148">
        <f>BH51/629</f>
        <v>1.589825119236884</v>
      </c>
      <c r="BM51" s="139"/>
      <c r="BN51" s="139"/>
      <c r="BO51" s="139"/>
      <c r="BP51" s="139"/>
      <c r="BQ51" s="148"/>
      <c r="BR51" s="148"/>
      <c r="BS51" s="139"/>
      <c r="BT51" s="139"/>
      <c r="BU51" s="139"/>
      <c r="BV51" s="139"/>
      <c r="BW51" s="148"/>
      <c r="BX51" s="148"/>
      <c r="BY51" s="139"/>
      <c r="BZ51" s="139"/>
      <c r="CA51" s="139"/>
      <c r="CB51" s="148">
        <f t="shared" si="108"/>
        <v>0</v>
      </c>
      <c r="CC51" s="139"/>
      <c r="CD51" s="139"/>
      <c r="CE51" s="139"/>
      <c r="CF51" s="148">
        <f t="shared" si="109"/>
        <v>0</v>
      </c>
      <c r="CG51" s="139"/>
      <c r="CH51" s="139"/>
      <c r="CI51" s="139"/>
      <c r="CJ51" s="148">
        <f t="shared" si="110"/>
        <v>0</v>
      </c>
    </row>
    <row r="52" spans="2:88" ht="9.9499999999999993" customHeight="1" x14ac:dyDescent="0.15">
      <c r="B52" s="142">
        <v>41410</v>
      </c>
      <c r="C52" s="139">
        <v>6221.1897932797165</v>
      </c>
      <c r="D52" s="139"/>
      <c r="E52" s="148">
        <f t="shared" ref="E52:E62" si="111">C52/68682</f>
        <v>9.057962484027425E-2</v>
      </c>
      <c r="F52" s="139">
        <v>3669.2</v>
      </c>
      <c r="G52" s="139"/>
      <c r="H52" s="148">
        <f t="shared" ref="H52:H62" si="112">F52/41759</f>
        <v>8.7866088747335896E-2</v>
      </c>
      <c r="I52" s="139">
        <v>7905.3246838054365</v>
      </c>
      <c r="J52" s="139"/>
      <c r="K52" s="148">
        <f t="shared" si="105"/>
        <v>8.1294537229470873E-2</v>
      </c>
      <c r="L52" s="148">
        <f t="shared" ref="L52:L62" si="113">I52/91177</f>
        <v>8.6703057611079951E-2</v>
      </c>
      <c r="M52" s="139">
        <v>10366.390974095941</v>
      </c>
      <c r="N52" s="139"/>
      <c r="O52" s="148">
        <f t="shared" si="106"/>
        <v>8.6072427091914025E-2</v>
      </c>
      <c r="P52" s="148">
        <f t="shared" ref="P52:P61" si="114">M52/119562</f>
        <v>8.6703057611079951E-2</v>
      </c>
      <c r="Q52" s="139">
        <v>12301.256407744801</v>
      </c>
      <c r="R52" s="139"/>
      <c r="S52" s="148">
        <f t="shared" si="107"/>
        <v>9.585867672231721E-2</v>
      </c>
      <c r="T52" s="148">
        <f t="shared" ref="T52:T62" si="115">Q52/141878</f>
        <v>8.6703057611079951E-2</v>
      </c>
      <c r="V52" s="142">
        <v>41410</v>
      </c>
      <c r="W52" s="139">
        <v>250</v>
      </c>
      <c r="X52" s="139">
        <v>540</v>
      </c>
      <c r="Y52" s="139"/>
      <c r="Z52" s="139"/>
      <c r="AA52" s="148">
        <f t="shared" ref="AA52:AA62" si="116">W52/150</f>
        <v>1.6666666666666667</v>
      </c>
      <c r="AB52" s="148">
        <f t="shared" ref="AB52:AB62" si="117">X52/338</f>
        <v>1.5976331360946745</v>
      </c>
      <c r="AC52" s="139">
        <v>96</v>
      </c>
      <c r="AD52" s="139">
        <v>180</v>
      </c>
      <c r="AE52" s="139"/>
      <c r="AF52" s="139"/>
      <c r="AG52" s="148">
        <f t="shared" ref="AG52:AG62" si="118">AC52/44</f>
        <v>2.1818181818181817</v>
      </c>
      <c r="AH52" s="148">
        <f t="shared" ref="AH52:AH62" si="119">AD52/98</f>
        <v>1.8367346938775511</v>
      </c>
      <c r="AI52" s="139">
        <v>660</v>
      </c>
      <c r="AJ52" s="139">
        <v>1300</v>
      </c>
      <c r="AK52" s="139"/>
      <c r="AL52" s="139"/>
      <c r="AM52" s="148">
        <f t="shared" ref="AM52:AM62" si="120">AI52/338</f>
        <v>1.9526627218934911</v>
      </c>
      <c r="AN52" s="148">
        <f t="shared" ref="AN52:AN62" si="121">AJ52/722</f>
        <v>1.8005540166204985</v>
      </c>
      <c r="AO52" s="139">
        <v>73</v>
      </c>
      <c r="AP52" s="139">
        <v>140</v>
      </c>
      <c r="AQ52" s="139"/>
      <c r="AR52" s="139"/>
      <c r="AS52" s="148">
        <f t="shared" ref="AS52:AS62" si="122">AO52/57</f>
        <v>1.2807017543859649</v>
      </c>
      <c r="AT52" s="148">
        <f t="shared" ref="AT52:AT62" si="123">AP52/124</f>
        <v>1.1290322580645162</v>
      </c>
      <c r="AU52" s="139">
        <v>320</v>
      </c>
      <c r="AV52" s="139">
        <v>610</v>
      </c>
      <c r="AW52" s="139"/>
      <c r="AX52" s="139"/>
      <c r="AY52" s="148">
        <f t="shared" ref="AY52:AY62" si="124">AU52/185</f>
        <v>1.7297297297297298</v>
      </c>
      <c r="AZ52" s="148">
        <f t="shared" ref="AZ52:AZ62" si="125">AV52/398</f>
        <v>1.5326633165829147</v>
      </c>
      <c r="BA52" s="56">
        <v>160</v>
      </c>
      <c r="BB52" s="56">
        <v>320</v>
      </c>
      <c r="BC52" s="139"/>
      <c r="BD52" s="139"/>
      <c r="BE52" s="148">
        <f t="shared" ref="BE52:BE62" si="126">BA52/87</f>
        <v>1.8390804597701149</v>
      </c>
      <c r="BF52" s="148">
        <f t="shared" ref="BF52:BF62" si="127">BB52/191</f>
        <v>1.6753926701570681</v>
      </c>
      <c r="BG52" s="56">
        <v>560</v>
      </c>
      <c r="BH52" s="56">
        <v>1200</v>
      </c>
      <c r="BI52" s="139"/>
      <c r="BJ52" s="139"/>
      <c r="BK52" s="148">
        <f t="shared" ref="BK52:BK62" si="128">BG52/289</f>
        <v>1.9377162629757785</v>
      </c>
      <c r="BL52" s="148">
        <f t="shared" ref="BL52:BL62" si="129">BH52/629</f>
        <v>1.9077901430842608</v>
      </c>
      <c r="BM52" s="139"/>
      <c r="BN52" s="139"/>
      <c r="BO52" s="139"/>
      <c r="BP52" s="139"/>
      <c r="BQ52" s="148"/>
      <c r="BR52" s="148"/>
      <c r="BS52" s="139"/>
      <c r="BT52" s="139"/>
      <c r="BU52" s="139"/>
      <c r="BV52" s="139"/>
      <c r="BW52" s="148"/>
      <c r="BX52" s="148"/>
      <c r="BY52" s="139"/>
      <c r="BZ52" s="139"/>
      <c r="CA52" s="139"/>
      <c r="CB52" s="148">
        <f t="shared" si="108"/>
        <v>0</v>
      </c>
      <c r="CC52" s="139"/>
      <c r="CD52" s="139"/>
      <c r="CE52" s="139"/>
      <c r="CF52" s="148">
        <f t="shared" si="109"/>
        <v>0</v>
      </c>
      <c r="CG52" s="139"/>
      <c r="CH52" s="139"/>
      <c r="CI52" s="139"/>
      <c r="CJ52" s="148">
        <f t="shared" si="110"/>
        <v>0</v>
      </c>
    </row>
    <row r="53" spans="2:88" ht="9.9499999999999993" customHeight="1" x14ac:dyDescent="0.15">
      <c r="B53" s="142">
        <v>41437</v>
      </c>
      <c r="C53" s="139">
        <v>5950.2057887117353</v>
      </c>
      <c r="D53" s="139"/>
      <c r="E53" s="148">
        <f t="shared" si="111"/>
        <v>8.6634136873005085E-2</v>
      </c>
      <c r="F53" s="139">
        <v>3632.79</v>
      </c>
      <c r="G53" s="139"/>
      <c r="H53" s="148">
        <f t="shared" si="112"/>
        <v>8.6994180895136372E-2</v>
      </c>
      <c r="I53" s="139">
        <v>7716.419629738466</v>
      </c>
      <c r="J53" s="139"/>
      <c r="K53" s="148">
        <f t="shared" si="105"/>
        <v>7.9351928979345204E-2</v>
      </c>
      <c r="L53" s="148">
        <f t="shared" si="113"/>
        <v>8.4631207757860705E-2</v>
      </c>
      <c r="M53" s="139">
        <v>10118.676461945342</v>
      </c>
      <c r="N53" s="139"/>
      <c r="O53" s="148">
        <f t="shared" si="106"/>
        <v>8.4015646738947361E-2</v>
      </c>
      <c r="P53" s="148">
        <f t="shared" si="114"/>
        <v>8.4631207757860719E-2</v>
      </c>
      <c r="Q53" s="139">
        <v>12007.306494269762</v>
      </c>
      <c r="R53" s="139"/>
      <c r="S53" s="148">
        <f t="shared" si="107"/>
        <v>9.3568044871848957E-2</v>
      </c>
      <c r="T53" s="148">
        <f t="shared" si="115"/>
        <v>8.4631207757860705E-2</v>
      </c>
      <c r="V53" s="142">
        <v>41437</v>
      </c>
      <c r="W53" s="139">
        <v>260</v>
      </c>
      <c r="X53" s="139">
        <v>560</v>
      </c>
      <c r="Y53" s="139"/>
      <c r="Z53" s="139"/>
      <c r="AA53" s="148">
        <f t="shared" si="116"/>
        <v>1.7333333333333334</v>
      </c>
      <c r="AB53" s="148">
        <f t="shared" si="117"/>
        <v>1.6568047337278107</v>
      </c>
      <c r="AC53" s="139">
        <v>69</v>
      </c>
      <c r="AD53" s="139">
        <v>160</v>
      </c>
      <c r="AE53" s="139"/>
      <c r="AF53" s="139"/>
      <c r="AG53" s="148">
        <f t="shared" si="118"/>
        <v>1.5681818181818181</v>
      </c>
      <c r="AH53" s="148">
        <f t="shared" si="119"/>
        <v>1.6326530612244898</v>
      </c>
      <c r="AI53" s="139">
        <v>580</v>
      </c>
      <c r="AJ53" s="139">
        <v>1200</v>
      </c>
      <c r="AK53" s="139"/>
      <c r="AL53" s="139"/>
      <c r="AM53" s="148">
        <f t="shared" si="120"/>
        <v>1.7159763313609468</v>
      </c>
      <c r="AN53" s="148">
        <f t="shared" si="121"/>
        <v>1.6620498614958448</v>
      </c>
      <c r="AO53" s="139">
        <v>68</v>
      </c>
      <c r="AP53" s="139">
        <v>140</v>
      </c>
      <c r="AQ53" s="139"/>
      <c r="AR53" s="139"/>
      <c r="AS53" s="148">
        <f t="shared" si="122"/>
        <v>1.1929824561403508</v>
      </c>
      <c r="AT53" s="148">
        <f t="shared" si="123"/>
        <v>1.1290322580645162</v>
      </c>
      <c r="AU53" s="139">
        <v>350</v>
      </c>
      <c r="AV53" s="139">
        <v>750</v>
      </c>
      <c r="AW53" s="139"/>
      <c r="AX53" s="139"/>
      <c r="AY53" s="148">
        <f t="shared" si="124"/>
        <v>1.8918918918918919</v>
      </c>
      <c r="AZ53" s="148">
        <f t="shared" si="125"/>
        <v>1.8844221105527639</v>
      </c>
      <c r="BA53" s="56">
        <v>120</v>
      </c>
      <c r="BB53" s="56">
        <v>260</v>
      </c>
      <c r="BC53" s="139"/>
      <c r="BD53" s="139"/>
      <c r="BE53" s="148">
        <f t="shared" si="126"/>
        <v>1.3793103448275863</v>
      </c>
      <c r="BF53" s="148">
        <f t="shared" si="127"/>
        <v>1.3612565445026179</v>
      </c>
      <c r="BG53" s="56">
        <v>420</v>
      </c>
      <c r="BH53" s="56">
        <v>850</v>
      </c>
      <c r="BI53" s="139"/>
      <c r="BJ53" s="139"/>
      <c r="BK53" s="148">
        <f t="shared" si="128"/>
        <v>1.453287197231834</v>
      </c>
      <c r="BL53" s="148">
        <f t="shared" si="129"/>
        <v>1.3513513513513513</v>
      </c>
      <c r="BM53" s="139"/>
      <c r="BN53" s="139"/>
      <c r="BO53" s="139"/>
      <c r="BP53" s="139"/>
      <c r="BQ53" s="148"/>
      <c r="BR53" s="148"/>
      <c r="BS53" s="139"/>
      <c r="BT53" s="139"/>
      <c r="BU53" s="139"/>
      <c r="BV53" s="139"/>
      <c r="BW53" s="148"/>
      <c r="BX53" s="148"/>
      <c r="BY53" s="139"/>
      <c r="BZ53" s="139"/>
      <c r="CA53" s="139"/>
      <c r="CB53" s="148">
        <f t="shared" si="108"/>
        <v>0</v>
      </c>
      <c r="CC53" s="139"/>
      <c r="CD53" s="139"/>
      <c r="CE53" s="139"/>
      <c r="CF53" s="148">
        <f t="shared" si="109"/>
        <v>0</v>
      </c>
      <c r="CG53" s="139"/>
      <c r="CH53" s="139"/>
      <c r="CI53" s="139"/>
      <c r="CJ53" s="148">
        <f t="shared" si="110"/>
        <v>0</v>
      </c>
    </row>
    <row r="54" spans="2:88" ht="9.9499999999999993" customHeight="1" x14ac:dyDescent="0.15">
      <c r="B54" s="142">
        <v>41465</v>
      </c>
      <c r="C54" s="139">
        <v>6173.8314158538951</v>
      </c>
      <c r="D54" s="139"/>
      <c r="E54" s="148">
        <f t="shared" si="111"/>
        <v>8.9890093705103161E-2</v>
      </c>
      <c r="F54" s="139">
        <v>4241.7700000000004</v>
      </c>
      <c r="G54" s="139"/>
      <c r="H54" s="148">
        <f t="shared" si="112"/>
        <v>0.10157738451591275</v>
      </c>
      <c r="I54" s="139">
        <v>8796.5343443248239</v>
      </c>
      <c r="J54" s="139"/>
      <c r="K54" s="148">
        <f t="shared" si="105"/>
        <v>9.0459306524118183E-2</v>
      </c>
      <c r="L54" s="148">
        <f t="shared" si="113"/>
        <v>9.6477558422900775E-2</v>
      </c>
      <c r="M54" s="139">
        <v>11535.049840158861</v>
      </c>
      <c r="N54" s="139"/>
      <c r="O54" s="148">
        <f t="shared" si="106"/>
        <v>9.5775833542228045E-2</v>
      </c>
      <c r="P54" s="148">
        <f t="shared" si="114"/>
        <v>9.6477558422900761E-2</v>
      </c>
      <c r="Q54" s="139">
        <v>13688.043033924316</v>
      </c>
      <c r="R54" s="139"/>
      <c r="S54" s="148">
        <f t="shared" si="107"/>
        <v>0.10666533959279276</v>
      </c>
      <c r="T54" s="148">
        <f t="shared" si="115"/>
        <v>9.6477558422900775E-2</v>
      </c>
      <c r="V54" s="142">
        <v>41465</v>
      </c>
      <c r="W54" s="139">
        <v>200</v>
      </c>
      <c r="X54" s="139">
        <v>430</v>
      </c>
      <c r="Y54" s="139"/>
      <c r="Z54" s="139"/>
      <c r="AA54" s="148">
        <f t="shared" si="116"/>
        <v>1.3333333333333333</v>
      </c>
      <c r="AB54" s="148">
        <f t="shared" si="117"/>
        <v>1.2721893491124261</v>
      </c>
      <c r="AC54" s="139">
        <v>88</v>
      </c>
      <c r="AD54" s="139">
        <v>180</v>
      </c>
      <c r="AE54" s="139"/>
      <c r="AF54" s="139"/>
      <c r="AG54" s="148">
        <f t="shared" si="118"/>
        <v>2</v>
      </c>
      <c r="AH54" s="148">
        <f t="shared" si="119"/>
        <v>1.8367346938775511</v>
      </c>
      <c r="AI54" s="139">
        <v>470</v>
      </c>
      <c r="AJ54" s="139">
        <v>920</v>
      </c>
      <c r="AK54" s="139"/>
      <c r="AL54" s="139"/>
      <c r="AM54" s="148">
        <f t="shared" si="120"/>
        <v>1.3905325443786982</v>
      </c>
      <c r="AN54" s="148">
        <f t="shared" si="121"/>
        <v>1.2742382271468145</v>
      </c>
      <c r="AO54" s="139">
        <v>91</v>
      </c>
      <c r="AP54" s="139">
        <v>190</v>
      </c>
      <c r="AQ54" s="139"/>
      <c r="AR54" s="139"/>
      <c r="AS54" s="148">
        <f t="shared" si="122"/>
        <v>1.5964912280701755</v>
      </c>
      <c r="AT54" s="148">
        <f t="shared" si="123"/>
        <v>1.532258064516129</v>
      </c>
      <c r="AU54" s="139">
        <v>280</v>
      </c>
      <c r="AV54" s="139">
        <v>580</v>
      </c>
      <c r="AW54" s="139"/>
      <c r="AX54" s="139"/>
      <c r="AY54" s="148">
        <f t="shared" si="124"/>
        <v>1.5135135135135136</v>
      </c>
      <c r="AZ54" s="148">
        <f t="shared" si="125"/>
        <v>1.4572864321608041</v>
      </c>
      <c r="BA54" s="56">
        <v>100</v>
      </c>
      <c r="BB54" s="56">
        <v>230</v>
      </c>
      <c r="BC54" s="139"/>
      <c r="BD54" s="139"/>
      <c r="BE54" s="148">
        <f t="shared" si="126"/>
        <v>1.1494252873563218</v>
      </c>
      <c r="BF54" s="148">
        <f t="shared" si="127"/>
        <v>1.2041884816753927</v>
      </c>
      <c r="BG54" s="56">
        <v>340</v>
      </c>
      <c r="BH54" s="56">
        <v>750</v>
      </c>
      <c r="BI54" s="139"/>
      <c r="BJ54" s="139"/>
      <c r="BK54" s="148">
        <f t="shared" si="128"/>
        <v>1.1764705882352942</v>
      </c>
      <c r="BL54" s="148">
        <f t="shared" si="129"/>
        <v>1.192368839427663</v>
      </c>
      <c r="BM54" s="139"/>
      <c r="BN54" s="139"/>
      <c r="BO54" s="139"/>
      <c r="BP54" s="139"/>
      <c r="BQ54" s="148"/>
      <c r="BR54" s="148"/>
      <c r="BS54" s="139"/>
      <c r="BT54" s="139"/>
      <c r="BU54" s="139"/>
      <c r="BV54" s="139"/>
      <c r="BW54" s="148"/>
      <c r="BX54" s="148"/>
      <c r="BY54" s="139"/>
      <c r="BZ54" s="139"/>
      <c r="CA54" s="139"/>
      <c r="CB54" s="148">
        <f t="shared" si="108"/>
        <v>0</v>
      </c>
      <c r="CC54" s="139"/>
      <c r="CD54" s="139"/>
      <c r="CE54" s="139"/>
      <c r="CF54" s="148">
        <f t="shared" si="109"/>
        <v>0</v>
      </c>
      <c r="CG54" s="139"/>
      <c r="CH54" s="139"/>
      <c r="CI54" s="139"/>
      <c r="CJ54" s="148">
        <f t="shared" si="110"/>
        <v>0</v>
      </c>
    </row>
    <row r="55" spans="2:88" ht="9.9499999999999993" customHeight="1" x14ac:dyDescent="0.15">
      <c r="B55" s="142">
        <v>41493</v>
      </c>
      <c r="C55" s="139">
        <v>6516.079595392629</v>
      </c>
      <c r="D55" s="139"/>
      <c r="E55" s="148">
        <f t="shared" si="111"/>
        <v>9.4873177766993236E-2</v>
      </c>
      <c r="F55" s="139">
        <v>4204.96</v>
      </c>
      <c r="G55" s="139"/>
      <c r="H55" s="148">
        <f t="shared" si="112"/>
        <v>0.10069589789027515</v>
      </c>
      <c r="I55" s="139">
        <v>8420.8893370970945</v>
      </c>
      <c r="J55" s="147">
        <f>SUM(I44:I55)</f>
        <v>97242.827317666961</v>
      </c>
      <c r="K55" s="148">
        <f t="shared" si="105"/>
        <v>8.6596354874871148E-2</v>
      </c>
      <c r="L55" s="148">
        <f t="shared" si="113"/>
        <v>9.2357604846585159E-2</v>
      </c>
      <c r="M55" s="139">
        <v>11042.459950667415</v>
      </c>
      <c r="N55" s="147">
        <f>SUM(M44:M55)</f>
        <v>120438.16831439344</v>
      </c>
      <c r="O55" s="148">
        <f t="shared" si="106"/>
        <v>9.1685846250082317E-2</v>
      </c>
      <c r="P55" s="148">
        <f t="shared" si="114"/>
        <v>9.2357604846585159E-2</v>
      </c>
      <c r="Q55" s="139">
        <v>13103.512260423809</v>
      </c>
      <c r="R55" s="147">
        <f>SUM(Q44:Q55)</f>
        <v>128326.94145553611</v>
      </c>
      <c r="S55" s="148">
        <f t="shared" si="107"/>
        <v>0.10211032955203356</v>
      </c>
      <c r="T55" s="148">
        <f t="shared" si="115"/>
        <v>9.2357604846585159E-2</v>
      </c>
      <c r="V55" s="142">
        <v>41493</v>
      </c>
      <c r="W55" s="139">
        <v>190</v>
      </c>
      <c r="X55" s="139">
        <v>390</v>
      </c>
      <c r="Y55" s="139"/>
      <c r="Z55" s="139"/>
      <c r="AA55" s="148">
        <f t="shared" si="116"/>
        <v>1.2666666666666666</v>
      </c>
      <c r="AB55" s="148">
        <f t="shared" si="117"/>
        <v>1.1538461538461537</v>
      </c>
      <c r="AC55" s="139">
        <v>40</v>
      </c>
      <c r="AD55" s="139">
        <v>110</v>
      </c>
      <c r="AE55" s="139"/>
      <c r="AF55" s="139"/>
      <c r="AG55" s="148">
        <f t="shared" si="118"/>
        <v>0.90909090909090906</v>
      </c>
      <c r="AH55" s="148">
        <f t="shared" si="119"/>
        <v>1.1224489795918366</v>
      </c>
      <c r="AI55" s="139">
        <v>360</v>
      </c>
      <c r="AJ55" s="139">
        <v>740</v>
      </c>
      <c r="AK55" s="139"/>
      <c r="AL55" s="139"/>
      <c r="AM55" s="148">
        <f t="shared" si="120"/>
        <v>1.0650887573964498</v>
      </c>
      <c r="AN55" s="148">
        <f t="shared" si="121"/>
        <v>1.0249307479224377</v>
      </c>
      <c r="AO55" s="139">
        <v>110</v>
      </c>
      <c r="AP55" s="139">
        <v>250</v>
      </c>
      <c r="AQ55" s="139"/>
      <c r="AR55" s="139"/>
      <c r="AS55" s="148">
        <f t="shared" si="122"/>
        <v>1.9298245614035088</v>
      </c>
      <c r="AT55" s="148">
        <f t="shared" si="123"/>
        <v>2.0161290322580645</v>
      </c>
      <c r="AU55" s="139">
        <v>230</v>
      </c>
      <c r="AV55" s="139">
        <v>490</v>
      </c>
      <c r="AW55" s="139"/>
      <c r="AX55" s="139"/>
      <c r="AY55" s="148">
        <f t="shared" si="124"/>
        <v>1.2432432432432432</v>
      </c>
      <c r="AZ55" s="148">
        <f t="shared" si="125"/>
        <v>1.2311557788944723</v>
      </c>
      <c r="BA55" s="56">
        <v>130</v>
      </c>
      <c r="BB55" s="56">
        <v>280</v>
      </c>
      <c r="BC55" s="139"/>
      <c r="BD55" s="139"/>
      <c r="BE55" s="148">
        <f t="shared" si="126"/>
        <v>1.4942528735632183</v>
      </c>
      <c r="BF55" s="148">
        <f t="shared" si="127"/>
        <v>1.4659685863874345</v>
      </c>
      <c r="BG55" s="56">
        <v>390</v>
      </c>
      <c r="BH55" s="56">
        <v>830</v>
      </c>
      <c r="BI55" s="139"/>
      <c r="BJ55" s="139"/>
      <c r="BK55" s="148">
        <f t="shared" si="128"/>
        <v>1.3494809688581315</v>
      </c>
      <c r="BL55" s="148">
        <f t="shared" si="129"/>
        <v>1.3195548489666136</v>
      </c>
      <c r="BM55" s="139"/>
      <c r="BN55" s="139"/>
      <c r="BO55" s="139"/>
      <c r="BP55" s="139"/>
      <c r="BQ55" s="148"/>
      <c r="BR55" s="148"/>
      <c r="BS55" s="139"/>
      <c r="BT55" s="139"/>
      <c r="BU55" s="139"/>
      <c r="BV55" s="139"/>
      <c r="BW55" s="148"/>
      <c r="BX55" s="148"/>
      <c r="BY55" s="139"/>
      <c r="BZ55" s="139"/>
      <c r="CA55" s="147">
        <f>SUM(BY44:BY55)</f>
        <v>0</v>
      </c>
      <c r="CB55" s="148">
        <f t="shared" si="108"/>
        <v>0</v>
      </c>
      <c r="CC55" s="139"/>
      <c r="CD55" s="139"/>
      <c r="CE55" s="147">
        <f>SUM(CC44:CC55)</f>
        <v>0</v>
      </c>
      <c r="CF55" s="148">
        <f t="shared" si="109"/>
        <v>0</v>
      </c>
      <c r="CG55" s="139"/>
      <c r="CH55" s="139"/>
      <c r="CI55" s="147">
        <f>SUM(CG44:CG55)</f>
        <v>0</v>
      </c>
      <c r="CJ55" s="148">
        <f t="shared" si="110"/>
        <v>0</v>
      </c>
    </row>
    <row r="56" spans="2:88" ht="9.9499999999999993" customHeight="1" x14ac:dyDescent="0.15">
      <c r="B56" s="142">
        <v>41521</v>
      </c>
      <c r="C56" s="139">
        <v>5830.1834247958523</v>
      </c>
      <c r="D56" s="139"/>
      <c r="E56" s="148">
        <f t="shared" si="111"/>
        <v>8.4886628589671997E-2</v>
      </c>
      <c r="F56" s="139">
        <v>3639.07</v>
      </c>
      <c r="G56" s="139"/>
      <c r="H56" s="148">
        <f t="shared" si="112"/>
        <v>8.7144567638113943E-2</v>
      </c>
      <c r="I56" s="139">
        <v>7801.9411155338275</v>
      </c>
      <c r="J56" s="139"/>
      <c r="K56" s="148">
        <f>I56/91774</f>
        <v>8.5012542937366001E-2</v>
      </c>
      <c r="L56" s="148">
        <f t="shared" si="113"/>
        <v>8.5569179897713538E-2</v>
      </c>
      <c r="M56" s="139">
        <v>10230.822286930426</v>
      </c>
      <c r="N56" s="139"/>
      <c r="O56" s="148">
        <f>M56/118499</f>
        <v>8.6336781634700932E-2</v>
      </c>
      <c r="P56" s="148">
        <f t="shared" si="114"/>
        <v>8.5569179897713538E-2</v>
      </c>
      <c r="Q56" s="139">
        <v>12140.384105527803</v>
      </c>
      <c r="R56" s="139"/>
      <c r="S56" s="148">
        <f>Q56/138947</f>
        <v>8.7374208191093025E-2</v>
      </c>
      <c r="T56" s="148">
        <f t="shared" si="115"/>
        <v>8.5569179897713551E-2</v>
      </c>
      <c r="V56" s="142">
        <v>41521</v>
      </c>
      <c r="W56" s="139">
        <v>150</v>
      </c>
      <c r="X56" s="139">
        <v>360</v>
      </c>
      <c r="Y56" s="139"/>
      <c r="Z56" s="139"/>
      <c r="AA56" s="148">
        <f t="shared" si="116"/>
        <v>1</v>
      </c>
      <c r="AB56" s="148">
        <f t="shared" si="117"/>
        <v>1.0650887573964498</v>
      </c>
      <c r="AC56" s="139">
        <v>38</v>
      </c>
      <c r="AD56" s="139">
        <v>78</v>
      </c>
      <c r="AE56" s="139"/>
      <c r="AF56" s="139"/>
      <c r="AG56" s="148">
        <f t="shared" si="118"/>
        <v>0.86363636363636365</v>
      </c>
      <c r="AH56" s="148">
        <f t="shared" si="119"/>
        <v>0.79591836734693877</v>
      </c>
      <c r="AI56" s="139">
        <v>310</v>
      </c>
      <c r="AJ56" s="139">
        <v>690</v>
      </c>
      <c r="AK56" s="139"/>
      <c r="AL56" s="139"/>
      <c r="AM56" s="148">
        <f t="shared" si="120"/>
        <v>0.91715976331360949</v>
      </c>
      <c r="AN56" s="148">
        <f t="shared" si="121"/>
        <v>0.95567867036011078</v>
      </c>
      <c r="AO56" s="139">
        <v>67</v>
      </c>
      <c r="AP56" s="139">
        <v>150</v>
      </c>
      <c r="AQ56" s="139"/>
      <c r="AR56" s="139"/>
      <c r="AS56" s="148">
        <f t="shared" si="122"/>
        <v>1.1754385964912282</v>
      </c>
      <c r="AT56" s="148">
        <f t="shared" si="123"/>
        <v>1.2096774193548387</v>
      </c>
      <c r="AU56" s="139">
        <v>150</v>
      </c>
      <c r="AV56" s="139">
        <v>350</v>
      </c>
      <c r="AW56" s="139"/>
      <c r="AX56" s="139"/>
      <c r="AY56" s="148">
        <f t="shared" si="124"/>
        <v>0.81081081081081086</v>
      </c>
      <c r="AZ56" s="148">
        <f t="shared" si="125"/>
        <v>0.87939698492462315</v>
      </c>
      <c r="BA56" s="56">
        <v>75</v>
      </c>
      <c r="BB56" s="56">
        <v>160</v>
      </c>
      <c r="BC56" s="139"/>
      <c r="BD56" s="139"/>
      <c r="BE56" s="148">
        <f t="shared" si="126"/>
        <v>0.86206896551724133</v>
      </c>
      <c r="BF56" s="148">
        <f t="shared" si="127"/>
        <v>0.83769633507853403</v>
      </c>
      <c r="BG56" s="56">
        <v>240</v>
      </c>
      <c r="BH56" s="56">
        <v>520</v>
      </c>
      <c r="BI56" s="139"/>
      <c r="BJ56" s="139"/>
      <c r="BK56" s="148">
        <f t="shared" si="128"/>
        <v>0.83044982698961933</v>
      </c>
      <c r="BL56" s="148">
        <f t="shared" si="129"/>
        <v>0.82670906200317962</v>
      </c>
      <c r="BM56" s="139"/>
      <c r="BN56" s="139"/>
      <c r="BO56" s="139"/>
      <c r="BP56" s="139"/>
      <c r="BQ56" s="148"/>
      <c r="BR56" s="148"/>
      <c r="BS56" s="139"/>
      <c r="BT56" s="139"/>
      <c r="BU56" s="139"/>
      <c r="BV56" s="139"/>
      <c r="BW56" s="148"/>
      <c r="BX56" s="148"/>
      <c r="BY56" s="139"/>
      <c r="BZ56" s="139"/>
      <c r="CA56" s="139"/>
      <c r="CB56" s="148">
        <f>BY56/91774</f>
        <v>0</v>
      </c>
      <c r="CC56" s="139"/>
      <c r="CD56" s="139"/>
      <c r="CE56" s="139"/>
      <c r="CF56" s="148">
        <f>CC56/118499</f>
        <v>0</v>
      </c>
      <c r="CG56" s="139"/>
      <c r="CH56" s="139"/>
      <c r="CI56" s="139"/>
      <c r="CJ56" s="148">
        <f>CG56/138947</f>
        <v>0</v>
      </c>
    </row>
    <row r="57" spans="2:88" ht="9.9499999999999993" customHeight="1" x14ac:dyDescent="0.15">
      <c r="B57" s="142">
        <v>41557</v>
      </c>
      <c r="C57" s="139">
        <v>5935.444661501966</v>
      </c>
      <c r="D57" s="139"/>
      <c r="E57" s="148">
        <f t="shared" si="111"/>
        <v>8.6419216992836057E-2</v>
      </c>
      <c r="F57" s="139">
        <v>3922.53</v>
      </c>
      <c r="G57" s="139"/>
      <c r="H57" s="148">
        <f t="shared" si="112"/>
        <v>9.3932565434996049E-2</v>
      </c>
      <c r="I57" s="139">
        <v>8108.5735313760588</v>
      </c>
      <c r="J57" s="139"/>
      <c r="K57" s="148">
        <f t="shared" ref="K57:K67" si="130">I57/91774</f>
        <v>8.8353711632663492E-2</v>
      </c>
      <c r="L57" s="148">
        <f t="shared" si="113"/>
        <v>8.89322255763631E-2</v>
      </c>
      <c r="M57" s="139">
        <v>10632.914754361125</v>
      </c>
      <c r="N57" s="139"/>
      <c r="O57" s="148">
        <f t="shared" ref="O57:O67" si="131">M57/118499</f>
        <v>8.9729995648580363E-2</v>
      </c>
      <c r="P57" s="148">
        <f t="shared" si="114"/>
        <v>8.89322255763631E-2</v>
      </c>
      <c r="Q57" s="139">
        <v>12617.526300323245</v>
      </c>
      <c r="R57" s="139"/>
      <c r="S57" s="148">
        <f t="shared" ref="S57:S67" si="132">Q57/138947</f>
        <v>9.0808195213450058E-2</v>
      </c>
      <c r="T57" s="148">
        <f t="shared" si="115"/>
        <v>8.8932225576363114E-2</v>
      </c>
      <c r="V57" s="142">
        <v>41557</v>
      </c>
      <c r="W57" s="139">
        <v>130</v>
      </c>
      <c r="X57" s="139">
        <v>290</v>
      </c>
      <c r="Y57" s="139"/>
      <c r="Z57" s="139"/>
      <c r="AA57" s="148">
        <f t="shared" si="116"/>
        <v>0.8666666666666667</v>
      </c>
      <c r="AB57" s="148">
        <f t="shared" si="117"/>
        <v>0.85798816568047342</v>
      </c>
      <c r="AC57" s="139">
        <v>53</v>
      </c>
      <c r="AD57" s="139">
        <v>130</v>
      </c>
      <c r="AE57" s="139"/>
      <c r="AF57" s="139"/>
      <c r="AG57" s="148">
        <f t="shared" si="118"/>
        <v>1.2045454545454546</v>
      </c>
      <c r="AH57" s="148">
        <f t="shared" si="119"/>
        <v>1.3265306122448979</v>
      </c>
      <c r="AI57" s="139">
        <v>380</v>
      </c>
      <c r="AJ57" s="139">
        <v>920</v>
      </c>
      <c r="AK57" s="139"/>
      <c r="AL57" s="139"/>
      <c r="AM57" s="148">
        <f t="shared" si="120"/>
        <v>1.1242603550295858</v>
      </c>
      <c r="AN57" s="148">
        <f t="shared" si="121"/>
        <v>1.2742382271468145</v>
      </c>
      <c r="AO57" s="139">
        <v>85</v>
      </c>
      <c r="AP57" s="139">
        <v>190</v>
      </c>
      <c r="AQ57" s="139"/>
      <c r="AR57" s="139"/>
      <c r="AS57" s="148">
        <f t="shared" si="122"/>
        <v>1.4912280701754386</v>
      </c>
      <c r="AT57" s="148">
        <f t="shared" si="123"/>
        <v>1.532258064516129</v>
      </c>
      <c r="AU57" s="139">
        <v>210</v>
      </c>
      <c r="AV57" s="139">
        <v>460</v>
      </c>
      <c r="AW57" s="139"/>
      <c r="AX57" s="139"/>
      <c r="AY57" s="148">
        <f t="shared" si="124"/>
        <v>1.1351351351351351</v>
      </c>
      <c r="AZ57" s="148">
        <f t="shared" si="125"/>
        <v>1.1557788944723617</v>
      </c>
      <c r="BA57" s="56">
        <v>37</v>
      </c>
      <c r="BB57" s="56">
        <v>89</v>
      </c>
      <c r="BC57" s="139"/>
      <c r="BD57" s="139"/>
      <c r="BE57" s="148">
        <f t="shared" si="126"/>
        <v>0.42528735632183906</v>
      </c>
      <c r="BF57" s="148">
        <f t="shared" si="127"/>
        <v>0.46596858638743455</v>
      </c>
      <c r="BG57" s="56">
        <v>170</v>
      </c>
      <c r="BH57" s="56">
        <v>410</v>
      </c>
      <c r="BI57" s="139"/>
      <c r="BJ57" s="139"/>
      <c r="BK57" s="148">
        <f t="shared" si="128"/>
        <v>0.58823529411764708</v>
      </c>
      <c r="BL57" s="148">
        <f t="shared" si="129"/>
        <v>0.65182829888712246</v>
      </c>
      <c r="BM57" s="139"/>
      <c r="BN57" s="139"/>
      <c r="BO57" s="139"/>
      <c r="BP57" s="139"/>
      <c r="BQ57" s="148"/>
      <c r="BR57" s="148"/>
      <c r="BS57" s="139"/>
      <c r="BT57" s="139"/>
      <c r="BU57" s="139"/>
      <c r="BV57" s="139"/>
      <c r="BW57" s="148"/>
      <c r="BX57" s="148"/>
      <c r="BY57" s="139"/>
      <c r="BZ57" s="139"/>
      <c r="CA57" s="139"/>
      <c r="CB57" s="148">
        <f t="shared" ref="CB57:CB67" si="133">BY57/91774</f>
        <v>0</v>
      </c>
      <c r="CC57" s="139"/>
      <c r="CD57" s="139"/>
      <c r="CE57" s="139"/>
      <c r="CF57" s="148">
        <f t="shared" ref="CF57:CF67" si="134">CC57/118499</f>
        <v>0</v>
      </c>
      <c r="CG57" s="139"/>
      <c r="CH57" s="139"/>
      <c r="CI57" s="139"/>
      <c r="CJ57" s="148">
        <f t="shared" ref="CJ57:CJ67" si="135">CG57/138947</f>
        <v>0</v>
      </c>
    </row>
    <row r="58" spans="2:88" ht="9.9499999999999993" customHeight="1" x14ac:dyDescent="0.15">
      <c r="B58" s="142">
        <v>41591</v>
      </c>
      <c r="C58" s="139">
        <v>5540.8068147733347</v>
      </c>
      <c r="D58" s="139"/>
      <c r="E58" s="148">
        <f t="shared" si="111"/>
        <v>8.0673346943498078E-2</v>
      </c>
      <c r="F58" s="139">
        <v>3376.88</v>
      </c>
      <c r="G58" s="139"/>
      <c r="H58" s="148">
        <f t="shared" si="112"/>
        <v>8.086592111880074E-2</v>
      </c>
      <c r="I58" s="139">
        <v>7360.2605306666428</v>
      </c>
      <c r="J58" s="139"/>
      <c r="K58" s="148">
        <f t="shared" si="130"/>
        <v>8.0199844516602115E-2</v>
      </c>
      <c r="L58" s="148">
        <f t="shared" si="113"/>
        <v>8.0724969352650805E-2</v>
      </c>
      <c r="M58" s="139">
        <v>9651.6387857416357</v>
      </c>
      <c r="N58" s="139"/>
      <c r="O58" s="148">
        <f t="shared" si="131"/>
        <v>8.1449115905970815E-2</v>
      </c>
      <c r="P58" s="148">
        <f t="shared" si="114"/>
        <v>8.0724969352650805E-2</v>
      </c>
      <c r="Q58" s="139">
        <v>11453.097201815392</v>
      </c>
      <c r="R58" s="139"/>
      <c r="S58" s="148">
        <f t="shared" si="132"/>
        <v>8.2427812056506372E-2</v>
      </c>
      <c r="T58" s="148">
        <f t="shared" si="115"/>
        <v>8.0724969352650805E-2</v>
      </c>
      <c r="V58" s="142">
        <v>41591</v>
      </c>
      <c r="W58" s="139">
        <v>120</v>
      </c>
      <c r="X58" s="139">
        <v>300</v>
      </c>
      <c r="Y58" s="139"/>
      <c r="Z58" s="139"/>
      <c r="AA58" s="148">
        <f t="shared" si="116"/>
        <v>0.8</v>
      </c>
      <c r="AB58" s="148">
        <f t="shared" si="117"/>
        <v>0.8875739644970414</v>
      </c>
      <c r="AC58" s="139">
        <v>26</v>
      </c>
      <c r="AD58" s="139">
        <v>62</v>
      </c>
      <c r="AE58" s="139"/>
      <c r="AF58" s="139"/>
      <c r="AG58" s="148">
        <f t="shared" si="118"/>
        <v>0.59090909090909094</v>
      </c>
      <c r="AH58" s="148">
        <f t="shared" si="119"/>
        <v>0.63265306122448983</v>
      </c>
      <c r="AI58" s="139">
        <v>290</v>
      </c>
      <c r="AJ58" s="139">
        <v>770</v>
      </c>
      <c r="AK58" s="139"/>
      <c r="AL58" s="139"/>
      <c r="AM58" s="148">
        <f t="shared" si="120"/>
        <v>0.85798816568047342</v>
      </c>
      <c r="AN58" s="148">
        <f t="shared" si="121"/>
        <v>1.0664819944598338</v>
      </c>
      <c r="AO58" s="139">
        <v>35</v>
      </c>
      <c r="AP58" s="139">
        <v>88</v>
      </c>
      <c r="AQ58" s="139"/>
      <c r="AR58" s="139"/>
      <c r="AS58" s="148">
        <f t="shared" si="122"/>
        <v>0.61403508771929827</v>
      </c>
      <c r="AT58" s="148">
        <f t="shared" si="123"/>
        <v>0.70967741935483875</v>
      </c>
      <c r="AU58" s="139">
        <v>120</v>
      </c>
      <c r="AV58" s="139">
        <v>260</v>
      </c>
      <c r="AW58" s="139"/>
      <c r="AX58" s="139"/>
      <c r="AY58" s="148">
        <f t="shared" si="124"/>
        <v>0.64864864864864868</v>
      </c>
      <c r="AZ58" s="148">
        <f t="shared" si="125"/>
        <v>0.65326633165829151</v>
      </c>
      <c r="BA58" s="56">
        <v>190</v>
      </c>
      <c r="BB58" s="56">
        <v>440</v>
      </c>
      <c r="BC58" s="139"/>
      <c r="BD58" s="139"/>
      <c r="BE58" s="148">
        <f t="shared" si="126"/>
        <v>2.1839080459770117</v>
      </c>
      <c r="BF58" s="148">
        <f t="shared" si="127"/>
        <v>2.3036649214659688</v>
      </c>
      <c r="BG58" s="56">
        <v>330</v>
      </c>
      <c r="BH58" s="56">
        <v>790</v>
      </c>
      <c r="BI58" s="139"/>
      <c r="BJ58" s="139"/>
      <c r="BK58" s="148">
        <f t="shared" si="128"/>
        <v>1.1418685121107266</v>
      </c>
      <c r="BL58" s="148">
        <f t="shared" si="129"/>
        <v>1.2559618441971383</v>
      </c>
      <c r="BM58" s="139"/>
      <c r="BN58" s="139"/>
      <c r="BO58" s="139"/>
      <c r="BP58" s="139"/>
      <c r="BQ58" s="148"/>
      <c r="BR58" s="148"/>
      <c r="BS58" s="139"/>
      <c r="BT58" s="139"/>
      <c r="BU58" s="139"/>
      <c r="BV58" s="139"/>
      <c r="BW58" s="148"/>
      <c r="BX58" s="148"/>
      <c r="BY58" s="139"/>
      <c r="BZ58" s="139"/>
      <c r="CA58" s="139"/>
      <c r="CB58" s="148">
        <f t="shared" si="133"/>
        <v>0</v>
      </c>
      <c r="CC58" s="139"/>
      <c r="CD58" s="139"/>
      <c r="CE58" s="139"/>
      <c r="CF58" s="148">
        <f t="shared" si="134"/>
        <v>0</v>
      </c>
      <c r="CG58" s="139"/>
      <c r="CH58" s="139"/>
      <c r="CI58" s="139"/>
      <c r="CJ58" s="148">
        <f t="shared" si="135"/>
        <v>0</v>
      </c>
    </row>
    <row r="59" spans="2:88" ht="9.9499999999999993" customHeight="1" x14ac:dyDescent="0.15">
      <c r="B59" s="142">
        <v>41619</v>
      </c>
      <c r="C59" s="139">
        <v>5614.4632905783164</v>
      </c>
      <c r="D59" s="139"/>
      <c r="E59" s="148">
        <f t="shared" si="111"/>
        <v>8.1745774592736326E-2</v>
      </c>
      <c r="F59" s="139">
        <v>3260.82</v>
      </c>
      <c r="G59" s="139"/>
      <c r="H59" s="148">
        <f t="shared" si="112"/>
        <v>7.8086640005747263E-2</v>
      </c>
      <c r="I59" s="139">
        <v>7594.903341377335</v>
      </c>
      <c r="J59" s="139"/>
      <c r="K59" s="148">
        <f t="shared" si="130"/>
        <v>8.275659055263293E-2</v>
      </c>
      <c r="L59" s="148">
        <f t="shared" si="113"/>
        <v>8.329845620471539E-2</v>
      </c>
      <c r="M59" s="139">
        <v>9959.3300207481807</v>
      </c>
      <c r="N59" s="139"/>
      <c r="O59" s="148">
        <f t="shared" si="131"/>
        <v>8.4045688324358686E-2</v>
      </c>
      <c r="P59" s="148">
        <f t="shared" si="114"/>
        <v>8.329845620471539E-2</v>
      </c>
      <c r="Q59" s="139">
        <v>11818.218369412611</v>
      </c>
      <c r="R59" s="139"/>
      <c r="S59" s="148">
        <f t="shared" si="132"/>
        <v>8.5055585003005543E-2</v>
      </c>
      <c r="T59" s="148">
        <f t="shared" si="115"/>
        <v>8.329845620471539E-2</v>
      </c>
      <c r="V59" s="142">
        <v>41619</v>
      </c>
      <c r="W59" s="139">
        <v>110</v>
      </c>
      <c r="X59" s="139">
        <v>280</v>
      </c>
      <c r="Y59" s="139"/>
      <c r="Z59" s="139"/>
      <c r="AA59" s="148">
        <f t="shared" si="116"/>
        <v>0.73333333333333328</v>
      </c>
      <c r="AB59" s="148">
        <f t="shared" si="117"/>
        <v>0.82840236686390534</v>
      </c>
      <c r="AC59" s="139">
        <v>32</v>
      </c>
      <c r="AD59" s="139">
        <v>73</v>
      </c>
      <c r="AE59" s="139"/>
      <c r="AF59" s="139"/>
      <c r="AG59" s="148">
        <f t="shared" si="118"/>
        <v>0.72727272727272729</v>
      </c>
      <c r="AH59" s="148">
        <f t="shared" si="119"/>
        <v>0.74489795918367352</v>
      </c>
      <c r="AI59" s="139">
        <v>180</v>
      </c>
      <c r="AJ59" s="139">
        <v>460</v>
      </c>
      <c r="AK59" s="139"/>
      <c r="AL59" s="139"/>
      <c r="AM59" s="148">
        <f t="shared" si="120"/>
        <v>0.53254437869822491</v>
      </c>
      <c r="AN59" s="148">
        <f t="shared" si="121"/>
        <v>0.63711911357340723</v>
      </c>
      <c r="AO59" s="139">
        <v>29</v>
      </c>
      <c r="AP59" s="139">
        <v>77</v>
      </c>
      <c r="AQ59" s="139"/>
      <c r="AR59" s="139"/>
      <c r="AS59" s="148">
        <f t="shared" si="122"/>
        <v>0.50877192982456143</v>
      </c>
      <c r="AT59" s="148">
        <f t="shared" si="123"/>
        <v>0.62096774193548387</v>
      </c>
      <c r="AU59" s="139">
        <v>96</v>
      </c>
      <c r="AV59" s="139">
        <v>230</v>
      </c>
      <c r="AW59" s="139"/>
      <c r="AX59" s="139"/>
      <c r="AY59" s="148">
        <f t="shared" si="124"/>
        <v>0.51891891891891895</v>
      </c>
      <c r="AZ59" s="148">
        <f t="shared" si="125"/>
        <v>0.57788944723618085</v>
      </c>
      <c r="BA59" s="56">
        <v>46</v>
      </c>
      <c r="BB59" s="56">
        <v>120</v>
      </c>
      <c r="BC59" s="139"/>
      <c r="BD59" s="139"/>
      <c r="BE59" s="148">
        <f t="shared" si="126"/>
        <v>0.52873563218390807</v>
      </c>
      <c r="BF59" s="148">
        <f t="shared" si="127"/>
        <v>0.62827225130890052</v>
      </c>
      <c r="BG59" s="56">
        <v>190</v>
      </c>
      <c r="BH59" s="56">
        <v>460</v>
      </c>
      <c r="BI59" s="139"/>
      <c r="BJ59" s="139"/>
      <c r="BK59" s="148">
        <f t="shared" si="128"/>
        <v>0.65743944636678198</v>
      </c>
      <c r="BL59" s="148">
        <f t="shared" si="129"/>
        <v>0.7313195548489666</v>
      </c>
      <c r="BM59" s="139"/>
      <c r="BN59" s="139"/>
      <c r="BO59" s="139"/>
      <c r="BP59" s="139"/>
      <c r="BQ59" s="148"/>
      <c r="BR59" s="148"/>
      <c r="BS59" s="139"/>
      <c r="BT59" s="139"/>
      <c r="BU59" s="139"/>
      <c r="BV59" s="139"/>
      <c r="BW59" s="148"/>
      <c r="BX59" s="148"/>
      <c r="BY59" s="139"/>
      <c r="BZ59" s="139"/>
      <c r="CA59" s="139"/>
      <c r="CB59" s="148">
        <f t="shared" si="133"/>
        <v>0</v>
      </c>
      <c r="CC59" s="139"/>
      <c r="CD59" s="139"/>
      <c r="CE59" s="139"/>
      <c r="CF59" s="148">
        <f t="shared" si="134"/>
        <v>0</v>
      </c>
      <c r="CG59" s="139"/>
      <c r="CH59" s="139"/>
      <c r="CI59" s="139"/>
      <c r="CJ59" s="148">
        <f t="shared" si="135"/>
        <v>0</v>
      </c>
    </row>
    <row r="60" spans="2:88" ht="9.9499999999999993" customHeight="1" x14ac:dyDescent="0.15">
      <c r="B60" s="142">
        <v>41647</v>
      </c>
      <c r="C60" s="139">
        <v>5304.3017742670354</v>
      </c>
      <c r="D60" s="139"/>
      <c r="E60" s="148">
        <f t="shared" si="111"/>
        <v>7.7229867713040329E-2</v>
      </c>
      <c r="F60" s="139">
        <v>3094.86</v>
      </c>
      <c r="G60" s="139"/>
      <c r="H60" s="148">
        <f t="shared" si="112"/>
        <v>7.4112406906295655E-2</v>
      </c>
      <c r="I60" s="139">
        <v>6974.6019317476857</v>
      </c>
      <c r="J60" s="139"/>
      <c r="K60" s="148">
        <f t="shared" si="130"/>
        <v>7.5997580270530718E-2</v>
      </c>
      <c r="L60" s="148">
        <f t="shared" si="113"/>
        <v>7.6495189924516996E-2</v>
      </c>
      <c r="M60" s="139">
        <v>9145.9178977551001</v>
      </c>
      <c r="N60" s="139"/>
      <c r="O60" s="148">
        <f t="shared" si="131"/>
        <v>7.7181393072980359E-2</v>
      </c>
      <c r="P60" s="148">
        <f t="shared" si="114"/>
        <v>7.6495189924516982E-2</v>
      </c>
      <c r="Q60" s="139">
        <v>10852.984556110621</v>
      </c>
      <c r="R60" s="139"/>
      <c r="S60" s="148">
        <f t="shared" si="132"/>
        <v>7.8108808078696343E-2</v>
      </c>
      <c r="T60" s="148">
        <f t="shared" si="115"/>
        <v>7.6495189924516982E-2</v>
      </c>
      <c r="V60" s="142">
        <v>41647</v>
      </c>
      <c r="W60" s="139">
        <v>76</v>
      </c>
      <c r="X60" s="139">
        <v>190</v>
      </c>
      <c r="Y60" s="139"/>
      <c r="Z60" s="139"/>
      <c r="AA60" s="148">
        <f t="shared" si="116"/>
        <v>0.50666666666666671</v>
      </c>
      <c r="AB60" s="148">
        <f t="shared" si="117"/>
        <v>0.56213017751479288</v>
      </c>
      <c r="AC60" s="139">
        <v>10</v>
      </c>
      <c r="AD60" s="139">
        <v>34</v>
      </c>
      <c r="AE60" s="139"/>
      <c r="AF60" s="139"/>
      <c r="AG60" s="148">
        <f t="shared" si="118"/>
        <v>0.22727272727272727</v>
      </c>
      <c r="AH60" s="148">
        <f t="shared" si="119"/>
        <v>0.34693877551020408</v>
      </c>
      <c r="AI60" s="139">
        <v>110</v>
      </c>
      <c r="AJ60" s="139">
        <v>270</v>
      </c>
      <c r="AK60" s="139"/>
      <c r="AL60" s="139"/>
      <c r="AM60" s="148">
        <f t="shared" si="120"/>
        <v>0.32544378698224852</v>
      </c>
      <c r="AN60" s="148">
        <f t="shared" si="121"/>
        <v>0.37396121883656508</v>
      </c>
      <c r="AO60" s="139">
        <v>23</v>
      </c>
      <c r="AP60" s="139">
        <v>62</v>
      </c>
      <c r="AQ60" s="139"/>
      <c r="AR60" s="139"/>
      <c r="AS60" s="148">
        <f t="shared" si="122"/>
        <v>0.40350877192982454</v>
      </c>
      <c r="AT60" s="148">
        <f t="shared" si="123"/>
        <v>0.5</v>
      </c>
      <c r="AU60" s="139">
        <v>74</v>
      </c>
      <c r="AV60" s="139">
        <v>190</v>
      </c>
      <c r="AW60" s="139"/>
      <c r="AX60" s="139"/>
      <c r="AY60" s="148">
        <f t="shared" si="124"/>
        <v>0.4</v>
      </c>
      <c r="AZ60" s="148">
        <f t="shared" si="125"/>
        <v>0.47738693467336685</v>
      </c>
      <c r="BA60" s="56">
        <v>19</v>
      </c>
      <c r="BB60" s="56">
        <v>54</v>
      </c>
      <c r="BC60" s="139"/>
      <c r="BD60" s="139"/>
      <c r="BE60" s="148">
        <f t="shared" si="126"/>
        <v>0.21839080459770116</v>
      </c>
      <c r="BF60" s="148">
        <f t="shared" si="127"/>
        <v>0.28272251308900526</v>
      </c>
      <c r="BG60" s="56">
        <v>110</v>
      </c>
      <c r="BH60" s="56">
        <v>260</v>
      </c>
      <c r="BI60" s="139"/>
      <c r="BJ60" s="139"/>
      <c r="BK60" s="148">
        <f t="shared" si="128"/>
        <v>0.38062283737024222</v>
      </c>
      <c r="BL60" s="148">
        <f t="shared" si="129"/>
        <v>0.41335453100158981</v>
      </c>
      <c r="BM60" s="139"/>
      <c r="BN60" s="139"/>
      <c r="BO60" s="139"/>
      <c r="BP60" s="139"/>
      <c r="BQ60" s="148"/>
      <c r="BR60" s="148"/>
      <c r="BS60" s="139"/>
      <c r="BT60" s="139"/>
      <c r="BU60" s="139"/>
      <c r="BV60" s="139"/>
      <c r="BW60" s="148"/>
      <c r="BX60" s="148"/>
      <c r="BY60" s="139"/>
      <c r="BZ60" s="139"/>
      <c r="CA60" s="139"/>
      <c r="CB60" s="148">
        <f t="shared" si="133"/>
        <v>0</v>
      </c>
      <c r="CC60" s="139"/>
      <c r="CD60" s="139"/>
      <c r="CE60" s="139"/>
      <c r="CF60" s="148">
        <f t="shared" si="134"/>
        <v>0</v>
      </c>
      <c r="CG60" s="139"/>
      <c r="CH60" s="139"/>
      <c r="CI60" s="139"/>
      <c r="CJ60" s="148">
        <f t="shared" si="135"/>
        <v>0</v>
      </c>
    </row>
    <row r="61" spans="2:88" ht="9.9499999999999993" customHeight="1" x14ac:dyDescent="0.15">
      <c r="B61" s="142">
        <v>41675</v>
      </c>
      <c r="C61" s="139">
        <v>4552.8582818920968</v>
      </c>
      <c r="D61" s="139"/>
      <c r="E61" s="148">
        <f t="shared" si="111"/>
        <v>6.6288958997875666E-2</v>
      </c>
      <c r="F61" s="139">
        <v>2416.7399999999998</v>
      </c>
      <c r="G61" s="139"/>
      <c r="H61" s="148">
        <f t="shared" si="112"/>
        <v>5.7873512296750397E-2</v>
      </c>
      <c r="I61" s="139">
        <v>5756.1913967770561</v>
      </c>
      <c r="J61" s="139"/>
      <c r="K61" s="148">
        <f t="shared" si="130"/>
        <v>6.2721374210310724E-2</v>
      </c>
      <c r="L61" s="148">
        <f t="shared" si="113"/>
        <v>6.3132055197879469E-2</v>
      </c>
      <c r="M61" s="139">
        <v>7548.1947835688652</v>
      </c>
      <c r="N61" s="139"/>
      <c r="O61" s="148">
        <f t="shared" si="131"/>
        <v>6.3698383813946657E-2</v>
      </c>
      <c r="P61" s="148">
        <f t="shared" si="114"/>
        <v>6.3132055197879469E-2</v>
      </c>
      <c r="Q61" s="139">
        <v>8957.0497273647434</v>
      </c>
      <c r="R61" s="139"/>
      <c r="S61" s="148">
        <f t="shared" si="132"/>
        <v>6.4463786388801084E-2</v>
      </c>
      <c r="T61" s="148">
        <f t="shared" si="115"/>
        <v>6.3132055197879469E-2</v>
      </c>
      <c r="V61" s="142">
        <v>41675</v>
      </c>
      <c r="W61" s="139">
        <v>46</v>
      </c>
      <c r="X61" s="139">
        <v>120</v>
      </c>
      <c r="Y61" s="139"/>
      <c r="Z61" s="139"/>
      <c r="AA61" s="148">
        <f t="shared" si="116"/>
        <v>0.30666666666666664</v>
      </c>
      <c r="AB61" s="148">
        <f t="shared" si="117"/>
        <v>0.35502958579881655</v>
      </c>
      <c r="AC61" s="139">
        <v>5</v>
      </c>
      <c r="AD61" s="139">
        <v>17</v>
      </c>
      <c r="AE61" s="139"/>
      <c r="AF61" s="139"/>
      <c r="AG61" s="148">
        <f t="shared" si="118"/>
        <v>0.11363636363636363</v>
      </c>
      <c r="AH61" s="148">
        <f t="shared" si="119"/>
        <v>0.17346938775510204</v>
      </c>
      <c r="AI61" s="139">
        <v>54</v>
      </c>
      <c r="AJ61" s="139">
        <v>140</v>
      </c>
      <c r="AK61" s="139"/>
      <c r="AL61" s="139"/>
      <c r="AM61" s="148">
        <f t="shared" si="120"/>
        <v>0.15976331360946747</v>
      </c>
      <c r="AN61" s="148">
        <f t="shared" si="121"/>
        <v>0.19390581717451524</v>
      </c>
      <c r="AO61" s="139">
        <v>11</v>
      </c>
      <c r="AP61" s="139">
        <v>30</v>
      </c>
      <c r="AQ61" s="139"/>
      <c r="AR61" s="139"/>
      <c r="AS61" s="148">
        <f t="shared" si="122"/>
        <v>0.19298245614035087</v>
      </c>
      <c r="AT61" s="148">
        <f t="shared" si="123"/>
        <v>0.24193548387096775</v>
      </c>
      <c r="AU61" s="139">
        <v>63</v>
      </c>
      <c r="AV61" s="139">
        <v>140</v>
      </c>
      <c r="AW61" s="139"/>
      <c r="AX61" s="139"/>
      <c r="AY61" s="148">
        <f t="shared" si="124"/>
        <v>0.34054054054054056</v>
      </c>
      <c r="AZ61" s="148">
        <f t="shared" si="125"/>
        <v>0.35175879396984927</v>
      </c>
      <c r="BA61" s="56">
        <v>13</v>
      </c>
      <c r="BB61" s="56">
        <v>36</v>
      </c>
      <c r="BC61" s="139"/>
      <c r="BD61" s="139"/>
      <c r="BE61" s="148">
        <f t="shared" si="126"/>
        <v>0.14942528735632185</v>
      </c>
      <c r="BF61" s="148">
        <f t="shared" si="127"/>
        <v>0.18848167539267016</v>
      </c>
      <c r="BG61" s="56">
        <v>82</v>
      </c>
      <c r="BH61" s="56">
        <v>230</v>
      </c>
      <c r="BI61" s="139"/>
      <c r="BJ61" s="139"/>
      <c r="BK61" s="148">
        <f t="shared" si="128"/>
        <v>0.2837370242214533</v>
      </c>
      <c r="BL61" s="148">
        <f t="shared" si="129"/>
        <v>0.3656597774244833</v>
      </c>
      <c r="BM61" s="139"/>
      <c r="BN61" s="139"/>
      <c r="BO61" s="139"/>
      <c r="BP61" s="139"/>
      <c r="BQ61" s="148"/>
      <c r="BR61" s="148"/>
      <c r="BS61" s="139"/>
      <c r="BT61" s="139"/>
      <c r="BU61" s="139"/>
      <c r="BV61" s="139"/>
      <c r="BW61" s="148"/>
      <c r="BX61" s="148"/>
      <c r="BY61" s="139"/>
      <c r="BZ61" s="139"/>
      <c r="CA61" s="139"/>
      <c r="CB61" s="148">
        <f t="shared" si="133"/>
        <v>0</v>
      </c>
      <c r="CC61" s="139"/>
      <c r="CD61" s="139"/>
      <c r="CE61" s="139"/>
      <c r="CF61" s="148">
        <f t="shared" si="134"/>
        <v>0</v>
      </c>
      <c r="CG61" s="139"/>
      <c r="CH61" s="139"/>
      <c r="CI61" s="139"/>
      <c r="CJ61" s="148">
        <f t="shared" si="135"/>
        <v>0</v>
      </c>
    </row>
    <row r="62" spans="2:88" ht="9.9499999999999993" customHeight="1" x14ac:dyDescent="0.15">
      <c r="B62" s="142">
        <v>41703</v>
      </c>
      <c r="C62" s="139">
        <v>5559.8715974806528</v>
      </c>
      <c r="D62" s="147">
        <f>SUM(C51:C62)</f>
        <v>68681.595385436929</v>
      </c>
      <c r="E62" s="148">
        <f t="shared" si="111"/>
        <v>8.0950927426118244E-2</v>
      </c>
      <c r="F62" s="138">
        <v>3025.7</v>
      </c>
      <c r="G62" s="147">
        <f>SUM(F51:F62)</f>
        <v>41759.439999999995</v>
      </c>
      <c r="H62" s="148">
        <f t="shared" si="112"/>
        <v>7.2456236978854852E-2</v>
      </c>
      <c r="I62" s="139">
        <v>7241.4506184382763</v>
      </c>
      <c r="J62" s="147">
        <f>SUM(I51:I62)</f>
        <v>91177</v>
      </c>
      <c r="K62" s="148">
        <f t="shared" si="130"/>
        <v>7.8905252233075554E-2</v>
      </c>
      <c r="L62" s="148">
        <f t="shared" si="113"/>
        <v>7.9421900462159051E-2</v>
      </c>
      <c r="M62" s="139">
        <v>9495.8412630566618</v>
      </c>
      <c r="N62" s="147">
        <f>SUM(M51:M62)</f>
        <v>119562.00000000001</v>
      </c>
      <c r="O62" s="148">
        <f t="shared" si="131"/>
        <v>8.0134357784088145E-2</v>
      </c>
      <c r="P62" s="148">
        <f>M62/118655</f>
        <v>8.0029002259126555E-2</v>
      </c>
      <c r="Q62" s="139">
        <v>11268.220393770203</v>
      </c>
      <c r="R62" s="147">
        <f>SUM(Q51:Q62)</f>
        <v>141878</v>
      </c>
      <c r="S62" s="148">
        <f t="shared" si="132"/>
        <v>8.109725574334245E-2</v>
      </c>
      <c r="T62" s="148">
        <f t="shared" si="115"/>
        <v>7.9421900462159065E-2</v>
      </c>
      <c r="V62" s="142">
        <v>41703</v>
      </c>
      <c r="W62" s="139">
        <v>49</v>
      </c>
      <c r="X62" s="139">
        <v>130</v>
      </c>
      <c r="Y62" s="147">
        <f>AVERAGE(W51:W62)</f>
        <v>150.08333333333334</v>
      </c>
      <c r="Z62" s="147">
        <f>AVERAGE(X51:X62)</f>
        <v>337.5</v>
      </c>
      <c r="AA62" s="148">
        <f t="shared" si="116"/>
        <v>0.32666666666666666</v>
      </c>
      <c r="AB62" s="148">
        <f t="shared" si="117"/>
        <v>0.38461538461538464</v>
      </c>
      <c r="AC62" s="138">
        <v>5</v>
      </c>
      <c r="AD62" s="138">
        <v>24</v>
      </c>
      <c r="AE62" s="147">
        <f>AVERAGE(AC51:AC62)</f>
        <v>43.5</v>
      </c>
      <c r="AF62" s="147">
        <f>AVERAGE(AD51:AD62)</f>
        <v>98.166666666666671</v>
      </c>
      <c r="AG62" s="148">
        <f t="shared" si="118"/>
        <v>0.11363636363636363</v>
      </c>
      <c r="AH62" s="148">
        <f t="shared" si="119"/>
        <v>0.24489795918367346</v>
      </c>
      <c r="AI62" s="138">
        <v>110</v>
      </c>
      <c r="AJ62" s="138">
        <v>250</v>
      </c>
      <c r="AK62" s="147">
        <f>AVERAGE(AI51:AI62)</f>
        <v>337.83333333333331</v>
      </c>
      <c r="AL62" s="147">
        <f>AVERAGE(AJ51:AJ62)</f>
        <v>721.66666666666663</v>
      </c>
      <c r="AM62" s="148">
        <f t="shared" si="120"/>
        <v>0.32544378698224852</v>
      </c>
      <c r="AN62" s="148">
        <f t="shared" si="121"/>
        <v>0.34626038781163437</v>
      </c>
      <c r="AO62" s="138">
        <v>16</v>
      </c>
      <c r="AP62" s="138">
        <v>41</v>
      </c>
      <c r="AQ62" s="147">
        <f>AVERAGE(AO51:AO62)</f>
        <v>56.583333333333336</v>
      </c>
      <c r="AR62" s="147">
        <f>AVERAGE(AP51:AP62)</f>
        <v>124</v>
      </c>
      <c r="AS62" s="148">
        <f t="shared" si="122"/>
        <v>0.2807017543859649</v>
      </c>
      <c r="AT62" s="148">
        <f t="shared" si="123"/>
        <v>0.33064516129032256</v>
      </c>
      <c r="AU62" s="138">
        <v>80</v>
      </c>
      <c r="AV62" s="138">
        <v>210</v>
      </c>
      <c r="AW62" s="147">
        <f>AVERAGE(AU51:AU62)</f>
        <v>185.25</v>
      </c>
      <c r="AX62" s="147">
        <f>AVERAGE(AV51:AV62)</f>
        <v>398.33333333333331</v>
      </c>
      <c r="AY62" s="148">
        <f t="shared" si="124"/>
        <v>0.43243243243243246</v>
      </c>
      <c r="AZ62" s="148">
        <f t="shared" si="125"/>
        <v>0.52763819095477382</v>
      </c>
      <c r="BA62" s="56">
        <v>18</v>
      </c>
      <c r="BB62" s="56">
        <v>40</v>
      </c>
      <c r="BC62" s="147">
        <f>AVERAGE(BA51:BA62)</f>
        <v>87.333333333333329</v>
      </c>
      <c r="BD62" s="147">
        <f>AVERAGE(BB51:BB62)</f>
        <v>190.75</v>
      </c>
      <c r="BE62" s="148">
        <f t="shared" si="126"/>
        <v>0.20689655172413793</v>
      </c>
      <c r="BF62" s="148">
        <f t="shared" si="127"/>
        <v>0.20942408376963351</v>
      </c>
      <c r="BG62" s="56">
        <v>100</v>
      </c>
      <c r="BH62" s="56">
        <v>250</v>
      </c>
      <c r="BI62" s="147">
        <f>AVERAGE(BG51:BG62)</f>
        <v>288.5</v>
      </c>
      <c r="BJ62" s="147">
        <f>AVERAGE(BH51:BH62)</f>
        <v>629.16666666666663</v>
      </c>
      <c r="BK62" s="148">
        <f t="shared" si="128"/>
        <v>0.34602076124567471</v>
      </c>
      <c r="BL62" s="148">
        <f t="shared" si="129"/>
        <v>0.39745627980922099</v>
      </c>
      <c r="BM62" s="138"/>
      <c r="BN62" s="138"/>
      <c r="BO62" s="147"/>
      <c r="BP62" s="147"/>
      <c r="BQ62" s="148"/>
      <c r="BR62" s="148"/>
      <c r="BS62" s="138"/>
      <c r="BT62" s="138"/>
      <c r="BU62" s="147"/>
      <c r="BV62" s="147"/>
      <c r="BW62" s="148"/>
      <c r="BX62" s="148"/>
      <c r="BY62" s="139"/>
      <c r="BZ62" s="139"/>
      <c r="CA62" s="147">
        <f>SUM(BY51:BY62)</f>
        <v>0</v>
      </c>
      <c r="CB62" s="148">
        <f t="shared" si="133"/>
        <v>0</v>
      </c>
      <c r="CC62" s="139"/>
      <c r="CD62" s="139"/>
      <c r="CE62" s="147">
        <f>SUM(CC51:CC62)</f>
        <v>0</v>
      </c>
      <c r="CF62" s="148">
        <f t="shared" si="134"/>
        <v>0</v>
      </c>
      <c r="CG62" s="139"/>
      <c r="CH62" s="139"/>
      <c r="CI62" s="147">
        <f>SUM(CG51:CG62)</f>
        <v>0</v>
      </c>
      <c r="CJ62" s="148">
        <f t="shared" si="135"/>
        <v>0</v>
      </c>
    </row>
    <row r="63" spans="2:88" ht="9.9499999999999993" customHeight="1" x14ac:dyDescent="0.15">
      <c r="B63" s="142">
        <v>41739</v>
      </c>
      <c r="C63" s="139">
        <v>5397.9493997803338</v>
      </c>
      <c r="D63" s="139"/>
      <c r="E63" s="148">
        <f>C63/67624</f>
        <v>7.9822982961379602E-2</v>
      </c>
      <c r="F63" s="139">
        <v>3232.15</v>
      </c>
      <c r="G63" s="139"/>
      <c r="H63" s="148">
        <f>F63/41352</f>
        <v>7.8161878506480945E-2</v>
      </c>
      <c r="I63" s="139">
        <v>7833.835950621431</v>
      </c>
      <c r="J63" s="139"/>
      <c r="K63" s="148">
        <f t="shared" si="130"/>
        <v>8.5360079658960392E-2</v>
      </c>
      <c r="L63" s="148">
        <f>I63/93707</f>
        <v>8.359926100100773E-2</v>
      </c>
      <c r="M63" s="139">
        <v>9919.4703140745714</v>
      </c>
      <c r="N63" s="139"/>
      <c r="O63" s="148">
        <f t="shared" si="131"/>
        <v>8.3709316653090504E-2</v>
      </c>
      <c r="P63" s="148">
        <f t="shared" ref="P63:P74" si="136">M63/118655</f>
        <v>8.359926100100773E-2</v>
      </c>
      <c r="Q63" s="139">
        <v>11451.259573396037</v>
      </c>
      <c r="R63" s="139"/>
      <c r="S63" s="148">
        <f t="shared" si="132"/>
        <v>8.2414586665390671E-2</v>
      </c>
      <c r="T63" s="148">
        <f>Q63/138947</f>
        <v>8.2414586665390671E-2</v>
      </c>
      <c r="V63" s="142">
        <v>41739</v>
      </c>
      <c r="W63" s="139">
        <v>74</v>
      </c>
      <c r="X63" s="139">
        <v>210</v>
      </c>
      <c r="Y63" s="139"/>
      <c r="Z63" s="139"/>
      <c r="AA63" s="148">
        <f>W63/67</f>
        <v>1.1044776119402986</v>
      </c>
      <c r="AB63" s="148">
        <f>X63/204</f>
        <v>1.0294117647058822</v>
      </c>
      <c r="AC63" s="139">
        <v>32</v>
      </c>
      <c r="AD63" s="139">
        <v>73</v>
      </c>
      <c r="AE63" s="139"/>
      <c r="AF63" s="139"/>
      <c r="AG63" s="148">
        <f>AC63/23</f>
        <v>1.3913043478260869</v>
      </c>
      <c r="AH63" s="148">
        <f>AD63/68</f>
        <v>1.0735294117647058</v>
      </c>
      <c r="AI63" s="139">
        <v>260</v>
      </c>
      <c r="AJ63" s="139">
        <v>780</v>
      </c>
      <c r="AK63" s="139"/>
      <c r="AL63" s="139"/>
      <c r="AM63" s="148">
        <f>AI63/166</f>
        <v>1.5662650602409638</v>
      </c>
      <c r="AN63" s="148">
        <f>AJ63/508</f>
        <v>1.5354330708661417</v>
      </c>
      <c r="AO63" s="139">
        <v>45</v>
      </c>
      <c r="AP63" s="139">
        <v>110</v>
      </c>
      <c r="AQ63" s="139"/>
      <c r="AR63" s="139"/>
      <c r="AS63" s="148">
        <f>AO63/29</f>
        <v>1.5517241379310345</v>
      </c>
      <c r="AT63" s="148">
        <f>AP63/87</f>
        <v>1.264367816091954</v>
      </c>
      <c r="AU63" s="139">
        <v>120</v>
      </c>
      <c r="AV63" s="139">
        <v>290</v>
      </c>
      <c r="AW63" s="139"/>
      <c r="AX63" s="139"/>
      <c r="AY63" s="148">
        <f>AU63/89</f>
        <v>1.348314606741573</v>
      </c>
      <c r="AZ63" s="148">
        <f>AV63/256</f>
        <v>1.1328125</v>
      </c>
      <c r="BA63" s="56">
        <v>54</v>
      </c>
      <c r="BB63" s="56">
        <v>130</v>
      </c>
      <c r="BC63" s="139"/>
      <c r="BD63" s="139"/>
      <c r="BE63" s="148">
        <f>BA63/39</f>
        <v>1.3846153846153846</v>
      </c>
      <c r="BF63" s="148">
        <f>BB63/123</f>
        <v>1.056910569105691</v>
      </c>
      <c r="BG63" s="56">
        <v>190</v>
      </c>
      <c r="BH63" s="56">
        <v>510</v>
      </c>
      <c r="BI63" s="139"/>
      <c r="BJ63" s="139"/>
      <c r="BK63" s="148">
        <f>BG63/141</f>
        <v>1.3475177304964538</v>
      </c>
      <c r="BL63" s="148">
        <f>BH63/410</f>
        <v>1.2439024390243902</v>
      </c>
      <c r="BM63" s="139"/>
      <c r="BN63" s="139"/>
      <c r="BO63" s="139"/>
      <c r="BP63" s="139"/>
      <c r="BQ63" s="148"/>
      <c r="BR63" s="148"/>
      <c r="BS63" s="139"/>
      <c r="BT63" s="139"/>
      <c r="BU63" s="139"/>
      <c r="BV63" s="139"/>
      <c r="BW63" s="148"/>
      <c r="BX63" s="148"/>
      <c r="BY63" s="139"/>
      <c r="BZ63" s="139"/>
      <c r="CA63" s="139"/>
      <c r="CB63" s="148">
        <f t="shared" si="133"/>
        <v>0</v>
      </c>
      <c r="CC63" s="139"/>
      <c r="CD63" s="139"/>
      <c r="CE63" s="139"/>
      <c r="CF63" s="148">
        <f t="shared" si="134"/>
        <v>0</v>
      </c>
      <c r="CG63" s="139"/>
      <c r="CH63" s="139"/>
      <c r="CI63" s="139"/>
      <c r="CJ63" s="148">
        <f t="shared" si="135"/>
        <v>0</v>
      </c>
    </row>
    <row r="64" spans="2:88" ht="9.9499999999999993" customHeight="1" x14ac:dyDescent="0.15">
      <c r="B64" s="142">
        <v>41773</v>
      </c>
      <c r="C64" s="139">
        <v>6125.4047820935002</v>
      </c>
      <c r="D64" s="139"/>
      <c r="E64" s="148">
        <f t="shared" ref="E64:E74" si="137">C64/67624</f>
        <v>9.0580338076622205E-2</v>
      </c>
      <c r="F64" s="138">
        <v>3633.7</v>
      </c>
      <c r="G64" s="139"/>
      <c r="H64" s="148">
        <f t="shared" ref="H64:H74" si="138">F64/41352</f>
        <v>8.7872412458889534E-2</v>
      </c>
      <c r="I64" s="139">
        <v>8075.534268678919</v>
      </c>
      <c r="J64" s="139"/>
      <c r="K64" s="148">
        <f t="shared" si="130"/>
        <v>8.7993704847548537E-2</v>
      </c>
      <c r="L64" s="148">
        <f t="shared" ref="L64:L74" si="139">I64/93707</f>
        <v>8.6178559431834542E-2</v>
      </c>
      <c r="M64" s="139">
        <v>10225.516969384327</v>
      </c>
      <c r="N64" s="139"/>
      <c r="O64" s="148">
        <f t="shared" si="131"/>
        <v>8.6292010644683309E-2</v>
      </c>
      <c r="P64" s="148">
        <f t="shared" si="136"/>
        <v>8.6178559431834542E-2</v>
      </c>
      <c r="Q64" s="139">
        <v>11804.566713853832</v>
      </c>
      <c r="R64" s="139"/>
      <c r="S64" s="148">
        <f t="shared" si="132"/>
        <v>8.495733419112203E-2</v>
      </c>
      <c r="T64" s="148">
        <f t="shared" ref="T64:T74" si="140">Q64/138947</f>
        <v>8.495733419112203E-2</v>
      </c>
      <c r="V64" s="142">
        <v>41773</v>
      </c>
      <c r="W64" s="139">
        <v>120</v>
      </c>
      <c r="X64" s="139">
        <v>320</v>
      </c>
      <c r="Y64" s="139"/>
      <c r="Z64" s="139"/>
      <c r="AA64" s="148">
        <f t="shared" ref="AA64:AA74" si="141">W64/67</f>
        <v>1.791044776119403</v>
      </c>
      <c r="AB64" s="148">
        <f t="shared" ref="AB64:AB74" si="142">X64/204</f>
        <v>1.5686274509803921</v>
      </c>
      <c r="AC64" s="138">
        <v>39</v>
      </c>
      <c r="AD64" s="138">
        <v>120</v>
      </c>
      <c r="AE64" s="139"/>
      <c r="AF64" s="139"/>
      <c r="AG64" s="148">
        <f t="shared" ref="AG64:AG74" si="143">AC64/23</f>
        <v>1.6956521739130435</v>
      </c>
      <c r="AH64" s="148">
        <f t="shared" ref="AH64:AH74" si="144">AD64/68</f>
        <v>1.7647058823529411</v>
      </c>
      <c r="AI64" s="138">
        <v>270</v>
      </c>
      <c r="AJ64" s="138">
        <v>740</v>
      </c>
      <c r="AK64" s="139"/>
      <c r="AL64" s="139"/>
      <c r="AM64" s="148">
        <f t="shared" ref="AM64:AM74" si="145">AI64/166</f>
        <v>1.6265060240963856</v>
      </c>
      <c r="AN64" s="148">
        <f t="shared" ref="AN64:AN74" si="146">AJ64/508</f>
        <v>1.4566929133858268</v>
      </c>
      <c r="AO64" s="138">
        <v>45</v>
      </c>
      <c r="AP64" s="138">
        <v>130</v>
      </c>
      <c r="AQ64" s="139"/>
      <c r="AR64" s="139"/>
      <c r="AS64" s="148">
        <f t="shared" ref="AS64:AS74" si="147">AO64/29</f>
        <v>1.5517241379310345</v>
      </c>
      <c r="AT64" s="148">
        <f t="shared" ref="AT64:AT74" si="148">AP64/87</f>
        <v>1.4942528735632183</v>
      </c>
      <c r="AU64" s="138">
        <v>200</v>
      </c>
      <c r="AV64" s="138">
        <v>510</v>
      </c>
      <c r="AW64" s="139"/>
      <c r="AX64" s="139"/>
      <c r="AY64" s="148">
        <f t="shared" ref="AY64:AY74" si="149">AU64/89</f>
        <v>2.2471910112359552</v>
      </c>
      <c r="AZ64" s="148">
        <f t="shared" ref="AZ64:AZ74" si="150">AV64/256</f>
        <v>1.9921875</v>
      </c>
      <c r="BA64" s="56">
        <v>64</v>
      </c>
      <c r="BB64" s="56">
        <v>180</v>
      </c>
      <c r="BC64" s="139"/>
      <c r="BD64" s="139"/>
      <c r="BE64" s="148">
        <f t="shared" ref="BE64:BE74" si="151">BA64/39</f>
        <v>1.641025641025641</v>
      </c>
      <c r="BF64" s="148">
        <f t="shared" ref="BF64:BF74" si="152">BB64/123</f>
        <v>1.4634146341463414</v>
      </c>
      <c r="BG64" s="56">
        <v>260</v>
      </c>
      <c r="BH64" s="56">
        <v>710</v>
      </c>
      <c r="BI64" s="139"/>
      <c r="BJ64" s="139"/>
      <c r="BK64" s="148">
        <f t="shared" ref="BK64:BK74" si="153">BG64/141</f>
        <v>1.8439716312056738</v>
      </c>
      <c r="BL64" s="148">
        <f t="shared" ref="BL64:BL74" si="154">BH64/410</f>
        <v>1.7317073170731707</v>
      </c>
      <c r="BM64" s="138"/>
      <c r="BN64" s="138"/>
      <c r="BO64" s="139"/>
      <c r="BP64" s="139"/>
      <c r="BQ64" s="148"/>
      <c r="BR64" s="148"/>
      <c r="BS64" s="138"/>
      <c r="BT64" s="138"/>
      <c r="BU64" s="139"/>
      <c r="BV64" s="139"/>
      <c r="BW64" s="148"/>
      <c r="BX64" s="148"/>
      <c r="BY64" s="139"/>
      <c r="BZ64" s="139"/>
      <c r="CA64" s="139"/>
      <c r="CB64" s="148">
        <f t="shared" si="133"/>
        <v>0</v>
      </c>
      <c r="CC64" s="139"/>
      <c r="CD64" s="139"/>
      <c r="CE64" s="139"/>
      <c r="CF64" s="148">
        <f t="shared" si="134"/>
        <v>0</v>
      </c>
      <c r="CG64" s="139"/>
      <c r="CH64" s="139"/>
      <c r="CI64" s="139"/>
      <c r="CJ64" s="148">
        <f t="shared" si="135"/>
        <v>0</v>
      </c>
    </row>
    <row r="65" spans="2:88" ht="9.9499999999999993" customHeight="1" x14ac:dyDescent="0.15">
      <c r="B65" s="142">
        <v>41801</v>
      </c>
      <c r="C65" s="139">
        <v>5858.5930028990097</v>
      </c>
      <c r="D65" s="139"/>
      <c r="E65" s="148">
        <f t="shared" si="137"/>
        <v>8.6634819042041428E-2</v>
      </c>
      <c r="F65" s="138">
        <v>3717.2</v>
      </c>
      <c r="G65" s="139"/>
      <c r="H65" s="148">
        <f t="shared" si="138"/>
        <v>8.9891661830141217E-2</v>
      </c>
      <c r="I65" s="139">
        <v>7912.5284262680552</v>
      </c>
      <c r="J65" s="139"/>
      <c r="K65" s="148">
        <f t="shared" si="130"/>
        <v>8.6217539022686765E-2</v>
      </c>
      <c r="L65" s="148">
        <f t="shared" si="139"/>
        <v>8.4439032583137383E-2</v>
      </c>
      <c r="M65" s="139">
        <v>10019.113411152166</v>
      </c>
      <c r="N65" s="139"/>
      <c r="O65" s="148">
        <f t="shared" si="131"/>
        <v>8.4550193766632337E-2</v>
      </c>
      <c r="P65" s="148">
        <f t="shared" si="136"/>
        <v>8.4439032583137383E-2</v>
      </c>
      <c r="Q65" s="139">
        <v>11566.289805172994</v>
      </c>
      <c r="R65" s="139"/>
      <c r="S65" s="148">
        <f t="shared" si="132"/>
        <v>8.3242457952838092E-2</v>
      </c>
      <c r="T65" s="148">
        <f t="shared" si="140"/>
        <v>8.3242457952838092E-2</v>
      </c>
      <c r="V65" s="142">
        <v>41801</v>
      </c>
      <c r="W65" s="139">
        <v>110</v>
      </c>
      <c r="X65" s="139">
        <v>330</v>
      </c>
      <c r="Y65" s="139"/>
      <c r="Z65" s="139"/>
      <c r="AA65" s="148">
        <f t="shared" si="141"/>
        <v>1.6417910447761195</v>
      </c>
      <c r="AB65" s="148">
        <f t="shared" si="142"/>
        <v>1.6176470588235294</v>
      </c>
      <c r="AC65" s="138">
        <v>19</v>
      </c>
      <c r="AD65" s="138">
        <v>59</v>
      </c>
      <c r="AE65" s="139"/>
      <c r="AF65" s="139"/>
      <c r="AG65" s="148">
        <f t="shared" si="143"/>
        <v>0.82608695652173914</v>
      </c>
      <c r="AH65" s="148">
        <f t="shared" si="144"/>
        <v>0.86764705882352944</v>
      </c>
      <c r="AI65" s="138">
        <v>180</v>
      </c>
      <c r="AJ65" s="138">
        <v>550</v>
      </c>
      <c r="AK65" s="139"/>
      <c r="AL65" s="139"/>
      <c r="AM65" s="148">
        <f t="shared" si="145"/>
        <v>1.0843373493975903</v>
      </c>
      <c r="AN65" s="148">
        <f t="shared" si="146"/>
        <v>1.0826771653543308</v>
      </c>
      <c r="AO65" s="138">
        <v>40</v>
      </c>
      <c r="AP65" s="138">
        <v>110</v>
      </c>
      <c r="AQ65" s="139"/>
      <c r="AR65" s="139"/>
      <c r="AS65" s="148">
        <f t="shared" si="147"/>
        <v>1.3793103448275863</v>
      </c>
      <c r="AT65" s="148">
        <f t="shared" si="148"/>
        <v>1.264367816091954</v>
      </c>
      <c r="AU65" s="138">
        <v>140</v>
      </c>
      <c r="AV65" s="138">
        <v>400</v>
      </c>
      <c r="AW65" s="139"/>
      <c r="AX65" s="139"/>
      <c r="AY65" s="148">
        <f t="shared" si="149"/>
        <v>1.5730337078651686</v>
      </c>
      <c r="AZ65" s="148">
        <f t="shared" si="150"/>
        <v>1.5625</v>
      </c>
      <c r="BA65" s="56">
        <v>56</v>
      </c>
      <c r="BB65" s="56">
        <v>180</v>
      </c>
      <c r="BC65" s="139"/>
      <c r="BD65" s="139"/>
      <c r="BE65" s="148">
        <f t="shared" si="151"/>
        <v>1.4358974358974359</v>
      </c>
      <c r="BF65" s="148">
        <f t="shared" si="152"/>
        <v>1.4634146341463414</v>
      </c>
      <c r="BG65" s="56">
        <v>220</v>
      </c>
      <c r="BH65" s="56">
        <v>580</v>
      </c>
      <c r="BI65" s="139"/>
      <c r="BJ65" s="139"/>
      <c r="BK65" s="148">
        <f t="shared" si="153"/>
        <v>1.5602836879432624</v>
      </c>
      <c r="BL65" s="148">
        <f t="shared" si="154"/>
        <v>1.4146341463414633</v>
      </c>
      <c r="BM65" s="138"/>
      <c r="BN65" s="138"/>
      <c r="BO65" s="139"/>
      <c r="BP65" s="139"/>
      <c r="BQ65" s="148"/>
      <c r="BR65" s="148"/>
      <c r="BS65" s="138"/>
      <c r="BT65" s="138"/>
      <c r="BU65" s="139"/>
      <c r="BV65" s="139"/>
      <c r="BW65" s="148"/>
      <c r="BX65" s="148"/>
      <c r="BY65" s="139"/>
      <c r="BZ65" s="139"/>
      <c r="CA65" s="139"/>
      <c r="CB65" s="148">
        <f t="shared" si="133"/>
        <v>0</v>
      </c>
      <c r="CC65" s="139"/>
      <c r="CD65" s="139"/>
      <c r="CE65" s="139"/>
      <c r="CF65" s="148">
        <f t="shared" si="134"/>
        <v>0</v>
      </c>
      <c r="CG65" s="139"/>
      <c r="CH65" s="139"/>
      <c r="CI65" s="139"/>
      <c r="CJ65" s="148">
        <f t="shared" si="135"/>
        <v>0</v>
      </c>
    </row>
    <row r="66" spans="2:88" ht="9.9499999999999993" customHeight="1" x14ac:dyDescent="0.15">
      <c r="B66" s="142">
        <v>41829</v>
      </c>
      <c r="C66" s="139">
        <v>6078.7755614467223</v>
      </c>
      <c r="D66" s="139"/>
      <c r="E66" s="148">
        <f t="shared" si="137"/>
        <v>8.989080151198868E-2</v>
      </c>
      <c r="F66" s="138">
        <v>3963.2</v>
      </c>
      <c r="G66" s="139"/>
      <c r="H66" s="148">
        <f t="shared" si="138"/>
        <v>9.5840588121493514E-2</v>
      </c>
      <c r="I66" s="139">
        <v>8763.2502969192374</v>
      </c>
      <c r="J66" s="139"/>
      <c r="K66" s="148">
        <f t="shared" si="130"/>
        <v>9.5487287215542935E-2</v>
      </c>
      <c r="L66" s="148">
        <f t="shared" si="139"/>
        <v>9.3517563222803385E-2</v>
      </c>
      <c r="M66" s="139">
        <v>11096.326464201737</v>
      </c>
      <c r="N66" s="139"/>
      <c r="O66" s="148">
        <f t="shared" si="131"/>
        <v>9.3640675990529346E-2</v>
      </c>
      <c r="P66" s="148">
        <f t="shared" si="136"/>
        <v>9.3517563222803399E-2</v>
      </c>
      <c r="Q66" s="139">
        <v>12809.848775133163</v>
      </c>
      <c r="R66" s="139"/>
      <c r="S66" s="148">
        <f t="shared" si="132"/>
        <v>9.2192337906778582E-2</v>
      </c>
      <c r="T66" s="148">
        <f t="shared" si="140"/>
        <v>9.2192337906778582E-2</v>
      </c>
      <c r="V66" s="142">
        <v>41829</v>
      </c>
      <c r="W66" s="139">
        <v>91</v>
      </c>
      <c r="X66" s="139">
        <v>290</v>
      </c>
      <c r="Y66" s="139"/>
      <c r="Z66" s="139"/>
      <c r="AA66" s="148">
        <f t="shared" si="141"/>
        <v>1.3582089552238805</v>
      </c>
      <c r="AB66" s="148">
        <f t="shared" si="142"/>
        <v>1.4215686274509804</v>
      </c>
      <c r="AC66" s="138">
        <v>44</v>
      </c>
      <c r="AD66" s="138">
        <v>130</v>
      </c>
      <c r="AE66" s="139"/>
      <c r="AF66" s="139"/>
      <c r="AG66" s="148">
        <f t="shared" si="143"/>
        <v>1.9130434782608696</v>
      </c>
      <c r="AH66" s="148">
        <f t="shared" si="144"/>
        <v>1.911764705882353</v>
      </c>
      <c r="AI66" s="138">
        <v>250</v>
      </c>
      <c r="AJ66" s="138">
        <v>720</v>
      </c>
      <c r="AK66" s="139"/>
      <c r="AL66" s="139"/>
      <c r="AM66" s="148">
        <f t="shared" si="145"/>
        <v>1.5060240963855422</v>
      </c>
      <c r="AN66" s="148">
        <f t="shared" si="146"/>
        <v>1.4173228346456692</v>
      </c>
      <c r="AO66" s="138">
        <v>50</v>
      </c>
      <c r="AP66" s="138">
        <v>140</v>
      </c>
      <c r="AQ66" s="139"/>
      <c r="AR66" s="139"/>
      <c r="AS66" s="148">
        <f t="shared" si="147"/>
        <v>1.7241379310344827</v>
      </c>
      <c r="AT66" s="148">
        <f t="shared" si="148"/>
        <v>1.6091954022988506</v>
      </c>
      <c r="AU66" s="138">
        <v>56</v>
      </c>
      <c r="AV66" s="138">
        <v>160</v>
      </c>
      <c r="AW66" s="139"/>
      <c r="AX66" s="139"/>
      <c r="AY66" s="148">
        <f t="shared" si="149"/>
        <v>0.6292134831460674</v>
      </c>
      <c r="AZ66" s="148">
        <f t="shared" si="150"/>
        <v>0.625</v>
      </c>
      <c r="BA66" s="56">
        <v>60</v>
      </c>
      <c r="BB66" s="56">
        <v>180</v>
      </c>
      <c r="BC66" s="139"/>
      <c r="BD66" s="139"/>
      <c r="BE66" s="148">
        <f t="shared" si="151"/>
        <v>1.5384615384615385</v>
      </c>
      <c r="BF66" s="148">
        <f t="shared" si="152"/>
        <v>1.4634146341463414</v>
      </c>
      <c r="BG66" s="56">
        <v>150</v>
      </c>
      <c r="BH66" s="56">
        <v>430</v>
      </c>
      <c r="BI66" s="139"/>
      <c r="BJ66" s="139"/>
      <c r="BK66" s="148">
        <f t="shared" si="153"/>
        <v>1.0638297872340425</v>
      </c>
      <c r="BL66" s="148">
        <f t="shared" si="154"/>
        <v>1.0487804878048781</v>
      </c>
      <c r="BM66" s="138"/>
      <c r="BN66" s="138"/>
      <c r="BO66" s="139"/>
      <c r="BP66" s="139"/>
      <c r="BQ66" s="148"/>
      <c r="BR66" s="148"/>
      <c r="BS66" s="138"/>
      <c r="BT66" s="138"/>
      <c r="BU66" s="139"/>
      <c r="BV66" s="139"/>
      <c r="BW66" s="148"/>
      <c r="BX66" s="148"/>
      <c r="BY66" s="139"/>
      <c r="BZ66" s="139"/>
      <c r="CA66" s="139"/>
      <c r="CB66" s="148">
        <f t="shared" si="133"/>
        <v>0</v>
      </c>
      <c r="CC66" s="139"/>
      <c r="CD66" s="139"/>
      <c r="CE66" s="139"/>
      <c r="CF66" s="148">
        <f t="shared" si="134"/>
        <v>0</v>
      </c>
      <c r="CG66" s="139"/>
      <c r="CH66" s="139"/>
      <c r="CI66" s="139"/>
      <c r="CJ66" s="148">
        <f t="shared" si="135"/>
        <v>0</v>
      </c>
    </row>
    <row r="67" spans="2:88" ht="9.9499999999999993" customHeight="1" x14ac:dyDescent="0.15">
      <c r="B67" s="142">
        <v>41857</v>
      </c>
      <c r="C67" s="139">
        <v>6415.7542914436672</v>
      </c>
      <c r="D67" s="139"/>
      <c r="E67" s="148">
        <f t="shared" si="137"/>
        <v>9.4873924811363822E-2</v>
      </c>
      <c r="F67" s="139">
        <v>3892.13</v>
      </c>
      <c r="G67" s="139"/>
      <c r="H67" s="148">
        <f t="shared" si="138"/>
        <v>9.4121928806345526E-2</v>
      </c>
      <c r="I67" s="139">
        <v>8350.9579334421032</v>
      </c>
      <c r="J67" s="147">
        <f>SUM(I56:I67)</f>
        <v>91774.029341846632</v>
      </c>
      <c r="K67" s="148">
        <f t="shared" si="130"/>
        <v>9.0994812620590837E-2</v>
      </c>
      <c r="L67" s="148">
        <f t="shared" si="139"/>
        <v>8.9117759969288349E-2</v>
      </c>
      <c r="M67" s="139">
        <v>10574.26780915591</v>
      </c>
      <c r="N67" s="147">
        <f>SUM(M56:M67)</f>
        <v>118499.35476013069</v>
      </c>
      <c r="O67" s="148">
        <f t="shared" si="131"/>
        <v>8.9235080542079764E-2</v>
      </c>
      <c r="P67" s="148">
        <f t="shared" si="136"/>
        <v>8.9117759969288363E-2</v>
      </c>
      <c r="Q67" s="139">
        <v>12207.17252507318</v>
      </c>
      <c r="R67" s="147">
        <f>SUM(Q56:Q67)</f>
        <v>138946.61804695381</v>
      </c>
      <c r="S67" s="148">
        <f t="shared" si="132"/>
        <v>8.7854883697187997E-2</v>
      </c>
      <c r="T67" s="148">
        <f t="shared" si="140"/>
        <v>8.7854883697187997E-2</v>
      </c>
      <c r="V67" s="142">
        <v>41857</v>
      </c>
      <c r="W67" s="139">
        <v>74</v>
      </c>
      <c r="X67" s="139">
        <v>220</v>
      </c>
      <c r="Y67" s="139"/>
      <c r="Z67" s="139"/>
      <c r="AA67" s="148">
        <f t="shared" si="141"/>
        <v>1.1044776119402986</v>
      </c>
      <c r="AB67" s="148">
        <f t="shared" si="142"/>
        <v>1.0784313725490196</v>
      </c>
      <c r="AC67" s="139">
        <v>29</v>
      </c>
      <c r="AD67" s="139">
        <v>74</v>
      </c>
      <c r="AE67" s="139"/>
      <c r="AF67" s="139"/>
      <c r="AG67" s="148">
        <f t="shared" si="143"/>
        <v>1.2608695652173914</v>
      </c>
      <c r="AH67" s="148">
        <f t="shared" si="144"/>
        <v>1.088235294117647</v>
      </c>
      <c r="AI67" s="139">
        <v>160</v>
      </c>
      <c r="AJ67" s="139">
        <v>480</v>
      </c>
      <c r="AK67" s="139"/>
      <c r="AL67" s="139"/>
      <c r="AM67" s="148">
        <f t="shared" si="145"/>
        <v>0.96385542168674698</v>
      </c>
      <c r="AN67" s="148">
        <f t="shared" si="146"/>
        <v>0.94488188976377951</v>
      </c>
      <c r="AO67" s="139">
        <v>42</v>
      </c>
      <c r="AP67" s="139">
        <v>140</v>
      </c>
      <c r="AQ67" s="139"/>
      <c r="AR67" s="139"/>
      <c r="AS67" s="148">
        <f t="shared" si="147"/>
        <v>1.4482758620689655</v>
      </c>
      <c r="AT67" s="148">
        <f t="shared" si="148"/>
        <v>1.6091954022988506</v>
      </c>
      <c r="AU67" s="139">
        <v>100</v>
      </c>
      <c r="AV67" s="139">
        <v>300</v>
      </c>
      <c r="AW67" s="139"/>
      <c r="AX67" s="139"/>
      <c r="AY67" s="148">
        <f t="shared" si="149"/>
        <v>1.1235955056179776</v>
      </c>
      <c r="AZ67" s="148">
        <f t="shared" si="150"/>
        <v>1.171875</v>
      </c>
      <c r="BA67" s="56">
        <v>52</v>
      </c>
      <c r="BB67" s="56">
        <v>160</v>
      </c>
      <c r="BC67" s="139"/>
      <c r="BD67" s="139"/>
      <c r="BE67" s="148">
        <f t="shared" si="151"/>
        <v>1.3333333333333333</v>
      </c>
      <c r="BF67" s="148">
        <f t="shared" si="152"/>
        <v>1.3008130081300813</v>
      </c>
      <c r="BG67" s="56">
        <v>150</v>
      </c>
      <c r="BH67" s="56">
        <v>430</v>
      </c>
      <c r="BI67" s="139"/>
      <c r="BJ67" s="139"/>
      <c r="BK67" s="148">
        <f t="shared" si="153"/>
        <v>1.0638297872340425</v>
      </c>
      <c r="BL67" s="148">
        <f t="shared" si="154"/>
        <v>1.0487804878048781</v>
      </c>
      <c r="BM67" s="139"/>
      <c r="BN67" s="139"/>
      <c r="BO67" s="139"/>
      <c r="BP67" s="139"/>
      <c r="BQ67" s="148"/>
      <c r="BR67" s="148"/>
      <c r="BS67" s="139"/>
      <c r="BT67" s="139"/>
      <c r="BU67" s="139"/>
      <c r="BV67" s="139"/>
      <c r="BW67" s="148"/>
      <c r="BX67" s="148"/>
      <c r="BY67" s="139"/>
      <c r="BZ67" s="139"/>
      <c r="CA67" s="147">
        <f>SUM(BY56:BY67)</f>
        <v>0</v>
      </c>
      <c r="CB67" s="148">
        <f t="shared" si="133"/>
        <v>0</v>
      </c>
      <c r="CC67" s="139"/>
      <c r="CD67" s="139"/>
      <c r="CE67" s="147">
        <f>SUM(CC56:CC67)</f>
        <v>0</v>
      </c>
      <c r="CF67" s="148">
        <f t="shared" si="134"/>
        <v>0</v>
      </c>
      <c r="CG67" s="139"/>
      <c r="CH67" s="139"/>
      <c r="CI67" s="147">
        <f>SUM(CG56:CG67)</f>
        <v>0</v>
      </c>
      <c r="CJ67" s="148">
        <f t="shared" si="135"/>
        <v>0</v>
      </c>
    </row>
    <row r="68" spans="2:88" ht="9.9499999999999993" customHeight="1" x14ac:dyDescent="0.15">
      <c r="B68" s="142">
        <v>41892</v>
      </c>
      <c r="C68" s="139">
        <v>5740.4185722325992</v>
      </c>
      <c r="D68" s="139"/>
      <c r="E68" s="148">
        <f t="shared" si="137"/>
        <v>8.488729699858924E-2</v>
      </c>
      <c r="F68" s="139">
        <v>3780.22</v>
      </c>
      <c r="G68" s="139"/>
      <c r="H68" s="148">
        <f t="shared" si="138"/>
        <v>9.1415650996324233E-2</v>
      </c>
      <c r="I68" s="139">
        <v>8393.957750491867</v>
      </c>
      <c r="J68" s="139"/>
      <c r="K68" s="148">
        <f>I68/94827</f>
        <v>8.8518647120460064E-2</v>
      </c>
      <c r="L68" s="148">
        <f t="shared" si="139"/>
        <v>8.9576635155237783E-2</v>
      </c>
      <c r="M68" s="139">
        <v>10628.715644344738</v>
      </c>
      <c r="N68" s="139"/>
      <c r="O68" s="148">
        <f>M68/113756</f>
        <v>9.3434330007601693E-2</v>
      </c>
      <c r="P68" s="148">
        <f t="shared" si="136"/>
        <v>8.9576635155237783E-2</v>
      </c>
      <c r="Q68" s="139">
        <v>12270.028330294161</v>
      </c>
      <c r="R68" s="139"/>
      <c r="S68" s="148">
        <f>Q68/137220</f>
        <v>8.9418658579610552E-2</v>
      </c>
      <c r="T68" s="148">
        <f t="shared" si="140"/>
        <v>8.8307256222114619E-2</v>
      </c>
      <c r="V68" s="142">
        <v>41892</v>
      </c>
      <c r="W68" s="139">
        <v>72</v>
      </c>
      <c r="X68" s="139">
        <v>230</v>
      </c>
      <c r="Y68" s="139"/>
      <c r="Z68" s="139"/>
      <c r="AA68" s="148">
        <f t="shared" si="141"/>
        <v>1.0746268656716418</v>
      </c>
      <c r="AB68" s="148">
        <f t="shared" si="142"/>
        <v>1.1274509803921569</v>
      </c>
      <c r="AC68" s="139">
        <v>33</v>
      </c>
      <c r="AD68" s="139">
        <v>100</v>
      </c>
      <c r="AE68" s="139"/>
      <c r="AF68" s="139"/>
      <c r="AG68" s="148">
        <f t="shared" si="143"/>
        <v>1.4347826086956521</v>
      </c>
      <c r="AH68" s="148">
        <f t="shared" si="144"/>
        <v>1.4705882352941178</v>
      </c>
      <c r="AI68" s="139">
        <v>180</v>
      </c>
      <c r="AJ68" s="139">
        <v>540</v>
      </c>
      <c r="AK68" s="139"/>
      <c r="AL68" s="139"/>
      <c r="AM68" s="148">
        <f t="shared" si="145"/>
        <v>1.0843373493975903</v>
      </c>
      <c r="AN68" s="148">
        <f t="shared" si="146"/>
        <v>1.0629921259842521</v>
      </c>
      <c r="AO68" s="139">
        <v>30</v>
      </c>
      <c r="AP68" s="139">
        <v>96</v>
      </c>
      <c r="AQ68" s="139"/>
      <c r="AR68" s="139"/>
      <c r="AS68" s="148">
        <f t="shared" si="147"/>
        <v>1.0344827586206897</v>
      </c>
      <c r="AT68" s="148">
        <f t="shared" si="148"/>
        <v>1.103448275862069</v>
      </c>
      <c r="AU68" s="139">
        <v>110</v>
      </c>
      <c r="AV68" s="139">
        <v>310</v>
      </c>
      <c r="AW68" s="139"/>
      <c r="AX68" s="139"/>
      <c r="AY68" s="148">
        <f t="shared" si="149"/>
        <v>1.2359550561797752</v>
      </c>
      <c r="AZ68" s="148">
        <f t="shared" si="150"/>
        <v>1.2109375</v>
      </c>
      <c r="BA68" s="56">
        <v>38</v>
      </c>
      <c r="BB68" s="56">
        <v>120</v>
      </c>
      <c r="BC68" s="139"/>
      <c r="BD68" s="139"/>
      <c r="BE68" s="148">
        <f t="shared" si="151"/>
        <v>0.97435897435897434</v>
      </c>
      <c r="BF68" s="148">
        <f t="shared" si="152"/>
        <v>0.97560975609756095</v>
      </c>
      <c r="BG68" s="56">
        <v>130</v>
      </c>
      <c r="BH68" s="56">
        <v>370</v>
      </c>
      <c r="BI68" s="139"/>
      <c r="BJ68" s="139"/>
      <c r="BK68" s="148">
        <f t="shared" si="153"/>
        <v>0.92198581560283688</v>
      </c>
      <c r="BL68" s="148">
        <f t="shared" si="154"/>
        <v>0.90243902439024393</v>
      </c>
      <c r="BM68" s="139"/>
      <c r="BN68" s="139"/>
      <c r="BO68" s="139"/>
      <c r="BP68" s="139"/>
      <c r="BQ68" s="148"/>
      <c r="BR68" s="148"/>
      <c r="BS68" s="139"/>
      <c r="BT68" s="139"/>
      <c r="BU68" s="139"/>
      <c r="BV68" s="139"/>
      <c r="BW68" s="148"/>
      <c r="BX68" s="148"/>
      <c r="BY68" s="139"/>
      <c r="BZ68" s="139"/>
      <c r="CA68" s="139"/>
      <c r="CB68" s="148">
        <f>BY68/94827</f>
        <v>0</v>
      </c>
      <c r="CC68" s="139"/>
      <c r="CD68" s="139"/>
      <c r="CE68" s="139"/>
      <c r="CF68" s="148">
        <f>CC68/113756</f>
        <v>0</v>
      </c>
      <c r="CG68" s="139"/>
      <c r="CH68" s="139"/>
      <c r="CI68" s="139"/>
      <c r="CJ68" s="148">
        <f>CG68/137220</f>
        <v>0</v>
      </c>
    </row>
    <row r="69" spans="2:88" ht="9.9499999999999993" customHeight="1" x14ac:dyDescent="0.15">
      <c r="B69" s="142">
        <v>41920</v>
      </c>
      <c r="C69" s="139">
        <v>5844.0591464817899</v>
      </c>
      <c r="D69" s="139"/>
      <c r="E69" s="148">
        <f t="shared" si="137"/>
        <v>8.6419897469563911E-2</v>
      </c>
      <c r="F69" s="139">
        <v>3844.77</v>
      </c>
      <c r="G69" s="139"/>
      <c r="H69" s="148">
        <f t="shared" si="138"/>
        <v>9.2976639582124196E-2</v>
      </c>
      <c r="I69" s="139">
        <v>8218.5859476222467</v>
      </c>
      <c r="J69" s="139"/>
      <c r="K69" s="148">
        <f t="shared" ref="K69:K79" si="155">I69/94827</f>
        <v>8.6669260312171079E-2</v>
      </c>
      <c r="L69" s="148">
        <f t="shared" si="139"/>
        <v>8.7705144200777393E-2</v>
      </c>
      <c r="M69" s="139">
        <v>10406.653885143241</v>
      </c>
      <c r="N69" s="139"/>
      <c r="O69" s="148">
        <f t="shared" ref="O69:O79" si="156">M69/113756</f>
        <v>9.1482241685214336E-2</v>
      </c>
      <c r="P69" s="148">
        <f t="shared" si="136"/>
        <v>8.7705144200777393E-2</v>
      </c>
      <c r="Q69" s="139">
        <v>12013.675242334086</v>
      </c>
      <c r="R69" s="139"/>
      <c r="S69" s="148">
        <f t="shared" ref="S69:S79" si="157">Q69/137220</f>
        <v>8.755046817034022E-2</v>
      </c>
      <c r="T69" s="148">
        <f t="shared" si="140"/>
        <v>8.646228592437466E-2</v>
      </c>
      <c r="V69" s="142">
        <v>41920</v>
      </c>
      <c r="W69" s="139">
        <v>63</v>
      </c>
      <c r="X69" s="139">
        <v>200</v>
      </c>
      <c r="Y69" s="139"/>
      <c r="Z69" s="139"/>
      <c r="AA69" s="148">
        <f t="shared" si="141"/>
        <v>0.94029850746268662</v>
      </c>
      <c r="AB69" s="148">
        <f t="shared" si="142"/>
        <v>0.98039215686274506</v>
      </c>
      <c r="AC69" s="139">
        <v>34</v>
      </c>
      <c r="AD69" s="139">
        <v>110</v>
      </c>
      <c r="AE69" s="139"/>
      <c r="AF69" s="139"/>
      <c r="AG69" s="148">
        <f t="shared" si="143"/>
        <v>1.4782608695652173</v>
      </c>
      <c r="AH69" s="148">
        <f t="shared" si="144"/>
        <v>1.6176470588235294</v>
      </c>
      <c r="AI69" s="139">
        <v>220</v>
      </c>
      <c r="AJ69" s="139">
        <v>710</v>
      </c>
      <c r="AK69" s="139"/>
      <c r="AL69" s="139"/>
      <c r="AM69" s="148">
        <f t="shared" si="145"/>
        <v>1.3253012048192772</v>
      </c>
      <c r="AN69" s="148">
        <f t="shared" si="146"/>
        <v>1.3976377952755905</v>
      </c>
      <c r="AO69" s="139">
        <v>32</v>
      </c>
      <c r="AP69" s="139">
        <v>98</v>
      </c>
      <c r="AQ69" s="139"/>
      <c r="AR69" s="139"/>
      <c r="AS69" s="148">
        <f t="shared" si="147"/>
        <v>1.103448275862069</v>
      </c>
      <c r="AT69" s="148">
        <f t="shared" si="148"/>
        <v>1.1264367816091954</v>
      </c>
      <c r="AU69" s="139">
        <v>81</v>
      </c>
      <c r="AV69" s="139">
        <v>240</v>
      </c>
      <c r="AW69" s="139"/>
      <c r="AX69" s="139"/>
      <c r="AY69" s="148">
        <f t="shared" si="149"/>
        <v>0.9101123595505618</v>
      </c>
      <c r="AZ69" s="148">
        <f t="shared" si="150"/>
        <v>0.9375</v>
      </c>
      <c r="BA69" s="56">
        <v>38</v>
      </c>
      <c r="BB69" s="56">
        <v>140</v>
      </c>
      <c r="BC69" s="139"/>
      <c r="BD69" s="139"/>
      <c r="BE69" s="148">
        <f t="shared" si="151"/>
        <v>0.97435897435897434</v>
      </c>
      <c r="BF69" s="148">
        <f t="shared" si="152"/>
        <v>1.1382113821138211</v>
      </c>
      <c r="BG69" s="56">
        <v>150</v>
      </c>
      <c r="BH69" s="56">
        <v>440</v>
      </c>
      <c r="BI69" s="139"/>
      <c r="BJ69" s="139"/>
      <c r="BK69" s="148">
        <f t="shared" si="153"/>
        <v>1.0638297872340425</v>
      </c>
      <c r="BL69" s="148">
        <f t="shared" si="154"/>
        <v>1.0731707317073171</v>
      </c>
      <c r="BM69" s="139"/>
      <c r="BN69" s="139"/>
      <c r="BO69" s="139"/>
      <c r="BP69" s="139"/>
      <c r="BQ69" s="148"/>
      <c r="BR69" s="148"/>
      <c r="BS69" s="139"/>
      <c r="BT69" s="139"/>
      <c r="BU69" s="139"/>
      <c r="BV69" s="139"/>
      <c r="BW69" s="148"/>
      <c r="BX69" s="148"/>
      <c r="BY69" s="139"/>
      <c r="BZ69" s="139"/>
      <c r="CA69" s="139"/>
      <c r="CB69" s="148">
        <f t="shared" ref="CB69:CB79" si="158">BY69/94827</f>
        <v>0</v>
      </c>
      <c r="CC69" s="139"/>
      <c r="CD69" s="139"/>
      <c r="CE69" s="139"/>
      <c r="CF69" s="148">
        <f t="shared" ref="CF69:CF79" si="159">CC69/113756</f>
        <v>0</v>
      </c>
      <c r="CG69" s="139"/>
      <c r="CH69" s="139"/>
      <c r="CI69" s="139"/>
      <c r="CJ69" s="148">
        <f t="shared" ref="CJ69:CJ79" si="160">CG69/137220</f>
        <v>0</v>
      </c>
    </row>
    <row r="70" spans="2:88" ht="9.9499999999999993" customHeight="1" x14ac:dyDescent="0.15">
      <c r="B70" s="142">
        <v>41948</v>
      </c>
      <c r="C70" s="139">
        <v>5455.4973707009112</v>
      </c>
      <c r="D70" s="139"/>
      <c r="E70" s="148">
        <f t="shared" si="137"/>
        <v>8.0673982176459713E-2</v>
      </c>
      <c r="F70" s="138">
        <v>3193.13</v>
      </c>
      <c r="G70" s="139"/>
      <c r="H70" s="148">
        <f t="shared" si="138"/>
        <v>7.7218272393112797E-2</v>
      </c>
      <c r="I70" s="139">
        <v>7370.6745225298719</v>
      </c>
      <c r="J70" s="139"/>
      <c r="K70" s="148">
        <f t="shared" si="155"/>
        <v>7.7727593644530274E-2</v>
      </c>
      <c r="L70" s="148">
        <f t="shared" si="139"/>
        <v>7.865660540333029E-2</v>
      </c>
      <c r="M70" s="139">
        <v>9332.999514132156</v>
      </c>
      <c r="N70" s="139"/>
      <c r="O70" s="148">
        <f t="shared" si="156"/>
        <v>8.2044019780338234E-2</v>
      </c>
      <c r="P70" s="148">
        <f t="shared" si="136"/>
        <v>7.865660540333029E-2</v>
      </c>
      <c r="Q70" s="139">
        <v>10774.224494937376</v>
      </c>
      <c r="R70" s="139"/>
      <c r="S70" s="148">
        <f t="shared" si="157"/>
        <v>7.8517887297313627E-2</v>
      </c>
      <c r="T70" s="148">
        <f t="shared" si="140"/>
        <v>7.7541972802128697E-2</v>
      </c>
      <c r="V70" s="142">
        <v>41948</v>
      </c>
      <c r="W70" s="139">
        <v>60</v>
      </c>
      <c r="X70" s="139">
        <v>190</v>
      </c>
      <c r="Y70" s="139"/>
      <c r="Z70" s="139"/>
      <c r="AA70" s="148">
        <f t="shared" si="141"/>
        <v>0.89552238805970152</v>
      </c>
      <c r="AB70" s="148">
        <f t="shared" si="142"/>
        <v>0.93137254901960786</v>
      </c>
      <c r="AC70" s="138">
        <v>14</v>
      </c>
      <c r="AD70" s="138">
        <v>38</v>
      </c>
      <c r="AE70" s="139"/>
      <c r="AF70" s="139"/>
      <c r="AG70" s="148">
        <f t="shared" si="143"/>
        <v>0.60869565217391308</v>
      </c>
      <c r="AH70" s="148">
        <f t="shared" si="144"/>
        <v>0.55882352941176472</v>
      </c>
      <c r="AI70" s="138">
        <v>140</v>
      </c>
      <c r="AJ70" s="138">
        <v>460</v>
      </c>
      <c r="AK70" s="139"/>
      <c r="AL70" s="139"/>
      <c r="AM70" s="148">
        <f t="shared" si="145"/>
        <v>0.84337349397590367</v>
      </c>
      <c r="AN70" s="148">
        <f t="shared" si="146"/>
        <v>0.90551181102362199</v>
      </c>
      <c r="AO70" s="138">
        <v>23</v>
      </c>
      <c r="AP70" s="138">
        <v>68</v>
      </c>
      <c r="AQ70" s="139"/>
      <c r="AR70" s="139"/>
      <c r="AS70" s="148">
        <f t="shared" si="147"/>
        <v>0.7931034482758621</v>
      </c>
      <c r="AT70" s="148">
        <f t="shared" si="148"/>
        <v>0.7816091954022989</v>
      </c>
      <c r="AU70" s="138">
        <v>78</v>
      </c>
      <c r="AV70" s="138">
        <v>270</v>
      </c>
      <c r="AW70" s="139"/>
      <c r="AX70" s="139"/>
      <c r="AY70" s="148">
        <f t="shared" si="149"/>
        <v>0.8764044943820225</v>
      </c>
      <c r="AZ70" s="148">
        <f t="shared" si="150"/>
        <v>1.0546875</v>
      </c>
      <c r="BA70" s="56">
        <v>38</v>
      </c>
      <c r="BB70" s="56">
        <v>140</v>
      </c>
      <c r="BC70" s="139"/>
      <c r="BD70" s="139"/>
      <c r="BE70" s="148">
        <f t="shared" si="151"/>
        <v>0.97435897435897434</v>
      </c>
      <c r="BF70" s="148">
        <f t="shared" si="152"/>
        <v>1.1382113821138211</v>
      </c>
      <c r="BG70" s="56">
        <v>150</v>
      </c>
      <c r="BH70" s="56">
        <v>440</v>
      </c>
      <c r="BI70" s="139"/>
      <c r="BJ70" s="139"/>
      <c r="BK70" s="148">
        <f t="shared" si="153"/>
        <v>1.0638297872340425</v>
      </c>
      <c r="BL70" s="148">
        <f t="shared" si="154"/>
        <v>1.0731707317073171</v>
      </c>
      <c r="BM70" s="138"/>
      <c r="BN70" s="138"/>
      <c r="BO70" s="139"/>
      <c r="BP70" s="139"/>
      <c r="BQ70" s="148"/>
      <c r="BR70" s="148"/>
      <c r="BS70" s="138"/>
      <c r="BT70" s="138"/>
      <c r="BU70" s="139"/>
      <c r="BV70" s="139"/>
      <c r="BW70" s="148"/>
      <c r="BX70" s="148"/>
      <c r="BY70" s="139"/>
      <c r="BZ70" s="139"/>
      <c r="CA70" s="139"/>
      <c r="CB70" s="148">
        <f t="shared" si="158"/>
        <v>0</v>
      </c>
      <c r="CC70" s="139"/>
      <c r="CD70" s="139"/>
      <c r="CE70" s="139"/>
      <c r="CF70" s="148">
        <f t="shared" si="159"/>
        <v>0</v>
      </c>
      <c r="CG70" s="139"/>
      <c r="CH70" s="139"/>
      <c r="CI70" s="139"/>
      <c r="CJ70" s="148">
        <f t="shared" si="160"/>
        <v>0</v>
      </c>
    </row>
    <row r="71" spans="2:88" ht="9.9499999999999993" customHeight="1" x14ac:dyDescent="0.15">
      <c r="B71" s="142">
        <v>41984</v>
      </c>
      <c r="C71" s="139">
        <v>5528.019789099938</v>
      </c>
      <c r="D71" s="139"/>
      <c r="E71" s="148">
        <f t="shared" si="137"/>
        <v>8.1746418270139856E-2</v>
      </c>
      <c r="F71" s="139">
        <v>3325.02</v>
      </c>
      <c r="G71" s="139"/>
      <c r="H71" s="148">
        <f t="shared" si="138"/>
        <v>8.0407719094602439E-2</v>
      </c>
      <c r="I71" s="139">
        <v>8057.547417102548</v>
      </c>
      <c r="J71" s="139"/>
      <c r="K71" s="148">
        <f t="shared" si="155"/>
        <v>8.4971025310328782E-2</v>
      </c>
      <c r="L71" s="148">
        <f t="shared" si="139"/>
        <v>8.5986611641633473E-2</v>
      </c>
      <c r="M71" s="139">
        <v>10202.741404338019</v>
      </c>
      <c r="N71" s="139"/>
      <c r="O71" s="148">
        <f t="shared" si="156"/>
        <v>8.9689699043022084E-2</v>
      </c>
      <c r="P71" s="148">
        <f t="shared" si="136"/>
        <v>8.5986611641633473E-2</v>
      </c>
      <c r="Q71" s="139">
        <v>11778.27408944767</v>
      </c>
      <c r="R71" s="139"/>
      <c r="S71" s="148">
        <f t="shared" si="157"/>
        <v>8.5834966400289092E-2</v>
      </c>
      <c r="T71" s="148">
        <f t="shared" si="140"/>
        <v>8.4768106468276899E-2</v>
      </c>
      <c r="V71" s="142">
        <v>41984</v>
      </c>
      <c r="W71" s="139">
        <v>60</v>
      </c>
      <c r="X71" s="139">
        <v>180</v>
      </c>
      <c r="Y71" s="139"/>
      <c r="Z71" s="139"/>
      <c r="AA71" s="148">
        <f t="shared" si="141"/>
        <v>0.89552238805970152</v>
      </c>
      <c r="AB71" s="148">
        <f t="shared" si="142"/>
        <v>0.88235294117647056</v>
      </c>
      <c r="AC71" s="139">
        <v>11</v>
      </c>
      <c r="AD71" s="139">
        <v>27</v>
      </c>
      <c r="AE71" s="139"/>
      <c r="AF71" s="139"/>
      <c r="AG71" s="148">
        <f t="shared" si="143"/>
        <v>0.47826086956521741</v>
      </c>
      <c r="AH71" s="148">
        <f t="shared" si="144"/>
        <v>0.39705882352941174</v>
      </c>
      <c r="AI71" s="139">
        <v>120</v>
      </c>
      <c r="AJ71" s="139">
        <v>390</v>
      </c>
      <c r="AK71" s="139"/>
      <c r="AL71" s="139"/>
      <c r="AM71" s="148">
        <f t="shared" si="145"/>
        <v>0.72289156626506024</v>
      </c>
      <c r="AN71" s="148">
        <f t="shared" si="146"/>
        <v>0.76771653543307083</v>
      </c>
      <c r="AO71" s="139">
        <v>14</v>
      </c>
      <c r="AP71" s="139">
        <v>48</v>
      </c>
      <c r="AQ71" s="139"/>
      <c r="AR71" s="139"/>
      <c r="AS71" s="148">
        <f t="shared" si="147"/>
        <v>0.48275862068965519</v>
      </c>
      <c r="AT71" s="148">
        <f t="shared" si="148"/>
        <v>0.55172413793103448</v>
      </c>
      <c r="AU71" s="139">
        <v>44</v>
      </c>
      <c r="AV71" s="139">
        <v>140</v>
      </c>
      <c r="AW71" s="139"/>
      <c r="AX71" s="139"/>
      <c r="AY71" s="148">
        <f t="shared" si="149"/>
        <v>0.4943820224719101</v>
      </c>
      <c r="AZ71" s="148">
        <f t="shared" si="150"/>
        <v>0.546875</v>
      </c>
      <c r="BA71" s="56">
        <v>16</v>
      </c>
      <c r="BB71" s="56">
        <v>59</v>
      </c>
      <c r="BC71" s="139"/>
      <c r="BD71" s="139"/>
      <c r="BE71" s="148">
        <f t="shared" si="151"/>
        <v>0.41025641025641024</v>
      </c>
      <c r="BF71" s="148">
        <f t="shared" si="152"/>
        <v>0.47967479674796748</v>
      </c>
      <c r="BG71" s="56">
        <v>75</v>
      </c>
      <c r="BH71" s="56">
        <v>230</v>
      </c>
      <c r="BI71" s="139"/>
      <c r="BJ71" s="139"/>
      <c r="BK71" s="148">
        <f t="shared" si="153"/>
        <v>0.53191489361702127</v>
      </c>
      <c r="BL71" s="148">
        <f t="shared" si="154"/>
        <v>0.56097560975609762</v>
      </c>
      <c r="BM71" s="139"/>
      <c r="BN71" s="139"/>
      <c r="BO71" s="139"/>
      <c r="BP71" s="139"/>
      <c r="BQ71" s="148"/>
      <c r="BR71" s="148"/>
      <c r="BS71" s="139"/>
      <c r="BT71" s="139"/>
      <c r="BU71" s="139"/>
      <c r="BV71" s="139"/>
      <c r="BW71" s="148"/>
      <c r="BX71" s="148"/>
      <c r="BY71" s="139"/>
      <c r="BZ71" s="139"/>
      <c r="CA71" s="139"/>
      <c r="CB71" s="148">
        <f t="shared" si="158"/>
        <v>0</v>
      </c>
      <c r="CC71" s="139"/>
      <c r="CD71" s="139"/>
      <c r="CE71" s="139"/>
      <c r="CF71" s="148">
        <f t="shared" si="159"/>
        <v>0</v>
      </c>
      <c r="CG71" s="139"/>
      <c r="CH71" s="139"/>
      <c r="CI71" s="139"/>
      <c r="CJ71" s="148">
        <f t="shared" si="160"/>
        <v>0</v>
      </c>
    </row>
    <row r="72" spans="2:88" ht="9.9499999999999993" customHeight="1" x14ac:dyDescent="0.15">
      <c r="B72" s="142">
        <v>42012</v>
      </c>
      <c r="C72" s="139">
        <v>5222.633697634481</v>
      </c>
      <c r="D72" s="139"/>
      <c r="E72" s="148">
        <f t="shared" si="137"/>
        <v>7.7230475831575787E-2</v>
      </c>
      <c r="F72" s="138">
        <v>3093.86</v>
      </c>
      <c r="G72" s="139"/>
      <c r="H72" s="148">
        <f t="shared" si="138"/>
        <v>7.4817662990907335E-2</v>
      </c>
      <c r="I72" s="139">
        <v>7003.9113771054272</v>
      </c>
      <c r="J72" s="139"/>
      <c r="K72" s="148">
        <f t="shared" si="155"/>
        <v>7.3859885656041291E-2</v>
      </c>
      <c r="L72" s="148">
        <f t="shared" si="139"/>
        <v>7.4742669993761696E-2</v>
      </c>
      <c r="M72" s="139">
        <v>8868.5915081097937</v>
      </c>
      <c r="N72" s="139"/>
      <c r="O72" s="148">
        <f t="shared" si="156"/>
        <v>7.7961527375345424E-2</v>
      </c>
      <c r="P72" s="148">
        <f t="shared" si="136"/>
        <v>7.4742669993761696E-2</v>
      </c>
      <c r="Q72" s="139">
        <v>10238.101450405489</v>
      </c>
      <c r="R72" s="139"/>
      <c r="S72" s="148">
        <f t="shared" si="157"/>
        <v>7.4610854470233856E-2</v>
      </c>
      <c r="T72" s="148">
        <f t="shared" si="140"/>
        <v>7.3683501265989826E-2</v>
      </c>
      <c r="V72" s="142">
        <v>42012</v>
      </c>
      <c r="W72" s="139">
        <v>33</v>
      </c>
      <c r="X72" s="139">
        <v>110</v>
      </c>
      <c r="Y72" s="139"/>
      <c r="Z72" s="139"/>
      <c r="AA72" s="148">
        <f t="shared" si="141"/>
        <v>0.4925373134328358</v>
      </c>
      <c r="AB72" s="148">
        <f t="shared" si="142"/>
        <v>0.53921568627450978</v>
      </c>
      <c r="AC72" s="138">
        <v>7.5</v>
      </c>
      <c r="AD72" s="138">
        <v>31</v>
      </c>
      <c r="AE72" s="139"/>
      <c r="AF72" s="139"/>
      <c r="AG72" s="148">
        <f t="shared" si="143"/>
        <v>0.32608695652173914</v>
      </c>
      <c r="AH72" s="148">
        <f t="shared" si="144"/>
        <v>0.45588235294117646</v>
      </c>
      <c r="AI72" s="138">
        <v>79</v>
      </c>
      <c r="AJ72" s="138">
        <v>260</v>
      </c>
      <c r="AK72" s="139"/>
      <c r="AL72" s="139"/>
      <c r="AM72" s="148">
        <f t="shared" si="145"/>
        <v>0.4759036144578313</v>
      </c>
      <c r="AN72" s="148">
        <f t="shared" si="146"/>
        <v>0.51181102362204722</v>
      </c>
      <c r="AO72" s="138">
        <v>11</v>
      </c>
      <c r="AP72" s="138">
        <v>36</v>
      </c>
      <c r="AQ72" s="139"/>
      <c r="AR72" s="139"/>
      <c r="AS72" s="148">
        <f t="shared" si="147"/>
        <v>0.37931034482758619</v>
      </c>
      <c r="AT72" s="148">
        <f t="shared" si="148"/>
        <v>0.41379310344827586</v>
      </c>
      <c r="AU72" s="138">
        <v>43</v>
      </c>
      <c r="AV72" s="138">
        <v>140</v>
      </c>
      <c r="AW72" s="139"/>
      <c r="AX72" s="139"/>
      <c r="AY72" s="148">
        <f t="shared" si="149"/>
        <v>0.48314606741573035</v>
      </c>
      <c r="AZ72" s="148">
        <f t="shared" si="150"/>
        <v>0.546875</v>
      </c>
      <c r="BA72" s="56">
        <v>32</v>
      </c>
      <c r="BB72" s="56">
        <v>120</v>
      </c>
      <c r="BC72" s="139"/>
      <c r="BD72" s="139"/>
      <c r="BE72" s="148">
        <f t="shared" si="151"/>
        <v>0.82051282051282048</v>
      </c>
      <c r="BF72" s="148">
        <f t="shared" si="152"/>
        <v>0.97560975609756095</v>
      </c>
      <c r="BG72" s="56">
        <v>110</v>
      </c>
      <c r="BH72" s="56">
        <v>400</v>
      </c>
      <c r="BI72" s="139"/>
      <c r="BJ72" s="139"/>
      <c r="BK72" s="148">
        <f t="shared" si="153"/>
        <v>0.78014184397163122</v>
      </c>
      <c r="BL72" s="148">
        <f t="shared" si="154"/>
        <v>0.97560975609756095</v>
      </c>
      <c r="BM72" s="138"/>
      <c r="BN72" s="138"/>
      <c r="BO72" s="139"/>
      <c r="BP72" s="139"/>
      <c r="BQ72" s="148"/>
      <c r="BR72" s="148"/>
      <c r="BS72" s="138"/>
      <c r="BT72" s="138"/>
      <c r="BU72" s="139"/>
      <c r="BV72" s="139"/>
      <c r="BW72" s="148"/>
      <c r="BX72" s="148"/>
      <c r="BY72" s="139"/>
      <c r="BZ72" s="139"/>
      <c r="CA72" s="139"/>
      <c r="CB72" s="148">
        <f t="shared" si="158"/>
        <v>0</v>
      </c>
      <c r="CC72" s="139"/>
      <c r="CD72" s="139"/>
      <c r="CE72" s="139"/>
      <c r="CF72" s="148">
        <f t="shared" si="159"/>
        <v>0</v>
      </c>
      <c r="CG72" s="139"/>
      <c r="CH72" s="139"/>
      <c r="CI72" s="139"/>
      <c r="CJ72" s="148">
        <f t="shared" si="160"/>
        <v>0</v>
      </c>
    </row>
    <row r="73" spans="2:88" ht="9.9499999999999993" customHeight="1" x14ac:dyDescent="0.15">
      <c r="B73" s="142">
        <v>42039</v>
      </c>
      <c r="C73" s="139">
        <v>4482.7598608583294</v>
      </c>
      <c r="D73" s="139"/>
      <c r="E73" s="148">
        <f t="shared" si="137"/>
        <v>6.6289480966200298E-2</v>
      </c>
      <c r="F73" s="138">
        <v>2539.4899999999998</v>
      </c>
      <c r="G73" s="139"/>
      <c r="H73" s="148">
        <f t="shared" si="138"/>
        <v>6.1411539949700132E-2</v>
      </c>
      <c r="I73" s="139">
        <v>6073.9349416958585</v>
      </c>
      <c r="J73" s="139"/>
      <c r="K73" s="148">
        <f t="shared" si="155"/>
        <v>6.4052800802470375E-2</v>
      </c>
      <c r="L73" s="148">
        <f t="shared" si="139"/>
        <v>6.4818369403522244E-2</v>
      </c>
      <c r="M73" s="139">
        <v>7691.0236215749319</v>
      </c>
      <c r="N73" s="139"/>
      <c r="O73" s="148">
        <f t="shared" si="156"/>
        <v>6.7609828242685507E-2</v>
      </c>
      <c r="P73" s="148">
        <f t="shared" si="136"/>
        <v>6.4818369403522244E-2</v>
      </c>
      <c r="Q73" s="139">
        <v>8878.6906041556704</v>
      </c>
      <c r="R73" s="139"/>
      <c r="S73" s="148">
        <f t="shared" si="157"/>
        <v>6.4704056290305137E-2</v>
      </c>
      <c r="T73" s="148">
        <f t="shared" si="140"/>
        <v>6.3899836658263015E-2</v>
      </c>
      <c r="V73" s="142">
        <v>42039</v>
      </c>
      <c r="W73" s="139">
        <v>20</v>
      </c>
      <c r="X73" s="139">
        <v>71</v>
      </c>
      <c r="Y73" s="139"/>
      <c r="Z73" s="139"/>
      <c r="AA73" s="148">
        <f t="shared" si="141"/>
        <v>0.29850746268656714</v>
      </c>
      <c r="AB73" s="148">
        <f t="shared" si="142"/>
        <v>0.34803921568627449</v>
      </c>
      <c r="AC73" s="138">
        <v>6.4</v>
      </c>
      <c r="AD73" s="138">
        <v>30</v>
      </c>
      <c r="AE73" s="139"/>
      <c r="AF73" s="139"/>
      <c r="AG73" s="148">
        <f t="shared" si="143"/>
        <v>0.27826086956521739</v>
      </c>
      <c r="AH73" s="148">
        <f t="shared" si="144"/>
        <v>0.44117647058823528</v>
      </c>
      <c r="AI73" s="138">
        <v>64</v>
      </c>
      <c r="AJ73" s="138">
        <v>220</v>
      </c>
      <c r="AK73" s="139"/>
      <c r="AL73" s="139"/>
      <c r="AM73" s="148">
        <f t="shared" si="145"/>
        <v>0.38554216867469882</v>
      </c>
      <c r="AN73" s="148">
        <f t="shared" si="146"/>
        <v>0.43307086614173229</v>
      </c>
      <c r="AO73" s="138">
        <v>15</v>
      </c>
      <c r="AP73" s="138">
        <v>49</v>
      </c>
      <c r="AQ73" s="139"/>
      <c r="AR73" s="139"/>
      <c r="AS73" s="148">
        <f t="shared" si="147"/>
        <v>0.51724137931034486</v>
      </c>
      <c r="AT73" s="148">
        <f t="shared" si="148"/>
        <v>0.56321839080459768</v>
      </c>
      <c r="AU73" s="138">
        <v>60</v>
      </c>
      <c r="AV73" s="138">
        <v>190</v>
      </c>
      <c r="AW73" s="139"/>
      <c r="AX73" s="139"/>
      <c r="AY73" s="148">
        <f t="shared" si="149"/>
        <v>0.6741573033707865</v>
      </c>
      <c r="AZ73" s="148">
        <f t="shared" si="150"/>
        <v>0.7421875</v>
      </c>
      <c r="BA73" s="56">
        <v>4.9000000000000004</v>
      </c>
      <c r="BB73" s="56">
        <v>23</v>
      </c>
      <c r="BC73" s="139"/>
      <c r="BD73" s="139"/>
      <c r="BE73" s="148">
        <f t="shared" si="151"/>
        <v>0.12564102564102564</v>
      </c>
      <c r="BF73" s="148">
        <f t="shared" si="152"/>
        <v>0.18699186991869918</v>
      </c>
      <c r="BG73" s="56">
        <v>45</v>
      </c>
      <c r="BH73" s="56">
        <v>150</v>
      </c>
      <c r="BI73" s="139"/>
      <c r="BJ73" s="139"/>
      <c r="BK73" s="148">
        <f t="shared" si="153"/>
        <v>0.31914893617021278</v>
      </c>
      <c r="BL73" s="148">
        <f t="shared" si="154"/>
        <v>0.36585365853658536</v>
      </c>
      <c r="BM73" s="138"/>
      <c r="BN73" s="138"/>
      <c r="BO73" s="139"/>
      <c r="BP73" s="139"/>
      <c r="BQ73" s="148"/>
      <c r="BR73" s="148"/>
      <c r="BS73" s="138"/>
      <c r="BT73" s="138"/>
      <c r="BU73" s="139"/>
      <c r="BV73" s="139"/>
      <c r="BW73" s="148"/>
      <c r="BX73" s="148"/>
      <c r="BY73" s="139"/>
      <c r="BZ73" s="139"/>
      <c r="CA73" s="139"/>
      <c r="CB73" s="148">
        <f t="shared" si="158"/>
        <v>0</v>
      </c>
      <c r="CC73" s="139"/>
      <c r="CD73" s="139"/>
      <c r="CE73" s="139"/>
      <c r="CF73" s="148">
        <f t="shared" si="159"/>
        <v>0</v>
      </c>
      <c r="CG73" s="139"/>
      <c r="CH73" s="139"/>
      <c r="CI73" s="139"/>
      <c r="CJ73" s="148">
        <f t="shared" si="160"/>
        <v>0</v>
      </c>
    </row>
    <row r="74" spans="2:88" ht="9.9499999999999993" customHeight="1" x14ac:dyDescent="0.15">
      <c r="B74" s="142">
        <v>42067</v>
      </c>
      <c r="C74" s="139">
        <v>5474.268621063844</v>
      </c>
      <c r="D74" s="147">
        <f>SUM(C63:C74)</f>
        <v>67624.134095735135</v>
      </c>
      <c r="E74" s="148">
        <f t="shared" si="137"/>
        <v>8.0951564844786522E-2</v>
      </c>
      <c r="F74" s="138">
        <v>3137.62</v>
      </c>
      <c r="G74" s="147">
        <f>SUM(F63:F74)</f>
        <v>41352.490000000005</v>
      </c>
      <c r="H74" s="148">
        <f t="shared" si="138"/>
        <v>7.5875894757206422E-2</v>
      </c>
      <c r="I74" s="139">
        <v>7652.2811675224339</v>
      </c>
      <c r="J74" s="147">
        <f>SUM(I63:I74)</f>
        <v>93707</v>
      </c>
      <c r="K74" s="148">
        <f t="shared" si="155"/>
        <v>8.0697282077071233E-2</v>
      </c>
      <c r="L74" s="148">
        <f t="shared" si="139"/>
        <v>8.1661787993665719E-2</v>
      </c>
      <c r="M74" s="139">
        <v>9689.5794543884058</v>
      </c>
      <c r="N74" s="147">
        <f>SUM(M63:M74)</f>
        <v>118654.99999999999</v>
      </c>
      <c r="O74" s="148">
        <f t="shared" si="156"/>
        <v>8.5178623144171781E-2</v>
      </c>
      <c r="P74" s="148">
        <f t="shared" si="136"/>
        <v>8.1661787993665719E-2</v>
      </c>
      <c r="Q74" s="139">
        <v>11185.868395796344</v>
      </c>
      <c r="R74" s="147">
        <f>SUM(Q63:Q74)</f>
        <v>136977.99999999997</v>
      </c>
      <c r="S74" s="148">
        <f t="shared" si="157"/>
        <v>8.1517769973738108E-2</v>
      </c>
      <c r="T74" s="148">
        <f t="shared" si="140"/>
        <v>8.0504569337922688E-2</v>
      </c>
      <c r="V74" s="142">
        <v>42067</v>
      </c>
      <c r="W74" s="139">
        <v>26</v>
      </c>
      <c r="X74" s="139">
        <v>100</v>
      </c>
      <c r="Y74" s="147">
        <f>AVERAGE(W63:W74)</f>
        <v>66.916666666666671</v>
      </c>
      <c r="Z74" s="147">
        <f>AVERAGE(X63:X74)</f>
        <v>204.25</v>
      </c>
      <c r="AA74" s="148">
        <f t="shared" si="141"/>
        <v>0.38805970149253732</v>
      </c>
      <c r="AB74" s="148">
        <f t="shared" si="142"/>
        <v>0.49019607843137253</v>
      </c>
      <c r="AC74" s="138">
        <v>6.1</v>
      </c>
      <c r="AD74" s="138">
        <v>21</v>
      </c>
      <c r="AE74" s="147">
        <f>AVERAGE(AC63:AC74)</f>
        <v>22.916666666666668</v>
      </c>
      <c r="AF74" s="147">
        <f>AVERAGE(AD63:AD74)</f>
        <v>67.75</v>
      </c>
      <c r="AG74" s="148">
        <f t="shared" si="143"/>
        <v>0.26521739130434779</v>
      </c>
      <c r="AH74" s="148">
        <f t="shared" si="144"/>
        <v>0.30882352941176472</v>
      </c>
      <c r="AI74" s="138">
        <v>70</v>
      </c>
      <c r="AJ74" s="138">
        <v>240</v>
      </c>
      <c r="AK74" s="147">
        <f>AVERAGE(AI63:AI74)</f>
        <v>166.08333333333334</v>
      </c>
      <c r="AL74" s="147">
        <f>AVERAGE(AJ63:AJ74)</f>
        <v>507.5</v>
      </c>
      <c r="AM74" s="148">
        <f t="shared" si="145"/>
        <v>0.42168674698795183</v>
      </c>
      <c r="AN74" s="148">
        <f t="shared" si="146"/>
        <v>0.47244094488188976</v>
      </c>
      <c r="AO74" s="138">
        <v>6.1</v>
      </c>
      <c r="AP74" s="138">
        <v>22</v>
      </c>
      <c r="AQ74" s="147">
        <f>AVERAGE(AO63:AO74)</f>
        <v>29.425000000000001</v>
      </c>
      <c r="AR74" s="147">
        <f>AVERAGE(AP63:AP74)</f>
        <v>87.25</v>
      </c>
      <c r="AS74" s="148">
        <f t="shared" si="147"/>
        <v>0.21034482758620687</v>
      </c>
      <c r="AT74" s="148">
        <f t="shared" si="148"/>
        <v>0.25287356321839083</v>
      </c>
      <c r="AU74" s="138">
        <v>31</v>
      </c>
      <c r="AV74" s="138">
        <v>120</v>
      </c>
      <c r="AW74" s="147">
        <f>AVERAGE(AU63:AU74)</f>
        <v>88.583333333333329</v>
      </c>
      <c r="AX74" s="147">
        <f>AVERAGE(AV63:AV74)</f>
        <v>255.83333333333334</v>
      </c>
      <c r="AY74" s="148">
        <f t="shared" si="149"/>
        <v>0.34831460674157305</v>
      </c>
      <c r="AZ74" s="148">
        <f t="shared" si="150"/>
        <v>0.46875</v>
      </c>
      <c r="BA74" s="56">
        <v>9.8000000000000007</v>
      </c>
      <c r="BB74" s="56">
        <v>47</v>
      </c>
      <c r="BC74" s="147">
        <f>AVERAGE(BA63:BA74)</f>
        <v>38.55833333333333</v>
      </c>
      <c r="BD74" s="147">
        <f>AVERAGE(BB63:BB74)</f>
        <v>123.25</v>
      </c>
      <c r="BE74" s="148">
        <f t="shared" si="151"/>
        <v>0.25128205128205128</v>
      </c>
      <c r="BF74" s="148">
        <f t="shared" si="152"/>
        <v>0.38211382113821141</v>
      </c>
      <c r="BG74" s="56">
        <v>63</v>
      </c>
      <c r="BH74" s="56">
        <v>230</v>
      </c>
      <c r="BI74" s="147">
        <f>AVERAGE(BG63:BG74)</f>
        <v>141.08333333333334</v>
      </c>
      <c r="BJ74" s="147">
        <f>AVERAGE(BH63:BH74)</f>
        <v>410</v>
      </c>
      <c r="BK74" s="148">
        <f t="shared" si="153"/>
        <v>0.44680851063829785</v>
      </c>
      <c r="BL74" s="148">
        <f t="shared" si="154"/>
        <v>0.56097560975609762</v>
      </c>
      <c r="BM74" s="138"/>
      <c r="BN74" s="138"/>
      <c r="BO74" s="147"/>
      <c r="BP74" s="147"/>
      <c r="BQ74" s="148"/>
      <c r="BR74" s="148"/>
      <c r="BS74" s="138"/>
      <c r="BT74" s="138"/>
      <c r="BU74" s="147"/>
      <c r="BV74" s="147"/>
      <c r="BW74" s="148"/>
      <c r="BX74" s="148"/>
      <c r="BY74" s="139"/>
      <c r="BZ74" s="139"/>
      <c r="CA74" s="147">
        <f>SUM(BY63:BY74)</f>
        <v>0</v>
      </c>
      <c r="CB74" s="148">
        <f t="shared" si="158"/>
        <v>0</v>
      </c>
      <c r="CC74" s="139"/>
      <c r="CD74" s="139"/>
      <c r="CE74" s="147">
        <f>SUM(CC63:CC74)</f>
        <v>0</v>
      </c>
      <c r="CF74" s="148">
        <f t="shared" si="159"/>
        <v>0</v>
      </c>
      <c r="CG74" s="139"/>
      <c r="CH74" s="139"/>
      <c r="CI74" s="147">
        <f>SUM(CG63:CG74)</f>
        <v>0</v>
      </c>
      <c r="CJ74" s="148">
        <f t="shared" si="160"/>
        <v>0</v>
      </c>
    </row>
    <row r="75" spans="2:88" ht="9.9499999999999993" customHeight="1" x14ac:dyDescent="0.15">
      <c r="B75" s="142">
        <v>42095</v>
      </c>
      <c r="C75" s="139">
        <v>4911.22</v>
      </c>
      <c r="D75" s="139"/>
      <c r="E75" s="148">
        <f>C75/59766</f>
        <v>8.2174145835424831E-2</v>
      </c>
      <c r="F75" s="139">
        <v>3213.16</v>
      </c>
      <c r="G75" s="139"/>
      <c r="H75" s="148">
        <f>F75/40618</f>
        <v>7.9106799940912895E-2</v>
      </c>
      <c r="I75" s="139">
        <v>8009.8359520671502</v>
      </c>
      <c r="J75" s="139"/>
      <c r="K75" s="148">
        <f t="shared" si="155"/>
        <v>8.4467883114167377E-2</v>
      </c>
      <c r="L75" s="148">
        <f>I75/97285</f>
        <v>8.2333720019192577E-2</v>
      </c>
      <c r="M75" s="139">
        <v>8939.3013173638155</v>
      </c>
      <c r="N75" s="139"/>
      <c r="O75" s="148">
        <f t="shared" si="156"/>
        <v>7.8583119284818523E-2</v>
      </c>
      <c r="P75" s="148">
        <f>M75/108574</f>
        <v>8.2333720019192577E-2</v>
      </c>
      <c r="Q75" s="139">
        <v>11442.987409427442</v>
      </c>
      <c r="R75" s="139"/>
      <c r="S75" s="148">
        <f t="shared" si="157"/>
        <v>8.339154211796708E-2</v>
      </c>
      <c r="T75" s="148">
        <f>Q75/138983</f>
        <v>8.2333720019192577E-2</v>
      </c>
      <c r="V75" s="142">
        <v>42095</v>
      </c>
      <c r="W75" s="139">
        <v>47</v>
      </c>
      <c r="X75" s="139">
        <v>170</v>
      </c>
      <c r="Y75" s="139"/>
      <c r="Z75" s="139"/>
      <c r="AA75" s="148">
        <f>W75/39</f>
        <v>1.2051282051282051</v>
      </c>
      <c r="AB75" s="148">
        <f>X75/165</f>
        <v>1.0303030303030303</v>
      </c>
      <c r="AC75" s="139">
        <v>19</v>
      </c>
      <c r="AD75" s="139">
        <v>77</v>
      </c>
      <c r="AE75" s="139"/>
      <c r="AF75" s="139"/>
      <c r="AG75" s="148">
        <f>AC75/9</f>
        <v>2.1111111111111112</v>
      </c>
      <c r="AH75" s="148">
        <f>AD75/50</f>
        <v>1.54</v>
      </c>
      <c r="AI75" s="139">
        <v>120</v>
      </c>
      <c r="AJ75" s="139">
        <v>480</v>
      </c>
      <c r="AK75" s="139"/>
      <c r="AL75" s="139"/>
      <c r="AM75" s="148">
        <f>AI75/83</f>
        <v>1.4457831325301205</v>
      </c>
      <c r="AN75" s="148">
        <f>AJ75/403</f>
        <v>1.1910669975186103</v>
      </c>
      <c r="AO75" s="139">
        <v>22</v>
      </c>
      <c r="AP75" s="139">
        <v>82</v>
      </c>
      <c r="AQ75" s="139"/>
      <c r="AR75" s="139"/>
      <c r="AS75" s="148">
        <f>AO75/18</f>
        <v>1.2222222222222223</v>
      </c>
      <c r="AT75" s="148">
        <f>AP75/74</f>
        <v>1.1081081081081081</v>
      </c>
      <c r="AU75" s="139">
        <v>56</v>
      </c>
      <c r="AV75" s="139">
        <v>220</v>
      </c>
      <c r="AW75" s="139"/>
      <c r="AX75" s="139"/>
      <c r="AY75" s="148">
        <f>AU75/46</f>
        <v>1.2173913043478262</v>
      </c>
      <c r="AZ75" s="148">
        <f>AV75/185</f>
        <v>1.1891891891891893</v>
      </c>
      <c r="BA75" s="56">
        <v>38</v>
      </c>
      <c r="BB75" s="56">
        <v>140</v>
      </c>
      <c r="BC75" s="139"/>
      <c r="BD75" s="139"/>
      <c r="BE75" s="148">
        <f>BA75/23</f>
        <v>1.6521739130434783</v>
      </c>
      <c r="BF75" s="148">
        <f>BB75/91</f>
        <v>1.5384615384615385</v>
      </c>
      <c r="BG75" s="56">
        <v>110</v>
      </c>
      <c r="BH75" s="56">
        <v>400</v>
      </c>
      <c r="BI75" s="139"/>
      <c r="BJ75" s="139"/>
      <c r="BK75" s="148">
        <f>BG75/75</f>
        <v>1.4666666666666666</v>
      </c>
      <c r="BL75" s="148">
        <f>BH75/308</f>
        <v>1.2987012987012987</v>
      </c>
      <c r="BM75" s="139"/>
      <c r="BN75" s="139"/>
      <c r="BO75" s="139"/>
      <c r="BP75" s="139"/>
      <c r="BQ75" s="148"/>
      <c r="BR75" s="148"/>
      <c r="BS75" s="139"/>
      <c r="BT75" s="139"/>
      <c r="BU75" s="139"/>
      <c r="BV75" s="139"/>
      <c r="BW75" s="148"/>
      <c r="BX75" s="148"/>
      <c r="BY75" s="139"/>
      <c r="BZ75" s="139"/>
      <c r="CA75" s="139"/>
      <c r="CB75" s="148">
        <f t="shared" si="158"/>
        <v>0</v>
      </c>
      <c r="CC75" s="139"/>
      <c r="CD75" s="139"/>
      <c r="CE75" s="139"/>
      <c r="CF75" s="148">
        <f t="shared" si="159"/>
        <v>0</v>
      </c>
      <c r="CG75" s="139"/>
      <c r="CH75" s="139"/>
      <c r="CI75" s="139"/>
      <c r="CJ75" s="148">
        <f t="shared" si="160"/>
        <v>0</v>
      </c>
    </row>
    <row r="76" spans="2:88" ht="9.9499999999999993" customHeight="1" x14ac:dyDescent="0.15">
      <c r="B76" s="142">
        <v>42131</v>
      </c>
      <c r="C76" s="139">
        <v>5017.6899999999996</v>
      </c>
      <c r="D76" s="139"/>
      <c r="E76" s="148">
        <f t="shared" ref="E76:E86" si="161">C76/59766</f>
        <v>8.3955593481243512E-2</v>
      </c>
      <c r="F76" s="138">
        <v>3508.9</v>
      </c>
      <c r="G76" s="139"/>
      <c r="H76" s="148">
        <f t="shared" ref="H76:H86" si="162">F76/40618</f>
        <v>8.6387808360825255E-2</v>
      </c>
      <c r="I76" s="139">
        <v>8153.4174020783857</v>
      </c>
      <c r="J76" s="139"/>
      <c r="K76" s="148">
        <f t="shared" si="155"/>
        <v>8.5982024128975779E-2</v>
      </c>
      <c r="L76" s="148">
        <f t="shared" ref="L76:L86" si="163">I76/97285</f>
        <v>8.3809604790855585E-2</v>
      </c>
      <c r="M76" s="139">
        <v>9099.5440305623542</v>
      </c>
      <c r="N76" s="139"/>
      <c r="O76" s="148">
        <f t="shared" si="156"/>
        <v>7.9991772131248945E-2</v>
      </c>
      <c r="P76" s="148">
        <f t="shared" ref="P76:P86" si="164">M76/108574</f>
        <v>8.3809604790855585E-2</v>
      </c>
      <c r="Q76" s="139">
        <v>11648.110302647483</v>
      </c>
      <c r="R76" s="139"/>
      <c r="S76" s="148">
        <f t="shared" si="157"/>
        <v>8.4886389029642059E-2</v>
      </c>
      <c r="T76" s="148">
        <f t="shared" ref="T76:T86" si="165">Q76/138983</f>
        <v>8.3809604790855599E-2</v>
      </c>
      <c r="V76" s="142">
        <v>42131</v>
      </c>
      <c r="W76" s="139">
        <v>67</v>
      </c>
      <c r="X76" s="139">
        <v>230</v>
      </c>
      <c r="Y76" s="139"/>
      <c r="Z76" s="139"/>
      <c r="AA76" s="148">
        <f t="shared" ref="AA76:AA86" si="166">W76/39</f>
        <v>1.7179487179487178</v>
      </c>
      <c r="AB76" s="148">
        <f t="shared" ref="AB76:AB86" si="167">X76/165</f>
        <v>1.393939393939394</v>
      </c>
      <c r="AC76" s="138">
        <v>17</v>
      </c>
      <c r="AD76" s="138">
        <v>72</v>
      </c>
      <c r="AE76" s="139"/>
      <c r="AF76" s="139"/>
      <c r="AG76" s="148">
        <f t="shared" ref="AG76:AG86" si="168">AC76/9</f>
        <v>1.8888888888888888</v>
      </c>
      <c r="AH76" s="148">
        <f t="shared" ref="AH76:AH86" si="169">AD76/50</f>
        <v>1.44</v>
      </c>
      <c r="AI76" s="138">
        <v>130</v>
      </c>
      <c r="AJ76" s="138">
        <v>570</v>
      </c>
      <c r="AK76" s="139"/>
      <c r="AL76" s="139"/>
      <c r="AM76" s="148">
        <f t="shared" ref="AM76:AM86" si="170">AI76/83</f>
        <v>1.5662650602409638</v>
      </c>
      <c r="AN76" s="148">
        <f t="shared" ref="AN76:AN86" si="171">AJ76/403</f>
        <v>1.4143920595533499</v>
      </c>
      <c r="AO76" s="138">
        <v>31</v>
      </c>
      <c r="AP76" s="138">
        <v>120</v>
      </c>
      <c r="AQ76" s="139"/>
      <c r="AR76" s="139"/>
      <c r="AS76" s="148">
        <f t="shared" ref="AS76:AS86" si="172">AO76/18</f>
        <v>1.7222222222222223</v>
      </c>
      <c r="AT76" s="148">
        <f t="shared" ref="AT76:AT86" si="173">AP76/74</f>
        <v>1.6216216216216217</v>
      </c>
      <c r="AU76" s="138">
        <v>120</v>
      </c>
      <c r="AV76" s="138">
        <v>450</v>
      </c>
      <c r="AW76" s="139"/>
      <c r="AX76" s="139"/>
      <c r="AY76" s="148">
        <f t="shared" ref="AY76:AY86" si="174">AU76/46</f>
        <v>2.6086956521739131</v>
      </c>
      <c r="AZ76" s="148">
        <f t="shared" ref="AZ76:AZ86" si="175">AV76/185</f>
        <v>2.4324324324324325</v>
      </c>
      <c r="BA76" s="56">
        <v>36</v>
      </c>
      <c r="BB76" s="56">
        <v>130</v>
      </c>
      <c r="BC76" s="139"/>
      <c r="BD76" s="139"/>
      <c r="BE76" s="148">
        <f t="shared" ref="BE76:BE86" si="176">BA76/23</f>
        <v>1.5652173913043479</v>
      </c>
      <c r="BF76" s="148">
        <f t="shared" ref="BF76:BF86" si="177">BB76/91</f>
        <v>1.4285714285714286</v>
      </c>
      <c r="BG76" s="56">
        <v>120</v>
      </c>
      <c r="BH76" s="56">
        <v>430</v>
      </c>
      <c r="BI76" s="139"/>
      <c r="BJ76" s="139"/>
      <c r="BK76" s="148">
        <f t="shared" ref="BK76:BK86" si="178">BG76/75</f>
        <v>1.6</v>
      </c>
      <c r="BL76" s="148">
        <f t="shared" ref="BL76:BL86" si="179">BH76/308</f>
        <v>1.3961038961038961</v>
      </c>
      <c r="BM76" s="138"/>
      <c r="BN76" s="138"/>
      <c r="BO76" s="139"/>
      <c r="BP76" s="139"/>
      <c r="BQ76" s="148"/>
      <c r="BR76" s="148"/>
      <c r="BS76" s="138"/>
      <c r="BT76" s="138"/>
      <c r="BU76" s="139"/>
      <c r="BV76" s="139"/>
      <c r="BW76" s="148"/>
      <c r="BX76" s="148"/>
      <c r="BY76" s="139"/>
      <c r="BZ76" s="139"/>
      <c r="CA76" s="139"/>
      <c r="CB76" s="148">
        <f t="shared" si="158"/>
        <v>0</v>
      </c>
      <c r="CC76" s="139"/>
      <c r="CD76" s="139"/>
      <c r="CE76" s="139"/>
      <c r="CF76" s="148">
        <f t="shared" si="159"/>
        <v>0</v>
      </c>
      <c r="CG76" s="139"/>
      <c r="CH76" s="139"/>
      <c r="CI76" s="139"/>
      <c r="CJ76" s="148">
        <f t="shared" si="160"/>
        <v>0</v>
      </c>
    </row>
    <row r="77" spans="2:88" ht="9.9499999999999993" customHeight="1" x14ac:dyDescent="0.15">
      <c r="B77" s="142">
        <v>42158</v>
      </c>
      <c r="C77" s="139">
        <v>5245.7</v>
      </c>
      <c r="D77" s="139"/>
      <c r="E77" s="148">
        <f t="shared" si="161"/>
        <v>8.777063882474985E-2</v>
      </c>
      <c r="F77" s="138">
        <v>3648.39</v>
      </c>
      <c r="G77" s="139"/>
      <c r="H77" s="148">
        <f t="shared" si="162"/>
        <v>8.9822000098478502E-2</v>
      </c>
      <c r="I77" s="139">
        <v>8347.8136862499778</v>
      </c>
      <c r="J77" s="139"/>
      <c r="K77" s="148">
        <f t="shared" si="155"/>
        <v>8.8032033980300739E-2</v>
      </c>
      <c r="L77" s="148">
        <f t="shared" si="163"/>
        <v>8.5807819152489875E-2</v>
      </c>
      <c r="M77" s="139">
        <v>9316.4981566624356</v>
      </c>
      <c r="N77" s="139"/>
      <c r="O77" s="148">
        <f t="shared" si="156"/>
        <v>8.1898960552959282E-2</v>
      </c>
      <c r="P77" s="148">
        <f t="shared" si="164"/>
        <v>8.5807819152489875E-2</v>
      </c>
      <c r="Q77" s="139">
        <v>11925.8281292705</v>
      </c>
      <c r="R77" s="139"/>
      <c r="S77" s="148">
        <f t="shared" si="157"/>
        <v>8.6910276412115572E-2</v>
      </c>
      <c r="T77" s="148">
        <f t="shared" si="165"/>
        <v>8.5807819152489875E-2</v>
      </c>
      <c r="V77" s="142">
        <v>42158</v>
      </c>
      <c r="W77" s="139">
        <v>58</v>
      </c>
      <c r="X77" s="139">
        <v>240</v>
      </c>
      <c r="Y77" s="139"/>
      <c r="Z77" s="139"/>
      <c r="AA77" s="148">
        <f t="shared" si="166"/>
        <v>1.4871794871794872</v>
      </c>
      <c r="AB77" s="148">
        <f t="shared" si="167"/>
        <v>1.4545454545454546</v>
      </c>
      <c r="AC77" s="138">
        <v>18</v>
      </c>
      <c r="AD77" s="138">
        <v>74</v>
      </c>
      <c r="AE77" s="139"/>
      <c r="AF77" s="139"/>
      <c r="AG77" s="148">
        <f t="shared" si="168"/>
        <v>2</v>
      </c>
      <c r="AH77" s="148">
        <f t="shared" si="169"/>
        <v>1.48</v>
      </c>
      <c r="AI77" s="138">
        <v>140</v>
      </c>
      <c r="AJ77" s="138">
        <v>640</v>
      </c>
      <c r="AK77" s="139"/>
      <c r="AL77" s="139"/>
      <c r="AM77" s="148">
        <f t="shared" si="170"/>
        <v>1.6867469879518073</v>
      </c>
      <c r="AN77" s="148">
        <f t="shared" si="171"/>
        <v>1.588089330024814</v>
      </c>
      <c r="AO77" s="138">
        <v>30</v>
      </c>
      <c r="AP77" s="138">
        <v>130</v>
      </c>
      <c r="AQ77" s="139"/>
      <c r="AR77" s="139"/>
      <c r="AS77" s="148">
        <f t="shared" si="172"/>
        <v>1.6666666666666667</v>
      </c>
      <c r="AT77" s="148">
        <f t="shared" si="173"/>
        <v>1.7567567567567568</v>
      </c>
      <c r="AU77" s="138">
        <v>64</v>
      </c>
      <c r="AV77" s="138">
        <v>240</v>
      </c>
      <c r="AW77" s="139"/>
      <c r="AX77" s="139"/>
      <c r="AY77" s="148">
        <f t="shared" si="174"/>
        <v>1.3913043478260869</v>
      </c>
      <c r="AZ77" s="148">
        <f t="shared" si="175"/>
        <v>1.2972972972972974</v>
      </c>
      <c r="BA77" s="56">
        <v>33</v>
      </c>
      <c r="BB77" s="56">
        <v>120</v>
      </c>
      <c r="BC77" s="139"/>
      <c r="BD77" s="139"/>
      <c r="BE77" s="148">
        <f t="shared" si="176"/>
        <v>1.4347826086956521</v>
      </c>
      <c r="BF77" s="148">
        <f t="shared" si="177"/>
        <v>1.3186813186813187</v>
      </c>
      <c r="BG77" s="56">
        <v>110</v>
      </c>
      <c r="BH77" s="56">
        <v>430</v>
      </c>
      <c r="BI77" s="139"/>
      <c r="BJ77" s="139"/>
      <c r="BK77" s="148">
        <f t="shared" si="178"/>
        <v>1.4666666666666666</v>
      </c>
      <c r="BL77" s="148">
        <f t="shared" si="179"/>
        <v>1.3961038961038961</v>
      </c>
      <c r="BM77" s="138"/>
      <c r="BN77" s="138"/>
      <c r="BO77" s="139"/>
      <c r="BP77" s="139"/>
      <c r="BQ77" s="148"/>
      <c r="BR77" s="148"/>
      <c r="BS77" s="138"/>
      <c r="BT77" s="138"/>
      <c r="BU77" s="139"/>
      <c r="BV77" s="139"/>
      <c r="BW77" s="148"/>
      <c r="BX77" s="148"/>
      <c r="BY77" s="139"/>
      <c r="BZ77" s="139"/>
      <c r="CA77" s="139"/>
      <c r="CB77" s="148">
        <f t="shared" si="158"/>
        <v>0</v>
      </c>
      <c r="CC77" s="139"/>
      <c r="CD77" s="139"/>
      <c r="CE77" s="139"/>
      <c r="CF77" s="148">
        <f t="shared" si="159"/>
        <v>0</v>
      </c>
      <c r="CG77" s="139"/>
      <c r="CH77" s="139"/>
      <c r="CI77" s="139"/>
      <c r="CJ77" s="148">
        <f t="shared" si="160"/>
        <v>0</v>
      </c>
    </row>
    <row r="78" spans="2:88" ht="9.9499999999999993" customHeight="1" x14ac:dyDescent="0.15">
      <c r="B78" s="142">
        <v>42193</v>
      </c>
      <c r="C78" s="139">
        <v>5444.63</v>
      </c>
      <c r="D78" s="139"/>
      <c r="E78" s="148">
        <f t="shared" si="161"/>
        <v>9.1099119900947031E-2</v>
      </c>
      <c r="F78" s="138">
        <v>3828.38</v>
      </c>
      <c r="G78" s="139"/>
      <c r="H78" s="148">
        <f t="shared" si="162"/>
        <v>9.4253286720173329E-2</v>
      </c>
      <c r="I78" s="139">
        <v>8943.4108122225116</v>
      </c>
      <c r="J78" s="139"/>
      <c r="K78" s="148">
        <f t="shared" si="155"/>
        <v>9.4312915226913346E-2</v>
      </c>
      <c r="L78" s="148">
        <f t="shared" si="163"/>
        <v>9.1930007834943844E-2</v>
      </c>
      <c r="M78" s="139">
        <v>9981.2086706711943</v>
      </c>
      <c r="N78" s="139"/>
      <c r="O78" s="148">
        <f t="shared" si="156"/>
        <v>8.7742261249263293E-2</v>
      </c>
      <c r="P78" s="148">
        <f t="shared" si="164"/>
        <v>9.1930007834943858E-2</v>
      </c>
      <c r="Q78" s="139">
        <v>12776.708278924001</v>
      </c>
      <c r="R78" s="139"/>
      <c r="S78" s="148">
        <f t="shared" si="157"/>
        <v>9.3111122860545126E-2</v>
      </c>
      <c r="T78" s="148">
        <f t="shared" si="165"/>
        <v>9.1930007834943844E-2</v>
      </c>
      <c r="V78" s="142">
        <v>42193</v>
      </c>
      <c r="W78" s="139">
        <v>56</v>
      </c>
      <c r="X78" s="139">
        <v>230</v>
      </c>
      <c r="Y78" s="139"/>
      <c r="Z78" s="139"/>
      <c r="AA78" s="148">
        <f t="shared" si="166"/>
        <v>1.4358974358974359</v>
      </c>
      <c r="AB78" s="148">
        <f t="shared" si="167"/>
        <v>1.393939393939394</v>
      </c>
      <c r="AC78" s="138">
        <v>12</v>
      </c>
      <c r="AD78" s="138">
        <v>50</v>
      </c>
      <c r="AE78" s="139"/>
      <c r="AF78" s="139"/>
      <c r="AG78" s="148">
        <f t="shared" si="168"/>
        <v>1.3333333333333333</v>
      </c>
      <c r="AH78" s="148">
        <f t="shared" si="169"/>
        <v>1</v>
      </c>
      <c r="AI78" s="138">
        <v>110</v>
      </c>
      <c r="AJ78" s="138">
        <v>470</v>
      </c>
      <c r="AK78" s="139"/>
      <c r="AL78" s="139"/>
      <c r="AM78" s="148">
        <f t="shared" si="170"/>
        <v>1.3253012048192772</v>
      </c>
      <c r="AN78" s="148">
        <f t="shared" si="171"/>
        <v>1.1662531017369726</v>
      </c>
      <c r="AO78" s="138">
        <v>21</v>
      </c>
      <c r="AP78" s="138">
        <v>74</v>
      </c>
      <c r="AQ78" s="139"/>
      <c r="AR78" s="139"/>
      <c r="AS78" s="148">
        <f t="shared" si="172"/>
        <v>1.1666666666666667</v>
      </c>
      <c r="AT78" s="148">
        <f t="shared" si="173"/>
        <v>1</v>
      </c>
      <c r="AU78" s="138">
        <v>44</v>
      </c>
      <c r="AV78" s="138">
        <v>180</v>
      </c>
      <c r="AW78" s="139"/>
      <c r="AX78" s="139"/>
      <c r="AY78" s="148">
        <f t="shared" si="174"/>
        <v>0.95652173913043481</v>
      </c>
      <c r="AZ78" s="148">
        <f t="shared" si="175"/>
        <v>0.97297297297297303</v>
      </c>
      <c r="BA78" s="56">
        <v>44</v>
      </c>
      <c r="BB78" s="56">
        <v>150</v>
      </c>
      <c r="BC78" s="139"/>
      <c r="BD78" s="139"/>
      <c r="BE78" s="148">
        <f t="shared" si="176"/>
        <v>1.9130434782608696</v>
      </c>
      <c r="BF78" s="148">
        <f t="shared" si="177"/>
        <v>1.6483516483516483</v>
      </c>
      <c r="BG78" s="56">
        <v>97</v>
      </c>
      <c r="BH78" s="56">
        <v>400</v>
      </c>
      <c r="BI78" s="139"/>
      <c r="BJ78" s="139"/>
      <c r="BK78" s="148">
        <f t="shared" si="178"/>
        <v>1.2933333333333332</v>
      </c>
      <c r="BL78" s="148">
        <f t="shared" si="179"/>
        <v>1.2987012987012987</v>
      </c>
      <c r="BM78" s="138"/>
      <c r="BN78" s="138"/>
      <c r="BO78" s="139"/>
      <c r="BP78" s="139"/>
      <c r="BQ78" s="148"/>
      <c r="BR78" s="148"/>
      <c r="BS78" s="138"/>
      <c r="BT78" s="138"/>
      <c r="BU78" s="139"/>
      <c r="BV78" s="139"/>
      <c r="BW78" s="148"/>
      <c r="BX78" s="148"/>
      <c r="BY78" s="139"/>
      <c r="BZ78" s="139"/>
      <c r="CA78" s="139"/>
      <c r="CB78" s="148">
        <f t="shared" si="158"/>
        <v>0</v>
      </c>
      <c r="CC78" s="139"/>
      <c r="CD78" s="139"/>
      <c r="CE78" s="139"/>
      <c r="CF78" s="148">
        <f t="shared" si="159"/>
        <v>0</v>
      </c>
      <c r="CG78" s="139"/>
      <c r="CH78" s="139"/>
      <c r="CI78" s="139"/>
      <c r="CJ78" s="148">
        <f t="shared" si="160"/>
        <v>0</v>
      </c>
    </row>
    <row r="79" spans="2:88" ht="9.9499999999999993" customHeight="1" x14ac:dyDescent="0.15">
      <c r="B79" s="142">
        <v>42221</v>
      </c>
      <c r="C79" s="139">
        <v>5507.05</v>
      </c>
      <c r="D79" s="139"/>
      <c r="E79" s="148">
        <f t="shared" si="161"/>
        <v>9.2143526419703511E-2</v>
      </c>
      <c r="F79" s="139">
        <v>3788.74</v>
      </c>
      <c r="G79" s="139"/>
      <c r="H79" s="148">
        <f t="shared" si="162"/>
        <v>9.3277364715150912E-2</v>
      </c>
      <c r="I79" s="139">
        <v>8601.2969868870987</v>
      </c>
      <c r="J79" s="147">
        <f>SUM(I68:I79)</f>
        <v>94826.667963575397</v>
      </c>
      <c r="K79" s="148">
        <f t="shared" si="155"/>
        <v>9.0705147129900757E-2</v>
      </c>
      <c r="L79" s="148">
        <f t="shared" si="163"/>
        <v>8.8413393502462856E-2</v>
      </c>
      <c r="M79" s="139">
        <v>9599.3957861364015</v>
      </c>
      <c r="N79" s="147">
        <f>SUM(M68:M79)</f>
        <v>113756.25299342749</v>
      </c>
      <c r="O79" s="148">
        <f t="shared" si="156"/>
        <v>8.4385841504064849E-2</v>
      </c>
      <c r="P79" s="148">
        <f t="shared" si="164"/>
        <v>8.8413393502462856E-2</v>
      </c>
      <c r="Q79" s="139">
        <v>12287.958669152793</v>
      </c>
      <c r="R79" s="147">
        <f>SUM(Q68:Q79)</f>
        <v>137220.455396793</v>
      </c>
      <c r="S79" s="148">
        <f t="shared" si="157"/>
        <v>8.9549327132726952E-2</v>
      </c>
      <c r="T79" s="148">
        <f t="shared" si="165"/>
        <v>8.8413393502462842E-2</v>
      </c>
      <c r="V79" s="142">
        <v>42221</v>
      </c>
      <c r="W79" s="139">
        <v>39</v>
      </c>
      <c r="X79" s="139">
        <v>170</v>
      </c>
      <c r="Y79" s="139"/>
      <c r="Z79" s="139"/>
      <c r="AA79" s="148">
        <f t="shared" si="166"/>
        <v>1</v>
      </c>
      <c r="AB79" s="148">
        <f t="shared" si="167"/>
        <v>1.0303030303030303</v>
      </c>
      <c r="AC79" s="139">
        <v>3</v>
      </c>
      <c r="AD79" s="139">
        <v>57</v>
      </c>
      <c r="AE79" s="139"/>
      <c r="AF79" s="139"/>
      <c r="AG79" s="148">
        <f t="shared" si="168"/>
        <v>0.33333333333333331</v>
      </c>
      <c r="AH79" s="148">
        <f t="shared" si="169"/>
        <v>1.1399999999999999</v>
      </c>
      <c r="AI79" s="139">
        <v>82</v>
      </c>
      <c r="AJ79" s="139">
        <v>400</v>
      </c>
      <c r="AK79" s="139"/>
      <c r="AL79" s="139"/>
      <c r="AM79" s="148">
        <f t="shared" si="170"/>
        <v>0.98795180722891562</v>
      </c>
      <c r="AN79" s="148">
        <f t="shared" si="171"/>
        <v>0.99255583126550873</v>
      </c>
      <c r="AO79" s="139">
        <v>16</v>
      </c>
      <c r="AP79" s="139">
        <v>68</v>
      </c>
      <c r="AQ79" s="139"/>
      <c r="AR79" s="139"/>
      <c r="AS79" s="148">
        <f t="shared" si="172"/>
        <v>0.88888888888888884</v>
      </c>
      <c r="AT79" s="148">
        <f t="shared" si="173"/>
        <v>0.91891891891891897</v>
      </c>
      <c r="AU79" s="139">
        <v>35</v>
      </c>
      <c r="AV79" s="139">
        <v>140</v>
      </c>
      <c r="AW79" s="139"/>
      <c r="AX79" s="139"/>
      <c r="AY79" s="148">
        <f t="shared" si="174"/>
        <v>0.76086956521739135</v>
      </c>
      <c r="AZ79" s="148">
        <f t="shared" si="175"/>
        <v>0.7567567567567568</v>
      </c>
      <c r="BA79" s="56">
        <v>18</v>
      </c>
      <c r="BB79" s="56">
        <v>84</v>
      </c>
      <c r="BC79" s="139"/>
      <c r="BD79" s="139"/>
      <c r="BE79" s="148">
        <f t="shared" si="176"/>
        <v>0.78260869565217395</v>
      </c>
      <c r="BF79" s="148">
        <f t="shared" si="177"/>
        <v>0.92307692307692313</v>
      </c>
      <c r="BG79" s="56">
        <v>62</v>
      </c>
      <c r="BH79" s="56">
        <v>250</v>
      </c>
      <c r="BI79" s="139"/>
      <c r="BJ79" s="139"/>
      <c r="BK79" s="148">
        <f t="shared" si="178"/>
        <v>0.82666666666666666</v>
      </c>
      <c r="BL79" s="148">
        <f t="shared" si="179"/>
        <v>0.81168831168831168</v>
      </c>
      <c r="BM79" s="139"/>
      <c r="BN79" s="139"/>
      <c r="BO79" s="139"/>
      <c r="BP79" s="139"/>
      <c r="BQ79" s="148"/>
      <c r="BR79" s="148"/>
      <c r="BS79" s="139"/>
      <c r="BT79" s="139"/>
      <c r="BU79" s="139"/>
      <c r="BV79" s="139"/>
      <c r="BW79" s="148"/>
      <c r="BX79" s="148"/>
      <c r="BY79" s="139"/>
      <c r="BZ79" s="139"/>
      <c r="CA79" s="147">
        <f>SUM(BY68:BY79)</f>
        <v>0</v>
      </c>
      <c r="CB79" s="148">
        <f t="shared" si="158"/>
        <v>0</v>
      </c>
      <c r="CC79" s="139"/>
      <c r="CD79" s="139"/>
      <c r="CE79" s="147">
        <f>SUM(CC68:CC79)</f>
        <v>0</v>
      </c>
      <c r="CF79" s="148">
        <f t="shared" si="159"/>
        <v>0</v>
      </c>
      <c r="CG79" s="139"/>
      <c r="CH79" s="139"/>
      <c r="CI79" s="147">
        <f>SUM(CG68:CG79)</f>
        <v>0</v>
      </c>
      <c r="CJ79" s="148">
        <f t="shared" si="160"/>
        <v>0</v>
      </c>
    </row>
    <row r="80" spans="2:88" ht="9.9499999999999993" customHeight="1" x14ac:dyDescent="0.15">
      <c r="B80" s="142">
        <v>42249</v>
      </c>
      <c r="C80" s="139">
        <v>5124.37</v>
      </c>
      <c r="D80" s="139"/>
      <c r="E80" s="148">
        <f t="shared" si="161"/>
        <v>8.5740554830505633E-2</v>
      </c>
      <c r="F80" s="139">
        <v>3700.23</v>
      </c>
      <c r="G80" s="139"/>
      <c r="H80" s="148">
        <f t="shared" si="162"/>
        <v>9.1098281550051702E-2</v>
      </c>
      <c r="I80" s="139">
        <v>8687.8594660090985</v>
      </c>
      <c r="J80" s="139"/>
      <c r="K80" s="148">
        <f>I80/96639</f>
        <v>8.9900138308644531E-2</v>
      </c>
      <c r="L80" s="148">
        <f t="shared" si="163"/>
        <v>8.9303175885379019E-2</v>
      </c>
      <c r="M80" s="139">
        <v>9696.003018579142</v>
      </c>
      <c r="N80" s="139"/>
      <c r="O80" s="148">
        <f>M80/104930</f>
        <v>9.2404488883819136E-2</v>
      </c>
      <c r="P80" s="148">
        <f t="shared" si="164"/>
        <v>8.9303175885379019E-2</v>
      </c>
      <c r="Q80" s="139">
        <v>12411.623294077634</v>
      </c>
      <c r="R80" s="139"/>
      <c r="S80" s="148">
        <f>Q80/143795</f>
        <v>8.6314707007042205E-2</v>
      </c>
      <c r="T80" s="148">
        <f t="shared" si="165"/>
        <v>8.9303175885379033E-2</v>
      </c>
      <c r="V80" s="142">
        <v>42249</v>
      </c>
      <c r="W80" s="139">
        <v>35</v>
      </c>
      <c r="X80" s="139">
        <v>160</v>
      </c>
      <c r="Y80" s="139"/>
      <c r="Z80" s="139"/>
      <c r="AA80" s="148">
        <f t="shared" si="166"/>
        <v>0.89743589743589747</v>
      </c>
      <c r="AB80" s="148">
        <f t="shared" si="167"/>
        <v>0.96969696969696972</v>
      </c>
      <c r="AC80" s="139">
        <v>21</v>
      </c>
      <c r="AD80" s="139">
        <v>85</v>
      </c>
      <c r="AE80" s="139"/>
      <c r="AF80" s="139"/>
      <c r="AG80" s="148">
        <f t="shared" si="168"/>
        <v>2.3333333333333335</v>
      </c>
      <c r="AH80" s="148">
        <f t="shared" si="169"/>
        <v>1.7</v>
      </c>
      <c r="AI80" s="139">
        <v>89</v>
      </c>
      <c r="AJ80" s="139">
        <v>490</v>
      </c>
      <c r="AK80" s="139"/>
      <c r="AL80" s="139"/>
      <c r="AM80" s="148">
        <f t="shared" si="170"/>
        <v>1.072289156626506</v>
      </c>
      <c r="AN80" s="148">
        <f t="shared" si="171"/>
        <v>1.2158808933002481</v>
      </c>
      <c r="AO80" s="139">
        <v>15</v>
      </c>
      <c r="AP80" s="139">
        <v>67</v>
      </c>
      <c r="AQ80" s="139"/>
      <c r="AR80" s="139"/>
      <c r="AS80" s="148">
        <f t="shared" si="172"/>
        <v>0.83333333333333337</v>
      </c>
      <c r="AT80" s="148">
        <f t="shared" si="173"/>
        <v>0.90540540540540537</v>
      </c>
      <c r="AU80" s="139">
        <v>29</v>
      </c>
      <c r="AV80" s="139">
        <v>120</v>
      </c>
      <c r="AW80" s="139"/>
      <c r="AX80" s="139"/>
      <c r="AY80" s="148">
        <f t="shared" si="174"/>
        <v>0.63043478260869568</v>
      </c>
      <c r="AZ80" s="148">
        <f t="shared" si="175"/>
        <v>0.64864864864864868</v>
      </c>
      <c r="BA80" s="56">
        <v>30</v>
      </c>
      <c r="BB80" s="56">
        <v>120</v>
      </c>
      <c r="BC80" s="139"/>
      <c r="BD80" s="139"/>
      <c r="BE80" s="148">
        <f t="shared" si="176"/>
        <v>1.3043478260869565</v>
      </c>
      <c r="BF80" s="148">
        <f t="shared" si="177"/>
        <v>1.3186813186813187</v>
      </c>
      <c r="BG80" s="56">
        <v>76</v>
      </c>
      <c r="BH80" s="56">
        <v>330</v>
      </c>
      <c r="BI80" s="139"/>
      <c r="BJ80" s="139"/>
      <c r="BK80" s="148">
        <f t="shared" si="178"/>
        <v>1.0133333333333334</v>
      </c>
      <c r="BL80" s="148">
        <f t="shared" si="179"/>
        <v>1.0714285714285714</v>
      </c>
      <c r="BM80" s="139"/>
      <c r="BN80" s="139"/>
      <c r="BO80" s="139"/>
      <c r="BP80" s="139"/>
      <c r="BQ80" s="148"/>
      <c r="BR80" s="148"/>
      <c r="BS80" s="139"/>
      <c r="BT80" s="139"/>
      <c r="BU80" s="139"/>
      <c r="BV80" s="139"/>
      <c r="BW80" s="148"/>
      <c r="BX80" s="148"/>
      <c r="BY80" s="139"/>
      <c r="BZ80" s="139"/>
      <c r="CA80" s="139"/>
      <c r="CB80" s="148">
        <f>BY80/96639</f>
        <v>0</v>
      </c>
      <c r="CC80" s="139"/>
      <c r="CD80" s="139"/>
      <c r="CE80" s="139"/>
      <c r="CF80" s="148">
        <f>CC80/104930</f>
        <v>0</v>
      </c>
      <c r="CG80" s="139"/>
      <c r="CH80" s="139"/>
      <c r="CI80" s="139"/>
      <c r="CJ80" s="148">
        <f>CG80/143795</f>
        <v>0</v>
      </c>
    </row>
    <row r="81" spans="2:88" ht="9.9499999999999993" customHeight="1" x14ac:dyDescent="0.15">
      <c r="B81" s="142">
        <v>42284</v>
      </c>
      <c r="C81" s="139">
        <v>5005.3</v>
      </c>
      <c r="D81" s="139"/>
      <c r="E81" s="148">
        <f t="shared" si="161"/>
        <v>8.3748284978081192E-2</v>
      </c>
      <c r="F81" s="138">
        <v>3571.69</v>
      </c>
      <c r="G81" s="139"/>
      <c r="H81" s="148">
        <f t="shared" si="162"/>
        <v>8.7933674725491157E-2</v>
      </c>
      <c r="I81" s="139">
        <v>8333.3373672159232</v>
      </c>
      <c r="J81" s="139"/>
      <c r="K81" s="148">
        <f t="shared" ref="K81:K91" si="180">I81/96639</f>
        <v>8.6231618365421037E-2</v>
      </c>
      <c r="L81" s="148">
        <f t="shared" si="163"/>
        <v>8.5659015955346904E-2</v>
      </c>
      <c r="M81" s="139">
        <v>9300.3419983358344</v>
      </c>
      <c r="N81" s="139"/>
      <c r="O81" s="148">
        <f t="shared" ref="O81:O91" si="181">M81/104930</f>
        <v>8.8633774881690983E-2</v>
      </c>
      <c r="P81" s="148">
        <f t="shared" si="164"/>
        <v>8.5659015955346904E-2</v>
      </c>
      <c r="Q81" s="139">
        <v>11905.147014521977</v>
      </c>
      <c r="R81" s="139"/>
      <c r="S81" s="148">
        <f t="shared" ref="S81:S91" si="182">Q81/143795</f>
        <v>8.2792496363030543E-2</v>
      </c>
      <c r="T81" s="148">
        <f t="shared" si="165"/>
        <v>8.565901595534689E-2</v>
      </c>
      <c r="V81" s="142">
        <v>42284</v>
      </c>
      <c r="W81" s="139">
        <v>34</v>
      </c>
      <c r="X81" s="139">
        <v>160</v>
      </c>
      <c r="Y81" s="139"/>
      <c r="Z81" s="139"/>
      <c r="AA81" s="148">
        <f t="shared" si="166"/>
        <v>0.87179487179487181</v>
      </c>
      <c r="AB81" s="148">
        <f t="shared" si="167"/>
        <v>0.96969696969696972</v>
      </c>
      <c r="AC81" s="138">
        <v>3</v>
      </c>
      <c r="AD81" s="138">
        <v>49</v>
      </c>
      <c r="AE81" s="139"/>
      <c r="AF81" s="139"/>
      <c r="AG81" s="148">
        <f t="shared" si="168"/>
        <v>0.33333333333333331</v>
      </c>
      <c r="AH81" s="148">
        <f t="shared" si="169"/>
        <v>0.98</v>
      </c>
      <c r="AI81" s="138">
        <v>76</v>
      </c>
      <c r="AJ81" s="138">
        <v>480</v>
      </c>
      <c r="AK81" s="139"/>
      <c r="AL81" s="139"/>
      <c r="AM81" s="148">
        <f t="shared" si="170"/>
        <v>0.91566265060240959</v>
      </c>
      <c r="AN81" s="148">
        <f t="shared" si="171"/>
        <v>1.1910669975186103</v>
      </c>
      <c r="AO81" s="138">
        <v>13</v>
      </c>
      <c r="AP81" s="138">
        <v>65</v>
      </c>
      <c r="AQ81" s="139"/>
      <c r="AR81" s="139"/>
      <c r="AS81" s="148">
        <f t="shared" si="172"/>
        <v>0.72222222222222221</v>
      </c>
      <c r="AT81" s="148">
        <f t="shared" si="173"/>
        <v>0.8783783783783784</v>
      </c>
      <c r="AU81" s="138">
        <v>40</v>
      </c>
      <c r="AV81" s="138">
        <v>180</v>
      </c>
      <c r="AW81" s="139"/>
      <c r="AX81" s="139"/>
      <c r="AY81" s="148">
        <f t="shared" si="174"/>
        <v>0.86956521739130432</v>
      </c>
      <c r="AZ81" s="148">
        <f t="shared" si="175"/>
        <v>0.97297297297297303</v>
      </c>
      <c r="BA81" s="56">
        <v>16</v>
      </c>
      <c r="BB81" s="56">
        <v>67</v>
      </c>
      <c r="BC81" s="139"/>
      <c r="BD81" s="139"/>
      <c r="BE81" s="148">
        <f t="shared" si="176"/>
        <v>0.69565217391304346</v>
      </c>
      <c r="BF81" s="148">
        <f t="shared" si="177"/>
        <v>0.73626373626373631</v>
      </c>
      <c r="BG81" s="56">
        <v>64</v>
      </c>
      <c r="BH81" s="56">
        <v>280</v>
      </c>
      <c r="BI81" s="139"/>
      <c r="BJ81" s="139"/>
      <c r="BK81" s="148">
        <f t="shared" si="178"/>
        <v>0.85333333333333339</v>
      </c>
      <c r="BL81" s="148">
        <f t="shared" si="179"/>
        <v>0.90909090909090906</v>
      </c>
      <c r="BM81" s="138"/>
      <c r="BN81" s="138"/>
      <c r="BO81" s="139"/>
      <c r="BP81" s="139"/>
      <c r="BQ81" s="148"/>
      <c r="BR81" s="148"/>
      <c r="BS81" s="138"/>
      <c r="BT81" s="138"/>
      <c r="BU81" s="139"/>
      <c r="BV81" s="139"/>
      <c r="BW81" s="148"/>
      <c r="BX81" s="148"/>
      <c r="BY81" s="139"/>
      <c r="BZ81" s="139"/>
      <c r="CA81" s="139"/>
      <c r="CB81" s="148">
        <f t="shared" ref="CB81:CB91" si="183">BY81/96639</f>
        <v>0</v>
      </c>
      <c r="CC81" s="139"/>
      <c r="CD81" s="139"/>
      <c r="CE81" s="139"/>
      <c r="CF81" s="148">
        <f t="shared" ref="CF81:CF91" si="184">CC81/104930</f>
        <v>0</v>
      </c>
      <c r="CG81" s="139"/>
      <c r="CH81" s="139"/>
      <c r="CI81" s="139"/>
      <c r="CJ81" s="148">
        <f t="shared" ref="CJ81:CJ91" si="185">CG81/143795</f>
        <v>0</v>
      </c>
    </row>
    <row r="82" spans="2:88" ht="9.9499999999999993" customHeight="1" x14ac:dyDescent="0.15">
      <c r="B82" s="142">
        <v>42312</v>
      </c>
      <c r="C82" s="139">
        <v>4810.2299999999996</v>
      </c>
      <c r="D82" s="139"/>
      <c r="E82" s="148">
        <f t="shared" si="161"/>
        <v>8.0484389117558466E-2</v>
      </c>
      <c r="F82" s="139">
        <v>3233.36</v>
      </c>
      <c r="G82" s="139"/>
      <c r="H82" s="148">
        <f t="shared" si="162"/>
        <v>7.9604116401595357E-2</v>
      </c>
      <c r="I82" s="139">
        <v>7892.8436594654013</v>
      </c>
      <c r="J82" s="139"/>
      <c r="K82" s="148">
        <f t="shared" si="180"/>
        <v>8.167348233596583E-2</v>
      </c>
      <c r="L82" s="148">
        <f t="shared" si="163"/>
        <v>8.1131147242281973E-2</v>
      </c>
      <c r="M82" s="139">
        <v>8808.7331806835227</v>
      </c>
      <c r="N82" s="139"/>
      <c r="O82" s="148">
        <f t="shared" si="181"/>
        <v>8.394866273404672E-2</v>
      </c>
      <c r="P82" s="148">
        <f t="shared" si="164"/>
        <v>8.1131147242281973E-2</v>
      </c>
      <c r="Q82" s="139">
        <v>11275.850237174076</v>
      </c>
      <c r="R82" s="139"/>
      <c r="S82" s="148">
        <f t="shared" si="182"/>
        <v>7.8416149637846072E-2</v>
      </c>
      <c r="T82" s="148">
        <f t="shared" si="165"/>
        <v>8.1131147242281973E-2</v>
      </c>
      <c r="V82" s="142">
        <v>42312</v>
      </c>
      <c r="W82" s="139">
        <v>39</v>
      </c>
      <c r="X82" s="139">
        <v>170</v>
      </c>
      <c r="Y82" s="139"/>
      <c r="Z82" s="139"/>
      <c r="AA82" s="148">
        <f t="shared" si="166"/>
        <v>1</v>
      </c>
      <c r="AB82" s="148">
        <f t="shared" si="167"/>
        <v>1.0303030303030303</v>
      </c>
      <c r="AC82" s="139">
        <v>3</v>
      </c>
      <c r="AD82" s="139">
        <v>32</v>
      </c>
      <c r="AE82" s="139"/>
      <c r="AF82" s="139"/>
      <c r="AG82" s="148">
        <f t="shared" si="168"/>
        <v>0.33333333333333331</v>
      </c>
      <c r="AH82" s="148">
        <f t="shared" si="169"/>
        <v>0.64</v>
      </c>
      <c r="AI82" s="139">
        <v>67</v>
      </c>
      <c r="AJ82" s="139">
        <v>350</v>
      </c>
      <c r="AK82" s="139"/>
      <c r="AL82" s="139"/>
      <c r="AM82" s="148">
        <f t="shared" si="170"/>
        <v>0.80722891566265065</v>
      </c>
      <c r="AN82" s="148">
        <f t="shared" si="171"/>
        <v>0.86848635235732008</v>
      </c>
      <c r="AO82" s="139">
        <v>11</v>
      </c>
      <c r="AP82" s="139">
        <v>51</v>
      </c>
      <c r="AQ82" s="139"/>
      <c r="AR82" s="139"/>
      <c r="AS82" s="148">
        <f t="shared" si="172"/>
        <v>0.61111111111111116</v>
      </c>
      <c r="AT82" s="148">
        <f t="shared" si="173"/>
        <v>0.68918918918918914</v>
      </c>
      <c r="AU82" s="139">
        <v>25</v>
      </c>
      <c r="AV82" s="139">
        <v>110</v>
      </c>
      <c r="AW82" s="139"/>
      <c r="AX82" s="139"/>
      <c r="AY82" s="148">
        <f t="shared" si="174"/>
        <v>0.54347826086956519</v>
      </c>
      <c r="AZ82" s="148">
        <f t="shared" si="175"/>
        <v>0.59459459459459463</v>
      </c>
      <c r="BA82" s="56">
        <v>11</v>
      </c>
      <c r="BB82" s="56">
        <v>55</v>
      </c>
      <c r="BC82" s="139"/>
      <c r="BD82" s="139"/>
      <c r="BE82" s="148">
        <f t="shared" si="176"/>
        <v>0.47826086956521741</v>
      </c>
      <c r="BF82" s="148">
        <f t="shared" si="177"/>
        <v>0.60439560439560436</v>
      </c>
      <c r="BG82" s="56">
        <v>61</v>
      </c>
      <c r="BH82" s="56">
        <v>250</v>
      </c>
      <c r="BI82" s="139"/>
      <c r="BJ82" s="139"/>
      <c r="BK82" s="148">
        <f t="shared" si="178"/>
        <v>0.81333333333333335</v>
      </c>
      <c r="BL82" s="148">
        <f t="shared" si="179"/>
        <v>0.81168831168831168</v>
      </c>
      <c r="BM82" s="139"/>
      <c r="BN82" s="139"/>
      <c r="BO82" s="139"/>
      <c r="BP82" s="139"/>
      <c r="BQ82" s="148"/>
      <c r="BR82" s="148"/>
      <c r="BS82" s="139"/>
      <c r="BT82" s="139"/>
      <c r="BU82" s="139"/>
      <c r="BV82" s="139"/>
      <c r="BW82" s="148"/>
      <c r="BX82" s="148"/>
      <c r="BY82" s="139"/>
      <c r="BZ82" s="139"/>
      <c r="CA82" s="139"/>
      <c r="CB82" s="148">
        <f t="shared" si="183"/>
        <v>0</v>
      </c>
      <c r="CC82" s="139"/>
      <c r="CD82" s="139"/>
      <c r="CE82" s="139"/>
      <c r="CF82" s="148">
        <f t="shared" si="184"/>
        <v>0</v>
      </c>
      <c r="CG82" s="139"/>
      <c r="CH82" s="139"/>
      <c r="CI82" s="139"/>
      <c r="CJ82" s="148">
        <f t="shared" si="185"/>
        <v>0</v>
      </c>
    </row>
    <row r="83" spans="2:88" ht="9.9499999999999993" customHeight="1" x14ac:dyDescent="0.15">
      <c r="B83" s="142">
        <v>42340</v>
      </c>
      <c r="C83" s="139">
        <v>5090.9399999999996</v>
      </c>
      <c r="D83" s="139"/>
      <c r="E83" s="148">
        <f t="shared" si="161"/>
        <v>8.5181206706153992E-2</v>
      </c>
      <c r="F83" s="139">
        <v>3359.44</v>
      </c>
      <c r="G83" s="139"/>
      <c r="H83" s="148">
        <f t="shared" si="162"/>
        <v>8.2708158944310411E-2</v>
      </c>
      <c r="I83" s="139">
        <v>8564.3676015961428</v>
      </c>
      <c r="J83" s="139"/>
      <c r="K83" s="148">
        <f t="shared" si="180"/>
        <v>8.8622270528421684E-2</v>
      </c>
      <c r="L83" s="148">
        <f t="shared" si="163"/>
        <v>8.8033793509751171E-2</v>
      </c>
      <c r="M83" s="139">
        <v>9558.1810965277236</v>
      </c>
      <c r="N83" s="139"/>
      <c r="O83" s="148">
        <f t="shared" si="181"/>
        <v>9.109102350641117E-2</v>
      </c>
      <c r="P83" s="148">
        <f t="shared" si="164"/>
        <v>8.8033793509751171E-2</v>
      </c>
      <c r="Q83" s="139">
        <v>12235.200723365746</v>
      </c>
      <c r="R83" s="139"/>
      <c r="S83" s="148">
        <f t="shared" si="182"/>
        <v>8.508780363271147E-2</v>
      </c>
      <c r="T83" s="148">
        <f t="shared" si="165"/>
        <v>8.8033793509751157E-2</v>
      </c>
      <c r="V83" s="142">
        <v>42340</v>
      </c>
      <c r="W83" s="139">
        <v>33</v>
      </c>
      <c r="X83" s="139">
        <v>140</v>
      </c>
      <c r="Y83" s="139"/>
      <c r="Z83" s="139"/>
      <c r="AA83" s="148">
        <f t="shared" si="166"/>
        <v>0.84615384615384615</v>
      </c>
      <c r="AB83" s="148">
        <f t="shared" si="167"/>
        <v>0.84848484848484851</v>
      </c>
      <c r="AC83" s="139">
        <v>3</v>
      </c>
      <c r="AD83" s="139">
        <v>25</v>
      </c>
      <c r="AE83" s="139"/>
      <c r="AF83" s="139"/>
      <c r="AG83" s="148">
        <f t="shared" si="168"/>
        <v>0.33333333333333331</v>
      </c>
      <c r="AH83" s="148">
        <f t="shared" si="169"/>
        <v>0.5</v>
      </c>
      <c r="AI83" s="139">
        <v>64</v>
      </c>
      <c r="AJ83" s="139">
        <v>310</v>
      </c>
      <c r="AK83" s="139"/>
      <c r="AL83" s="139"/>
      <c r="AM83" s="148">
        <f t="shared" si="170"/>
        <v>0.77108433734939763</v>
      </c>
      <c r="AN83" s="148">
        <f t="shared" si="171"/>
        <v>0.76923076923076927</v>
      </c>
      <c r="AO83" s="139">
        <v>13</v>
      </c>
      <c r="AP83" s="139">
        <v>57</v>
      </c>
      <c r="AQ83" s="139"/>
      <c r="AR83" s="139"/>
      <c r="AS83" s="148">
        <f t="shared" si="172"/>
        <v>0.72222222222222221</v>
      </c>
      <c r="AT83" s="148">
        <f t="shared" si="173"/>
        <v>0.77027027027027029</v>
      </c>
      <c r="AU83" s="139">
        <v>32</v>
      </c>
      <c r="AV83" s="139">
        <v>130</v>
      </c>
      <c r="AW83" s="139"/>
      <c r="AX83" s="139"/>
      <c r="AY83" s="148">
        <f t="shared" si="174"/>
        <v>0.69565217391304346</v>
      </c>
      <c r="AZ83" s="148">
        <f t="shared" si="175"/>
        <v>0.70270270270270274</v>
      </c>
      <c r="BA83" s="56">
        <v>12</v>
      </c>
      <c r="BB83" s="56">
        <v>61</v>
      </c>
      <c r="BC83" s="139"/>
      <c r="BD83" s="139"/>
      <c r="BE83" s="148">
        <f t="shared" si="176"/>
        <v>0.52173913043478259</v>
      </c>
      <c r="BF83" s="148">
        <f t="shared" si="177"/>
        <v>0.67032967032967028</v>
      </c>
      <c r="BG83" s="56">
        <v>53</v>
      </c>
      <c r="BH83" s="56">
        <v>240</v>
      </c>
      <c r="BI83" s="139"/>
      <c r="BJ83" s="139"/>
      <c r="BK83" s="148">
        <f t="shared" si="178"/>
        <v>0.70666666666666667</v>
      </c>
      <c r="BL83" s="148">
        <f t="shared" si="179"/>
        <v>0.77922077922077926</v>
      </c>
      <c r="BM83" s="139"/>
      <c r="BN83" s="139"/>
      <c r="BO83" s="139"/>
      <c r="BP83" s="139"/>
      <c r="BQ83" s="148"/>
      <c r="BR83" s="148"/>
      <c r="BS83" s="139"/>
      <c r="BT83" s="139"/>
      <c r="BU83" s="139"/>
      <c r="BV83" s="139"/>
      <c r="BW83" s="148"/>
      <c r="BX83" s="148"/>
      <c r="BY83" s="139"/>
      <c r="BZ83" s="139"/>
      <c r="CA83" s="139"/>
      <c r="CB83" s="148">
        <f t="shared" si="183"/>
        <v>0</v>
      </c>
      <c r="CC83" s="139"/>
      <c r="CD83" s="139"/>
      <c r="CE83" s="139"/>
      <c r="CF83" s="148">
        <f t="shared" si="184"/>
        <v>0</v>
      </c>
      <c r="CG83" s="139"/>
      <c r="CH83" s="139"/>
      <c r="CI83" s="139"/>
      <c r="CJ83" s="148">
        <f t="shared" si="185"/>
        <v>0</v>
      </c>
    </row>
    <row r="84" spans="2:88" ht="9.9499999999999993" customHeight="1" x14ac:dyDescent="0.15">
      <c r="B84" s="142">
        <v>42375</v>
      </c>
      <c r="C84" s="139">
        <v>4515.71</v>
      </c>
      <c r="D84" s="139"/>
      <c r="E84" s="148">
        <f t="shared" si="161"/>
        <v>7.5556503697754573E-2</v>
      </c>
      <c r="F84" s="139">
        <v>2915.17</v>
      </c>
      <c r="G84" s="139"/>
      <c r="H84" s="148">
        <f t="shared" si="162"/>
        <v>7.1770397360776006E-2</v>
      </c>
      <c r="I84" s="139">
        <v>7034.0138751389331</v>
      </c>
      <c r="J84" s="139"/>
      <c r="K84" s="148">
        <f t="shared" si="180"/>
        <v>7.2786492773506892E-2</v>
      </c>
      <c r="L84" s="148">
        <f t="shared" si="163"/>
        <v>7.230316981177913E-2</v>
      </c>
      <c r="M84" s="139">
        <v>7850.2443591441079</v>
      </c>
      <c r="N84" s="139"/>
      <c r="O84" s="148">
        <f t="shared" si="181"/>
        <v>7.4814108063891244E-2</v>
      </c>
      <c r="P84" s="148">
        <f t="shared" si="164"/>
        <v>7.230316981177913E-2</v>
      </c>
      <c r="Q84" s="139">
        <v>10048.911449950499</v>
      </c>
      <c r="R84" s="139"/>
      <c r="S84" s="148">
        <f t="shared" si="182"/>
        <v>6.988359435272784E-2</v>
      </c>
      <c r="T84" s="148">
        <f t="shared" si="165"/>
        <v>7.230316981177913E-2</v>
      </c>
      <c r="V84" s="142">
        <v>42375</v>
      </c>
      <c r="W84" s="139">
        <v>23</v>
      </c>
      <c r="X84" s="139">
        <v>110</v>
      </c>
      <c r="Y84" s="139"/>
      <c r="Z84" s="139"/>
      <c r="AA84" s="148">
        <f t="shared" si="166"/>
        <v>0.58974358974358976</v>
      </c>
      <c r="AB84" s="148">
        <f t="shared" si="167"/>
        <v>0.66666666666666663</v>
      </c>
      <c r="AC84" s="139">
        <v>3</v>
      </c>
      <c r="AD84" s="139">
        <v>23</v>
      </c>
      <c r="AE84" s="139"/>
      <c r="AF84" s="139"/>
      <c r="AG84" s="148">
        <f t="shared" si="168"/>
        <v>0.33333333333333331</v>
      </c>
      <c r="AH84" s="148">
        <f t="shared" si="169"/>
        <v>0.46</v>
      </c>
      <c r="AI84" s="139">
        <v>37</v>
      </c>
      <c r="AJ84" s="139">
        <v>150</v>
      </c>
      <c r="AK84" s="139"/>
      <c r="AL84" s="139"/>
      <c r="AM84" s="148">
        <f t="shared" si="170"/>
        <v>0.44578313253012047</v>
      </c>
      <c r="AN84" s="148">
        <f t="shared" si="171"/>
        <v>0.37220843672456577</v>
      </c>
      <c r="AO84" s="139">
        <v>5.2</v>
      </c>
      <c r="AP84" s="139">
        <v>27</v>
      </c>
      <c r="AQ84" s="139"/>
      <c r="AR84" s="139"/>
      <c r="AS84" s="148">
        <f t="shared" si="172"/>
        <v>0.28888888888888892</v>
      </c>
      <c r="AT84" s="148">
        <f t="shared" si="173"/>
        <v>0.36486486486486486</v>
      </c>
      <c r="AU84" s="139">
        <v>18</v>
      </c>
      <c r="AV84" s="139">
        <v>79</v>
      </c>
      <c r="AW84" s="139"/>
      <c r="AX84" s="139"/>
      <c r="AY84" s="148">
        <f t="shared" si="174"/>
        <v>0.39130434782608697</v>
      </c>
      <c r="AZ84" s="148">
        <f t="shared" si="175"/>
        <v>0.42702702702702705</v>
      </c>
      <c r="BA84" s="56">
        <v>6.7</v>
      </c>
      <c r="BB84" s="56">
        <v>35</v>
      </c>
      <c r="BC84" s="139"/>
      <c r="BD84" s="139"/>
      <c r="BE84" s="148">
        <f t="shared" si="176"/>
        <v>0.29130434782608694</v>
      </c>
      <c r="BF84" s="148">
        <f t="shared" si="177"/>
        <v>0.38461538461538464</v>
      </c>
      <c r="BG84" s="56">
        <v>34</v>
      </c>
      <c r="BH84" s="56">
        <v>140</v>
      </c>
      <c r="BI84" s="139"/>
      <c r="BJ84" s="139"/>
      <c r="BK84" s="148">
        <f t="shared" si="178"/>
        <v>0.45333333333333331</v>
      </c>
      <c r="BL84" s="148">
        <f t="shared" si="179"/>
        <v>0.45454545454545453</v>
      </c>
      <c r="BM84" s="139">
        <v>1.5</v>
      </c>
      <c r="BN84" s="139">
        <v>6.3</v>
      </c>
      <c r="BO84" s="139"/>
      <c r="BP84" s="139"/>
      <c r="BQ84" s="148"/>
      <c r="BR84" s="148"/>
      <c r="BS84" s="139">
        <v>10</v>
      </c>
      <c r="BT84" s="139">
        <v>53</v>
      </c>
      <c r="BU84" s="139"/>
      <c r="BV84" s="139"/>
      <c r="BW84" s="148"/>
      <c r="BX84" s="148"/>
      <c r="BY84" s="139"/>
      <c r="BZ84" s="139"/>
      <c r="CA84" s="139"/>
      <c r="CB84" s="148">
        <f t="shared" si="183"/>
        <v>0</v>
      </c>
      <c r="CC84" s="139"/>
      <c r="CD84" s="139"/>
      <c r="CE84" s="139"/>
      <c r="CF84" s="148">
        <f t="shared" si="184"/>
        <v>0</v>
      </c>
      <c r="CG84" s="139"/>
      <c r="CH84" s="139"/>
      <c r="CI84" s="139"/>
      <c r="CJ84" s="148">
        <f t="shared" si="185"/>
        <v>0</v>
      </c>
    </row>
    <row r="85" spans="2:88" ht="9.9499999999999993" customHeight="1" x14ac:dyDescent="0.15">
      <c r="B85" s="142">
        <v>42403</v>
      </c>
      <c r="C85" s="139">
        <v>4193.24</v>
      </c>
      <c r="D85" s="139"/>
      <c r="E85" s="148">
        <f t="shared" si="161"/>
        <v>7.0160961081551385E-2</v>
      </c>
      <c r="F85" s="139">
        <v>2728.16</v>
      </c>
      <c r="G85" s="139"/>
      <c r="H85" s="148">
        <f t="shared" si="162"/>
        <v>6.716628095918066E-2</v>
      </c>
      <c r="I85" s="139">
        <v>6707.5581091668846</v>
      </c>
      <c r="J85" s="139"/>
      <c r="K85" s="148">
        <f t="shared" si="180"/>
        <v>6.9408397325788601E-2</v>
      </c>
      <c r="L85" s="148">
        <f t="shared" si="163"/>
        <v>6.894750587620789E-2</v>
      </c>
      <c r="M85" s="139">
        <v>7485.9065030033953</v>
      </c>
      <c r="N85" s="139"/>
      <c r="O85" s="148">
        <f t="shared" si="181"/>
        <v>7.1341908920264888E-2</v>
      </c>
      <c r="P85" s="148">
        <f t="shared" si="164"/>
        <v>6.894750587620789E-2</v>
      </c>
      <c r="Q85" s="139">
        <v>9582.5312091930009</v>
      </c>
      <c r="R85" s="139"/>
      <c r="S85" s="148">
        <f t="shared" si="182"/>
        <v>6.6640225384700449E-2</v>
      </c>
      <c r="T85" s="148">
        <f t="shared" si="165"/>
        <v>6.894750587620789E-2</v>
      </c>
      <c r="V85" s="142">
        <v>42403</v>
      </c>
      <c r="W85" s="139">
        <v>24</v>
      </c>
      <c r="X85" s="139">
        <v>120</v>
      </c>
      <c r="Y85" s="139"/>
      <c r="Z85" s="139"/>
      <c r="AA85" s="148">
        <f t="shared" si="166"/>
        <v>0.61538461538461542</v>
      </c>
      <c r="AB85" s="148">
        <f t="shared" si="167"/>
        <v>0.72727272727272729</v>
      </c>
      <c r="AC85" s="139">
        <v>3</v>
      </c>
      <c r="AD85" s="139">
        <v>24</v>
      </c>
      <c r="AE85" s="139"/>
      <c r="AF85" s="139"/>
      <c r="AG85" s="148">
        <f t="shared" si="168"/>
        <v>0.33333333333333331</v>
      </c>
      <c r="AH85" s="148">
        <f t="shared" si="169"/>
        <v>0.48</v>
      </c>
      <c r="AI85" s="139">
        <v>37</v>
      </c>
      <c r="AJ85" s="139">
        <v>240</v>
      </c>
      <c r="AK85" s="139"/>
      <c r="AL85" s="139"/>
      <c r="AM85" s="148">
        <f t="shared" si="170"/>
        <v>0.44578313253012047</v>
      </c>
      <c r="AN85" s="148">
        <f t="shared" si="171"/>
        <v>0.59553349875930517</v>
      </c>
      <c r="AO85" s="139"/>
      <c r="AP85" s="139"/>
      <c r="AQ85" s="139"/>
      <c r="AR85" s="139"/>
      <c r="AS85" s="148">
        <f t="shared" si="172"/>
        <v>0</v>
      </c>
      <c r="AT85" s="148">
        <f t="shared" si="173"/>
        <v>0</v>
      </c>
      <c r="AU85" s="139"/>
      <c r="AV85" s="139"/>
      <c r="AW85" s="139"/>
      <c r="AX85" s="139"/>
      <c r="AY85" s="148">
        <f t="shared" si="174"/>
        <v>0</v>
      </c>
      <c r="AZ85" s="148">
        <f t="shared" si="175"/>
        <v>0</v>
      </c>
      <c r="BA85" s="56">
        <v>15</v>
      </c>
      <c r="BB85" s="56">
        <v>76</v>
      </c>
      <c r="BC85" s="139"/>
      <c r="BD85" s="139"/>
      <c r="BE85" s="148">
        <f t="shared" si="176"/>
        <v>0.65217391304347827</v>
      </c>
      <c r="BF85" s="148">
        <f t="shared" si="177"/>
        <v>0.8351648351648352</v>
      </c>
      <c r="BG85" s="56">
        <v>54</v>
      </c>
      <c r="BH85" s="56">
        <v>260</v>
      </c>
      <c r="BI85" s="139"/>
      <c r="BJ85" s="139"/>
      <c r="BK85" s="148">
        <f t="shared" si="178"/>
        <v>0.72</v>
      </c>
      <c r="BL85" s="148">
        <f t="shared" si="179"/>
        <v>0.8441558441558441</v>
      </c>
      <c r="BM85" s="139">
        <v>3.9000000000000004</v>
      </c>
      <c r="BN85" s="139">
        <v>20.5</v>
      </c>
      <c r="BO85" s="139"/>
      <c r="BP85" s="139"/>
      <c r="BQ85" s="148"/>
      <c r="BR85" s="148"/>
      <c r="BS85" s="139">
        <v>35</v>
      </c>
      <c r="BT85" s="139">
        <v>170</v>
      </c>
      <c r="BU85" s="139"/>
      <c r="BV85" s="139"/>
      <c r="BW85" s="148"/>
      <c r="BX85" s="148"/>
      <c r="BY85" s="139"/>
      <c r="BZ85" s="139"/>
      <c r="CA85" s="139"/>
      <c r="CB85" s="148">
        <f t="shared" si="183"/>
        <v>0</v>
      </c>
      <c r="CC85" s="139"/>
      <c r="CD85" s="139"/>
      <c r="CE85" s="139"/>
      <c r="CF85" s="148">
        <f t="shared" si="184"/>
        <v>0</v>
      </c>
      <c r="CG85" s="139"/>
      <c r="CH85" s="139"/>
      <c r="CI85" s="139"/>
      <c r="CJ85" s="148">
        <f t="shared" si="185"/>
        <v>0</v>
      </c>
    </row>
    <row r="86" spans="2:88" ht="9.9499999999999993" customHeight="1" x14ac:dyDescent="0.15">
      <c r="B86" s="142">
        <v>42431</v>
      </c>
      <c r="C86" s="139">
        <v>4900.29</v>
      </c>
      <c r="D86" s="147">
        <f>SUM(C75:C86)</f>
        <v>59766.37</v>
      </c>
      <c r="E86" s="148">
        <f t="shared" si="161"/>
        <v>8.1991265937154903E-2</v>
      </c>
      <c r="F86" s="139">
        <v>3122.56</v>
      </c>
      <c r="G86" s="147">
        <f>SUM(F75:F86)</f>
        <v>40618.179999999993</v>
      </c>
      <c r="H86" s="148">
        <f t="shared" si="162"/>
        <v>7.6876261755871783E-2</v>
      </c>
      <c r="I86" s="139">
        <v>8009.2450819024943</v>
      </c>
      <c r="J86" s="147">
        <f>SUM(I75:I86)</f>
        <v>97285</v>
      </c>
      <c r="K86" s="148">
        <f t="shared" si="180"/>
        <v>8.2877979717324204E-2</v>
      </c>
      <c r="L86" s="148">
        <f t="shared" si="163"/>
        <v>8.2327646419309189E-2</v>
      </c>
      <c r="M86" s="139">
        <v>8938.6418823300755</v>
      </c>
      <c r="N86" s="147">
        <f>SUM(M75:M86)</f>
        <v>108574.00000000001</v>
      </c>
      <c r="O86" s="148">
        <f t="shared" si="181"/>
        <v>8.5186713831412131E-2</v>
      </c>
      <c r="P86" s="148">
        <f t="shared" si="164"/>
        <v>8.2327646419309189E-2</v>
      </c>
      <c r="Q86" s="139">
        <v>11442.143282294848</v>
      </c>
      <c r="R86" s="147">
        <f>SUM(Q75:Q86)</f>
        <v>138983</v>
      </c>
      <c r="S86" s="148">
        <f t="shared" si="182"/>
        <v>7.9572608799296549E-2</v>
      </c>
      <c r="T86" s="148">
        <f t="shared" si="165"/>
        <v>8.2327646419309189E-2</v>
      </c>
      <c r="V86" s="142">
        <v>42431</v>
      </c>
      <c r="W86" s="139">
        <v>17</v>
      </c>
      <c r="X86" s="139">
        <v>75</v>
      </c>
      <c r="Y86" s="147">
        <f>AVERAGE(W75:W86)</f>
        <v>39.333333333333336</v>
      </c>
      <c r="Z86" s="147">
        <f>AVERAGE(X75:X86)</f>
        <v>164.58333333333334</v>
      </c>
      <c r="AA86" s="148">
        <f t="shared" si="166"/>
        <v>0.4358974358974359</v>
      </c>
      <c r="AB86" s="148">
        <f t="shared" si="167"/>
        <v>0.45454545454545453</v>
      </c>
      <c r="AC86" s="139">
        <v>3</v>
      </c>
      <c r="AD86" s="139">
        <v>37</v>
      </c>
      <c r="AE86" s="147">
        <f>AVERAGE(AC75:AC86)</f>
        <v>9</v>
      </c>
      <c r="AF86" s="147">
        <f>AVERAGE(AD75:AD86)</f>
        <v>50.416666666666664</v>
      </c>
      <c r="AG86" s="148">
        <f t="shared" si="168"/>
        <v>0.33333333333333331</v>
      </c>
      <c r="AH86" s="148">
        <f t="shared" si="169"/>
        <v>0.74</v>
      </c>
      <c r="AI86" s="139">
        <v>47</v>
      </c>
      <c r="AJ86" s="139">
        <v>260</v>
      </c>
      <c r="AK86" s="147">
        <f>AVERAGE(AI75:AI86)</f>
        <v>83.25</v>
      </c>
      <c r="AL86" s="147">
        <f>AVERAGE(AJ75:AJ86)</f>
        <v>403.33333333333331</v>
      </c>
      <c r="AM86" s="148">
        <f t="shared" si="170"/>
        <v>0.5662650602409639</v>
      </c>
      <c r="AN86" s="148">
        <f t="shared" si="171"/>
        <v>0.64516129032258063</v>
      </c>
      <c r="AO86" s="139"/>
      <c r="AP86" s="139"/>
      <c r="AQ86" s="147">
        <f>AVERAGE(AO75:AO86)</f>
        <v>17.72</v>
      </c>
      <c r="AR86" s="147">
        <f>AVERAGE(AP75:AP86)</f>
        <v>74.099999999999994</v>
      </c>
      <c r="AS86" s="148">
        <f t="shared" si="172"/>
        <v>0</v>
      </c>
      <c r="AT86" s="148">
        <f t="shared" si="173"/>
        <v>0</v>
      </c>
      <c r="AU86" s="139"/>
      <c r="AV86" s="139"/>
      <c r="AW86" s="147">
        <f>AVERAGE(AU75:AU86)</f>
        <v>46.3</v>
      </c>
      <c r="AX86" s="147">
        <f>AVERAGE(AV75:AV86)</f>
        <v>184.9</v>
      </c>
      <c r="AY86" s="148">
        <f t="shared" si="174"/>
        <v>0</v>
      </c>
      <c r="AZ86" s="148">
        <f t="shared" si="175"/>
        <v>0</v>
      </c>
      <c r="BA86" s="56">
        <v>11</v>
      </c>
      <c r="BB86" s="56">
        <v>57</v>
      </c>
      <c r="BC86" s="147">
        <f>AVERAGE(BA75:BA86)</f>
        <v>22.558333333333334</v>
      </c>
      <c r="BD86" s="147">
        <f>AVERAGE(BB75:BB86)</f>
        <v>91.25</v>
      </c>
      <c r="BE86" s="148">
        <f t="shared" si="176"/>
        <v>0.47826086956521741</v>
      </c>
      <c r="BF86" s="148">
        <f t="shared" si="177"/>
        <v>0.62637362637362637</v>
      </c>
      <c r="BG86" s="56">
        <v>56</v>
      </c>
      <c r="BH86" s="56">
        <v>280</v>
      </c>
      <c r="BI86" s="147">
        <f>AVERAGE(BG75:BG86)</f>
        <v>74.75</v>
      </c>
      <c r="BJ86" s="147">
        <f>AVERAGE(BH75:BH86)</f>
        <v>307.5</v>
      </c>
      <c r="BK86" s="148">
        <f t="shared" si="178"/>
        <v>0.7466666666666667</v>
      </c>
      <c r="BL86" s="148">
        <f t="shared" si="179"/>
        <v>0.90909090909090906</v>
      </c>
      <c r="BM86" s="139">
        <v>6.9</v>
      </c>
      <c r="BN86" s="139">
        <v>18.5</v>
      </c>
      <c r="BO86" s="147">
        <f>AVERAGE(BM75:BM86)</f>
        <v>4.1000000000000005</v>
      </c>
      <c r="BP86" s="147">
        <f>AVERAGE(BN75:BN86)</f>
        <v>15.1</v>
      </c>
      <c r="BQ86" s="148"/>
      <c r="BR86" s="148"/>
      <c r="BS86" s="139">
        <v>62</v>
      </c>
      <c r="BT86" s="139">
        <v>300</v>
      </c>
      <c r="BU86" s="147">
        <f>AVERAGE(BS75:BS86)</f>
        <v>35.666666666666664</v>
      </c>
      <c r="BV86" s="147">
        <f>AVERAGE(BT75:BT86)</f>
        <v>174.33333333333334</v>
      </c>
      <c r="BW86" s="148"/>
      <c r="BX86" s="148"/>
      <c r="BY86" s="139"/>
      <c r="BZ86" s="139"/>
      <c r="CA86" s="147">
        <f>SUM(BY75:BY86)</f>
        <v>0</v>
      </c>
      <c r="CB86" s="148">
        <f t="shared" si="183"/>
        <v>0</v>
      </c>
      <c r="CC86" s="139"/>
      <c r="CD86" s="139"/>
      <c r="CE86" s="147">
        <f>SUM(CC75:CC86)</f>
        <v>0</v>
      </c>
      <c r="CF86" s="148">
        <f t="shared" si="184"/>
        <v>0</v>
      </c>
      <c r="CG86" s="139"/>
      <c r="CH86" s="139"/>
      <c r="CI86" s="147">
        <f>SUM(CG75:CG86)</f>
        <v>0</v>
      </c>
      <c r="CJ86" s="148">
        <f t="shared" si="185"/>
        <v>0</v>
      </c>
    </row>
    <row r="87" spans="2:88" ht="9.9499999999999993" customHeight="1" x14ac:dyDescent="0.15">
      <c r="B87" s="142">
        <v>42461</v>
      </c>
      <c r="C87" s="139">
        <v>4802.12</v>
      </c>
      <c r="D87" s="139"/>
      <c r="E87" s="148">
        <f>C87/59719</f>
        <v>8.0411929201761587E-2</v>
      </c>
      <c r="F87" s="139">
        <v>3162.5</v>
      </c>
      <c r="G87" s="139"/>
      <c r="H87" s="148">
        <f>F87/40432</f>
        <v>7.8217748318163832E-2</v>
      </c>
      <c r="I87" s="139">
        <v>7538.2372178224805</v>
      </c>
      <c r="J87" s="139"/>
      <c r="K87" s="148">
        <f t="shared" si="180"/>
        <v>7.8004089630713078E-2</v>
      </c>
      <c r="L87" s="148">
        <f>I87/94588</f>
        <v>7.9695492217009348E-2</v>
      </c>
      <c r="M87" s="139">
        <v>7880.8481388634045</v>
      </c>
      <c r="N87" s="139"/>
      <c r="O87" s="148">
        <f t="shared" si="181"/>
        <v>7.5105767071985172E-2</v>
      </c>
      <c r="P87" s="148">
        <f>M87/98887</f>
        <v>7.9695492217009362E-2</v>
      </c>
      <c r="Q87" s="139">
        <v>11813.18311583508</v>
      </c>
      <c r="R87" s="139"/>
      <c r="S87" s="148">
        <f t="shared" si="182"/>
        <v>8.2152947709135088E-2</v>
      </c>
      <c r="T87" s="148">
        <f>Q87/148229</f>
        <v>7.9695492217009362E-2</v>
      </c>
      <c r="V87" s="142">
        <v>42461</v>
      </c>
      <c r="W87" s="139">
        <v>22</v>
      </c>
      <c r="X87" s="139">
        <v>120</v>
      </c>
      <c r="Y87" s="139"/>
      <c r="Z87" s="139"/>
      <c r="AA87" s="148">
        <f>W87/23</f>
        <v>0.95652173913043481</v>
      </c>
      <c r="AB87" s="148">
        <f>X87/128</f>
        <v>0.9375</v>
      </c>
      <c r="AC87" s="139">
        <v>3</v>
      </c>
      <c r="AD87" s="139">
        <v>55</v>
      </c>
      <c r="AE87" s="139"/>
      <c r="AF87" s="139"/>
      <c r="AG87" s="148">
        <f>AC87/4</f>
        <v>0.75</v>
      </c>
      <c r="AH87" s="148">
        <f>AD87/47</f>
        <v>1.1702127659574468</v>
      </c>
      <c r="AI87" s="139">
        <v>89</v>
      </c>
      <c r="AJ87" s="139">
        <v>490</v>
      </c>
      <c r="AK87" s="139"/>
      <c r="AL87" s="139"/>
      <c r="AM87" s="148">
        <f>AI87/50</f>
        <v>1.78</v>
      </c>
      <c r="AN87" s="148">
        <f>AJ87/318</f>
        <v>1.5408805031446542</v>
      </c>
      <c r="AO87" s="139"/>
      <c r="AP87" s="139"/>
      <c r="AQ87" s="139"/>
      <c r="AR87" s="139"/>
      <c r="AS87" s="148"/>
      <c r="AT87" s="148"/>
      <c r="AU87" s="139"/>
      <c r="AV87" s="139"/>
      <c r="AW87" s="139"/>
      <c r="AX87" s="139"/>
      <c r="AY87" s="148"/>
      <c r="AZ87" s="148"/>
      <c r="BA87" s="139"/>
      <c r="BB87" s="139"/>
      <c r="BC87" s="139"/>
      <c r="BD87" s="139"/>
      <c r="BE87" s="148"/>
      <c r="BF87" s="148"/>
      <c r="BG87" s="139"/>
      <c r="BH87" s="139"/>
      <c r="BI87" s="139"/>
      <c r="BJ87" s="139"/>
      <c r="BK87" s="148"/>
      <c r="BL87" s="148"/>
      <c r="BM87" s="139">
        <v>14</v>
      </c>
      <c r="BN87" s="139">
        <v>72</v>
      </c>
      <c r="BO87" s="139"/>
      <c r="BP87" s="139"/>
      <c r="BQ87" s="148">
        <f>BM87/22</f>
        <v>0.63636363636363635</v>
      </c>
      <c r="BR87" s="148">
        <f>BN87/56</f>
        <v>1.2857142857142858</v>
      </c>
      <c r="BS87" s="139">
        <v>90</v>
      </c>
      <c r="BT87" s="139">
        <v>450</v>
      </c>
      <c r="BU87" s="139"/>
      <c r="BV87" s="139"/>
      <c r="BW87" s="148">
        <f>BS87/50</f>
        <v>1.8</v>
      </c>
      <c r="BX87" s="148">
        <f>BT87/318</f>
        <v>1.4150943396226414</v>
      </c>
      <c r="BY87" s="139"/>
      <c r="BZ87" s="139"/>
      <c r="CA87" s="139"/>
      <c r="CB87" s="148">
        <f t="shared" si="183"/>
        <v>0</v>
      </c>
      <c r="CC87" s="139"/>
      <c r="CD87" s="139"/>
      <c r="CE87" s="139"/>
      <c r="CF87" s="148">
        <f t="shared" si="184"/>
        <v>0</v>
      </c>
      <c r="CG87" s="139"/>
      <c r="CH87" s="139"/>
      <c r="CI87" s="139"/>
      <c r="CJ87" s="148">
        <f t="shared" si="185"/>
        <v>0</v>
      </c>
    </row>
    <row r="88" spans="2:88" ht="9.9499999999999993" customHeight="1" x14ac:dyDescent="0.15">
      <c r="B88" s="142">
        <v>42492</v>
      </c>
      <c r="C88" s="139">
        <v>5502.55</v>
      </c>
      <c r="D88" s="139"/>
      <c r="E88" s="148">
        <f t="shared" ref="E88:E98" si="186">C88/59719</f>
        <v>9.2140692242000041E-2</v>
      </c>
      <c r="F88" s="139">
        <v>3654.06</v>
      </c>
      <c r="G88" s="139"/>
      <c r="H88" s="148">
        <f t="shared" ref="H88:H98" si="187">F88/40432</f>
        <v>9.0375445191927181E-2</v>
      </c>
      <c r="I88" s="139">
        <v>8314.6120901004288</v>
      </c>
      <c r="J88" s="139"/>
      <c r="K88" s="148">
        <f t="shared" si="180"/>
        <v>8.6037853145214963E-2</v>
      </c>
      <c r="L88" s="148">
        <f t="shared" ref="L88:L98" si="188">I88/94588</f>
        <v>8.7903455936275521E-2</v>
      </c>
      <c r="M88" s="139">
        <v>8692.5090471704771</v>
      </c>
      <c r="N88" s="139"/>
      <c r="O88" s="148">
        <f t="shared" si="181"/>
        <v>8.2841027801110051E-2</v>
      </c>
      <c r="P88" s="148">
        <f t="shared" ref="P88:P98" si="189">M88/98887</f>
        <v>8.7903455936275521E-2</v>
      </c>
      <c r="Q88" s="139">
        <v>13029.841369978183</v>
      </c>
      <c r="R88" s="139"/>
      <c r="S88" s="148">
        <f t="shared" si="182"/>
        <v>9.0614008623235737E-2</v>
      </c>
      <c r="T88" s="148">
        <f t="shared" ref="T88:T98" si="190">Q88/148229</f>
        <v>8.7903455936275507E-2</v>
      </c>
      <c r="V88" s="142">
        <v>42492</v>
      </c>
      <c r="W88" s="139">
        <v>33</v>
      </c>
      <c r="X88" s="139">
        <v>180</v>
      </c>
      <c r="Y88" s="139"/>
      <c r="Z88" s="139"/>
      <c r="AA88" s="148">
        <f t="shared" ref="AA88:AA98" si="191">W88/23</f>
        <v>1.4347826086956521</v>
      </c>
      <c r="AB88" s="148">
        <f t="shared" ref="AB88:AB98" si="192">X88/128</f>
        <v>1.40625</v>
      </c>
      <c r="AC88" s="139">
        <v>3</v>
      </c>
      <c r="AD88" s="139">
        <v>60</v>
      </c>
      <c r="AE88" s="139"/>
      <c r="AF88" s="139"/>
      <c r="AG88" s="148">
        <f t="shared" ref="AG88:AG98" si="193">AC88/4</f>
        <v>0.75</v>
      </c>
      <c r="AH88" s="148">
        <f t="shared" ref="AH88:AH98" si="194">AD88/47</f>
        <v>1.2765957446808511</v>
      </c>
      <c r="AI88" s="139">
        <v>67</v>
      </c>
      <c r="AJ88" s="139">
        <v>420</v>
      </c>
      <c r="AK88" s="139"/>
      <c r="AL88" s="139"/>
      <c r="AM88" s="148">
        <f t="shared" ref="AM88:AM98" si="195">AI88/50</f>
        <v>1.34</v>
      </c>
      <c r="AN88" s="148">
        <f t="shared" ref="AN88:AN98" si="196">AJ88/318</f>
        <v>1.320754716981132</v>
      </c>
      <c r="AO88" s="139"/>
      <c r="AP88" s="139"/>
      <c r="AQ88" s="139"/>
      <c r="AR88" s="139"/>
      <c r="AS88" s="148"/>
      <c r="AT88" s="148"/>
      <c r="AU88" s="139"/>
      <c r="AV88" s="139"/>
      <c r="AW88" s="139"/>
      <c r="AX88" s="139"/>
      <c r="AY88" s="148"/>
      <c r="AZ88" s="148"/>
      <c r="BA88" s="139"/>
      <c r="BB88" s="139"/>
      <c r="BC88" s="139"/>
      <c r="BD88" s="139"/>
      <c r="BE88" s="148"/>
      <c r="BF88" s="148"/>
      <c r="BG88" s="139"/>
      <c r="BH88" s="139"/>
      <c r="BI88" s="139"/>
      <c r="BJ88" s="139"/>
      <c r="BK88" s="148"/>
      <c r="BL88" s="148"/>
      <c r="BM88" s="139">
        <v>15</v>
      </c>
      <c r="BN88" s="139">
        <v>84</v>
      </c>
      <c r="BO88" s="139"/>
      <c r="BP88" s="139"/>
      <c r="BQ88" s="148">
        <f t="shared" ref="BQ88:BQ98" si="197">BM88/22</f>
        <v>0.68181818181818177</v>
      </c>
      <c r="BR88" s="148">
        <f t="shared" ref="BR88:BR98" si="198">BN88/56</f>
        <v>1.5</v>
      </c>
      <c r="BS88" s="139">
        <v>110</v>
      </c>
      <c r="BT88" s="139">
        <v>570</v>
      </c>
      <c r="BU88" s="139"/>
      <c r="BV88" s="139"/>
      <c r="BW88" s="148">
        <f t="shared" ref="BW88:BW98" si="199">BS88/50</f>
        <v>2.2000000000000002</v>
      </c>
      <c r="BX88" s="148">
        <f t="shared" ref="BX88:BX98" si="200">BT88/318</f>
        <v>1.7924528301886793</v>
      </c>
      <c r="BY88" s="139"/>
      <c r="BZ88" s="139"/>
      <c r="CA88" s="139"/>
      <c r="CB88" s="148">
        <f t="shared" si="183"/>
        <v>0</v>
      </c>
      <c r="CC88" s="139"/>
      <c r="CD88" s="139"/>
      <c r="CE88" s="139"/>
      <c r="CF88" s="148">
        <f t="shared" si="184"/>
        <v>0</v>
      </c>
      <c r="CG88" s="139"/>
      <c r="CH88" s="139"/>
      <c r="CI88" s="139"/>
      <c r="CJ88" s="148">
        <f t="shared" si="185"/>
        <v>0</v>
      </c>
    </row>
    <row r="89" spans="2:88" ht="9.9499999999999993" customHeight="1" x14ac:dyDescent="0.15">
      <c r="B89" s="142">
        <v>42522</v>
      </c>
      <c r="C89" s="139">
        <v>4991.43</v>
      </c>
      <c r="D89" s="139"/>
      <c r="E89" s="148">
        <f t="shared" si="186"/>
        <v>8.3581942095480505E-2</v>
      </c>
      <c r="F89" s="139">
        <v>3658.47</v>
      </c>
      <c r="G89" s="139"/>
      <c r="H89" s="148">
        <f t="shared" si="187"/>
        <v>9.0484517214087845E-2</v>
      </c>
      <c r="I89" s="139">
        <v>8225.2201421895479</v>
      </c>
      <c r="J89" s="139"/>
      <c r="K89" s="148">
        <f t="shared" si="180"/>
        <v>8.5112844112517183E-2</v>
      </c>
      <c r="L89" s="148">
        <f t="shared" si="188"/>
        <v>8.6958389459440399E-2</v>
      </c>
      <c r="M89" s="139">
        <v>8599.0542584756822</v>
      </c>
      <c r="N89" s="139"/>
      <c r="O89" s="148">
        <f t="shared" si="181"/>
        <v>8.1950388434915492E-2</v>
      </c>
      <c r="P89" s="148">
        <f t="shared" si="189"/>
        <v>8.6958389459440399E-2</v>
      </c>
      <c r="Q89" s="139">
        <v>12889.755111183389</v>
      </c>
      <c r="R89" s="139"/>
      <c r="S89" s="148">
        <f t="shared" si="182"/>
        <v>8.9639800488079485E-2</v>
      </c>
      <c r="T89" s="148">
        <f t="shared" si="190"/>
        <v>8.6958389459440386E-2</v>
      </c>
      <c r="V89" s="142">
        <v>42522</v>
      </c>
      <c r="W89" s="139">
        <v>42</v>
      </c>
      <c r="X89" s="139">
        <v>210</v>
      </c>
      <c r="Y89" s="139"/>
      <c r="Z89" s="139"/>
      <c r="AA89" s="148">
        <f t="shared" si="191"/>
        <v>1.826086956521739</v>
      </c>
      <c r="AB89" s="148">
        <f t="shared" si="192"/>
        <v>1.640625</v>
      </c>
      <c r="AC89" s="139">
        <v>3</v>
      </c>
      <c r="AD89" s="139">
        <v>63</v>
      </c>
      <c r="AE89" s="139"/>
      <c r="AF89" s="139"/>
      <c r="AG89" s="148">
        <f t="shared" si="193"/>
        <v>0.75</v>
      </c>
      <c r="AH89" s="148">
        <f t="shared" si="194"/>
        <v>1.3404255319148937</v>
      </c>
      <c r="AI89" s="139">
        <v>86</v>
      </c>
      <c r="AJ89" s="139">
        <v>470</v>
      </c>
      <c r="AK89" s="139"/>
      <c r="AL89" s="139"/>
      <c r="AM89" s="148">
        <f t="shared" si="195"/>
        <v>1.72</v>
      </c>
      <c r="AN89" s="148">
        <f t="shared" si="196"/>
        <v>1.4779874213836477</v>
      </c>
      <c r="AO89" s="139"/>
      <c r="AP89" s="139"/>
      <c r="AQ89" s="139"/>
      <c r="AR89" s="139"/>
      <c r="AS89" s="148"/>
      <c r="AT89" s="148"/>
      <c r="AU89" s="139"/>
      <c r="AV89" s="139"/>
      <c r="AW89" s="139"/>
      <c r="AX89" s="139"/>
      <c r="AY89" s="148"/>
      <c r="AZ89" s="148"/>
      <c r="BA89" s="139"/>
      <c r="BB89" s="139"/>
      <c r="BC89" s="139"/>
      <c r="BD89" s="139"/>
      <c r="BE89" s="148"/>
      <c r="BF89" s="148"/>
      <c r="BG89" s="139"/>
      <c r="BH89" s="139"/>
      <c r="BI89" s="139"/>
      <c r="BJ89" s="139"/>
      <c r="BK89" s="148"/>
      <c r="BL89" s="148"/>
      <c r="BM89" s="139">
        <v>13</v>
      </c>
      <c r="BN89" s="139">
        <v>72</v>
      </c>
      <c r="BO89" s="139"/>
      <c r="BP89" s="139"/>
      <c r="BQ89" s="148">
        <f t="shared" si="197"/>
        <v>0.59090909090909094</v>
      </c>
      <c r="BR89" s="148">
        <f t="shared" si="198"/>
        <v>1.2857142857142858</v>
      </c>
      <c r="BS89" s="139">
        <v>110</v>
      </c>
      <c r="BT89" s="139">
        <v>560</v>
      </c>
      <c r="BU89" s="139"/>
      <c r="BV89" s="139"/>
      <c r="BW89" s="148">
        <f t="shared" si="199"/>
        <v>2.2000000000000002</v>
      </c>
      <c r="BX89" s="148">
        <f t="shared" si="200"/>
        <v>1.7610062893081762</v>
      </c>
      <c r="BY89" s="139"/>
      <c r="BZ89" s="139"/>
      <c r="CA89" s="139"/>
      <c r="CB89" s="148">
        <f t="shared" si="183"/>
        <v>0</v>
      </c>
      <c r="CC89" s="139"/>
      <c r="CD89" s="139"/>
      <c r="CE89" s="139"/>
      <c r="CF89" s="148">
        <f t="shared" si="184"/>
        <v>0</v>
      </c>
      <c r="CG89" s="139"/>
      <c r="CH89" s="139"/>
      <c r="CI89" s="139"/>
      <c r="CJ89" s="148">
        <f t="shared" si="185"/>
        <v>0</v>
      </c>
    </row>
    <row r="90" spans="2:88" ht="9.9499999999999993" customHeight="1" x14ac:dyDescent="0.15">
      <c r="B90" s="142">
        <v>42552</v>
      </c>
      <c r="C90" s="139">
        <v>5226.55</v>
      </c>
      <c r="D90" s="139"/>
      <c r="E90" s="148">
        <f t="shared" si="186"/>
        <v>8.75190475393091E-2</v>
      </c>
      <c r="F90" s="139">
        <v>3848.64</v>
      </c>
      <c r="G90" s="139"/>
      <c r="H90" s="148">
        <f t="shared" si="187"/>
        <v>9.518796992481203E-2</v>
      </c>
      <c r="I90" s="139">
        <v>8460.889823045507</v>
      </c>
      <c r="J90" s="139"/>
      <c r="K90" s="148">
        <f t="shared" si="180"/>
        <v>8.7551504289629517E-2</v>
      </c>
      <c r="L90" s="148">
        <f t="shared" si="188"/>
        <v>8.944992835291482E-2</v>
      </c>
      <c r="M90" s="139">
        <v>8845.4350650346878</v>
      </c>
      <c r="N90" s="139"/>
      <c r="O90" s="148">
        <f t="shared" si="181"/>
        <v>8.4298437673064788E-2</v>
      </c>
      <c r="P90" s="148">
        <f t="shared" si="189"/>
        <v>8.944992835291482E-2</v>
      </c>
      <c r="Q90" s="139">
        <v>13259.073429824211</v>
      </c>
      <c r="R90" s="139"/>
      <c r="S90" s="148">
        <f t="shared" si="182"/>
        <v>9.2208167389855086E-2</v>
      </c>
      <c r="T90" s="148">
        <f t="shared" si="190"/>
        <v>8.944992835291482E-2</v>
      </c>
      <c r="V90" s="142">
        <v>42552</v>
      </c>
      <c r="W90" s="139">
        <v>33</v>
      </c>
      <c r="X90" s="139">
        <v>180</v>
      </c>
      <c r="Y90" s="139"/>
      <c r="Z90" s="139"/>
      <c r="AA90" s="148">
        <f t="shared" si="191"/>
        <v>1.4347826086956521</v>
      </c>
      <c r="AB90" s="148">
        <f t="shared" si="192"/>
        <v>1.40625</v>
      </c>
      <c r="AC90" s="139">
        <v>17</v>
      </c>
      <c r="AD90" s="139">
        <v>74</v>
      </c>
      <c r="AE90" s="139"/>
      <c r="AF90" s="139"/>
      <c r="AG90" s="148">
        <f t="shared" si="193"/>
        <v>4.25</v>
      </c>
      <c r="AH90" s="148">
        <f t="shared" si="194"/>
        <v>1.574468085106383</v>
      </c>
      <c r="AI90" s="139">
        <v>54</v>
      </c>
      <c r="AJ90" s="139">
        <v>360</v>
      </c>
      <c r="AK90" s="139"/>
      <c r="AL90" s="139"/>
      <c r="AM90" s="148">
        <f t="shared" si="195"/>
        <v>1.08</v>
      </c>
      <c r="AN90" s="148">
        <f t="shared" si="196"/>
        <v>1.1320754716981132</v>
      </c>
      <c r="AO90" s="139"/>
      <c r="AP90" s="139"/>
      <c r="AQ90" s="139"/>
      <c r="AR90" s="139"/>
      <c r="AS90" s="148"/>
      <c r="AT90" s="148"/>
      <c r="AU90" s="139"/>
      <c r="AV90" s="139"/>
      <c r="AW90" s="139"/>
      <c r="AX90" s="139"/>
      <c r="AY90" s="148"/>
      <c r="AZ90" s="148"/>
      <c r="BA90" s="139"/>
      <c r="BB90" s="139"/>
      <c r="BC90" s="139"/>
      <c r="BD90" s="139"/>
      <c r="BE90" s="148"/>
      <c r="BF90" s="148"/>
      <c r="BG90" s="139"/>
      <c r="BH90" s="139"/>
      <c r="BI90" s="139"/>
      <c r="BJ90" s="139"/>
      <c r="BK90" s="148"/>
      <c r="BL90" s="148"/>
      <c r="BM90" s="139">
        <v>15</v>
      </c>
      <c r="BN90" s="139">
        <v>73</v>
      </c>
      <c r="BO90" s="139"/>
      <c r="BP90" s="139"/>
      <c r="BQ90" s="148">
        <f t="shared" si="197"/>
        <v>0.68181818181818177</v>
      </c>
      <c r="BR90" s="148">
        <f t="shared" si="198"/>
        <v>1.3035714285714286</v>
      </c>
      <c r="BS90" s="139">
        <v>73</v>
      </c>
      <c r="BT90" s="139">
        <v>390</v>
      </c>
      <c r="BU90" s="139"/>
      <c r="BV90" s="139"/>
      <c r="BW90" s="148">
        <f t="shared" si="199"/>
        <v>1.46</v>
      </c>
      <c r="BX90" s="148">
        <f t="shared" si="200"/>
        <v>1.2264150943396226</v>
      </c>
      <c r="BY90" s="139"/>
      <c r="BZ90" s="139"/>
      <c r="CA90" s="139"/>
      <c r="CB90" s="148">
        <f t="shared" si="183"/>
        <v>0</v>
      </c>
      <c r="CC90" s="139"/>
      <c r="CD90" s="139"/>
      <c r="CE90" s="139"/>
      <c r="CF90" s="148">
        <f t="shared" si="184"/>
        <v>0</v>
      </c>
      <c r="CG90" s="139"/>
      <c r="CH90" s="139"/>
      <c r="CI90" s="139"/>
      <c r="CJ90" s="148">
        <f t="shared" si="185"/>
        <v>0</v>
      </c>
    </row>
    <row r="91" spans="2:88" ht="9.9499999999999993" customHeight="1" x14ac:dyDescent="0.15">
      <c r="B91" s="142">
        <v>42585</v>
      </c>
      <c r="C91" s="139">
        <v>5805.25</v>
      </c>
      <c r="D91" s="139"/>
      <c r="E91" s="148">
        <f t="shared" si="186"/>
        <v>9.7209430834407806E-2</v>
      </c>
      <c r="F91" s="139">
        <v>3988.3</v>
      </c>
      <c r="G91" s="139"/>
      <c r="H91" s="148">
        <f t="shared" si="187"/>
        <v>9.864216462208153E-2</v>
      </c>
      <c r="I91" s="139">
        <v>8870.9898957665318</v>
      </c>
      <c r="J91" s="147">
        <f>SUM(I80:I91)</f>
        <v>96639.174329419373</v>
      </c>
      <c r="K91" s="148">
        <f t="shared" si="180"/>
        <v>9.1795133390934633E-2</v>
      </c>
      <c r="L91" s="148">
        <f t="shared" si="188"/>
        <v>9.3785574235278599E-2</v>
      </c>
      <c r="M91" s="139">
        <v>9274.1740794039943</v>
      </c>
      <c r="N91" s="147">
        <f>SUM(M80:M91)</f>
        <v>104930.07262755206</v>
      </c>
      <c r="O91" s="148">
        <f t="shared" si="181"/>
        <v>8.8384390349795047E-2</v>
      </c>
      <c r="P91" s="148">
        <f t="shared" si="189"/>
        <v>9.3785574235278599E-2</v>
      </c>
      <c r="Q91" s="139">
        <v>13901.74188332111</v>
      </c>
      <c r="R91" s="147">
        <f>SUM(Q80:Q91)</f>
        <v>143795.00212071976</v>
      </c>
      <c r="S91" s="148">
        <f t="shared" si="182"/>
        <v>9.6677505360555721E-2</v>
      </c>
      <c r="T91" s="148">
        <f t="shared" si="190"/>
        <v>9.3785574235278599E-2</v>
      </c>
      <c r="V91" s="142">
        <v>42585</v>
      </c>
      <c r="W91" s="139">
        <v>24</v>
      </c>
      <c r="X91" s="139">
        <v>150</v>
      </c>
      <c r="Y91" s="139"/>
      <c r="Z91" s="139"/>
      <c r="AA91" s="148">
        <f t="shared" si="191"/>
        <v>1.0434782608695652</v>
      </c>
      <c r="AB91" s="148">
        <f t="shared" si="192"/>
        <v>1.171875</v>
      </c>
      <c r="AC91" s="139">
        <v>3</v>
      </c>
      <c r="AD91" s="139">
        <v>69</v>
      </c>
      <c r="AE91" s="139"/>
      <c r="AF91" s="139"/>
      <c r="AG91" s="148">
        <f t="shared" si="193"/>
        <v>0.75</v>
      </c>
      <c r="AH91" s="148">
        <f t="shared" si="194"/>
        <v>1.4680851063829787</v>
      </c>
      <c r="AI91" s="139">
        <v>52</v>
      </c>
      <c r="AJ91" s="139">
        <v>370</v>
      </c>
      <c r="AK91" s="139"/>
      <c r="AL91" s="139"/>
      <c r="AM91" s="148">
        <f t="shared" si="195"/>
        <v>1.04</v>
      </c>
      <c r="AN91" s="148">
        <f t="shared" si="196"/>
        <v>1.1635220125786163</v>
      </c>
      <c r="AO91" s="139"/>
      <c r="AP91" s="139"/>
      <c r="AQ91" s="139"/>
      <c r="AR91" s="139"/>
      <c r="AS91" s="148"/>
      <c r="AT91" s="148"/>
      <c r="AU91" s="139"/>
      <c r="AV91" s="139"/>
      <c r="AW91" s="139"/>
      <c r="AX91" s="139"/>
      <c r="AY91" s="148"/>
      <c r="AZ91" s="148"/>
      <c r="BA91" s="139"/>
      <c r="BB91" s="139"/>
      <c r="BC91" s="139"/>
      <c r="BD91" s="139"/>
      <c r="BE91" s="148"/>
      <c r="BF91" s="148"/>
      <c r="BG91" s="139"/>
      <c r="BH91" s="139"/>
      <c r="BI91" s="139"/>
      <c r="BJ91" s="139"/>
      <c r="BK91" s="148"/>
      <c r="BL91" s="148"/>
      <c r="BM91" s="139">
        <v>8.6</v>
      </c>
      <c r="BN91" s="139">
        <v>54</v>
      </c>
      <c r="BO91" s="139"/>
      <c r="BP91" s="139"/>
      <c r="BQ91" s="148">
        <f t="shared" si="197"/>
        <v>0.39090909090909087</v>
      </c>
      <c r="BR91" s="148">
        <f t="shared" si="198"/>
        <v>0.9642857142857143</v>
      </c>
      <c r="BS91" s="139">
        <v>84</v>
      </c>
      <c r="BT91" s="139">
        <v>470</v>
      </c>
      <c r="BU91" s="139"/>
      <c r="BV91" s="139"/>
      <c r="BW91" s="148">
        <f t="shared" si="199"/>
        <v>1.68</v>
      </c>
      <c r="BX91" s="148">
        <f t="shared" si="200"/>
        <v>1.4779874213836477</v>
      </c>
      <c r="BY91" s="139"/>
      <c r="BZ91" s="139"/>
      <c r="CA91" s="147">
        <f>SUM(BY80:BY91)</f>
        <v>0</v>
      </c>
      <c r="CB91" s="148">
        <f t="shared" si="183"/>
        <v>0</v>
      </c>
      <c r="CC91" s="139"/>
      <c r="CD91" s="139"/>
      <c r="CE91" s="147">
        <f>SUM(CC80:CC91)</f>
        <v>0</v>
      </c>
      <c r="CF91" s="148">
        <f t="shared" si="184"/>
        <v>0</v>
      </c>
      <c r="CG91" s="139"/>
      <c r="CH91" s="139"/>
      <c r="CI91" s="147">
        <f>SUM(CG80:CG91)</f>
        <v>0</v>
      </c>
      <c r="CJ91" s="148">
        <f t="shared" si="185"/>
        <v>0</v>
      </c>
    </row>
    <row r="92" spans="2:88" ht="9.9499999999999993" customHeight="1" x14ac:dyDescent="0.15">
      <c r="B92" s="142">
        <v>42614</v>
      </c>
      <c r="C92" s="139">
        <v>5310.79</v>
      </c>
      <c r="D92" s="139"/>
      <c r="E92" s="148">
        <f t="shared" si="186"/>
        <v>8.8929653878999981E-2</v>
      </c>
      <c r="F92" s="139">
        <v>3674.49</v>
      </c>
      <c r="G92" s="139"/>
      <c r="H92" s="148">
        <f t="shared" si="187"/>
        <v>9.0880738029283731E-2</v>
      </c>
      <c r="I92" s="139">
        <v>8382.8169854220432</v>
      </c>
      <c r="J92" s="139"/>
      <c r="K92" s="139"/>
      <c r="L92" s="148">
        <f t="shared" si="188"/>
        <v>8.8624529384510126E-2</v>
      </c>
      <c r="M92" s="139">
        <v>8763.8138372460526</v>
      </c>
      <c r="N92" s="139"/>
      <c r="O92" s="139"/>
      <c r="P92" s="148">
        <f t="shared" si="189"/>
        <v>8.8624529384510126E-2</v>
      </c>
      <c r="Q92" s="139">
        <v>13136.72536613655</v>
      </c>
      <c r="R92" s="139"/>
      <c r="S92" s="139"/>
      <c r="T92" s="148">
        <f t="shared" si="190"/>
        <v>8.8624529384510112E-2</v>
      </c>
      <c r="V92" s="142">
        <v>42614</v>
      </c>
      <c r="W92" s="139">
        <v>19</v>
      </c>
      <c r="X92" s="139">
        <v>110</v>
      </c>
      <c r="Y92" s="139"/>
      <c r="Z92" s="139"/>
      <c r="AA92" s="148">
        <f t="shared" si="191"/>
        <v>0.82608695652173914</v>
      </c>
      <c r="AB92" s="148">
        <f t="shared" si="192"/>
        <v>0.859375</v>
      </c>
      <c r="AC92" s="139">
        <v>3</v>
      </c>
      <c r="AD92" s="139">
        <v>36</v>
      </c>
      <c r="AE92" s="139"/>
      <c r="AF92" s="139"/>
      <c r="AG92" s="148">
        <f t="shared" si="193"/>
        <v>0.75</v>
      </c>
      <c r="AH92" s="148">
        <f t="shared" si="194"/>
        <v>0.76595744680851063</v>
      </c>
      <c r="AI92" s="139">
        <v>46</v>
      </c>
      <c r="AJ92" s="139">
        <v>260</v>
      </c>
      <c r="AK92" s="139"/>
      <c r="AL92" s="139"/>
      <c r="AM92" s="148">
        <f t="shared" si="195"/>
        <v>0.92</v>
      </c>
      <c r="AN92" s="148">
        <f t="shared" si="196"/>
        <v>0.8176100628930818</v>
      </c>
      <c r="AO92" s="139"/>
      <c r="AP92" s="139"/>
      <c r="AQ92" s="139"/>
      <c r="AR92" s="139"/>
      <c r="AS92" s="148"/>
      <c r="AT92" s="148"/>
      <c r="AU92" s="139"/>
      <c r="AV92" s="139"/>
      <c r="AW92" s="139"/>
      <c r="AX92" s="139"/>
      <c r="AY92" s="148"/>
      <c r="AZ92" s="148"/>
      <c r="BA92" s="139"/>
      <c r="BB92" s="139"/>
      <c r="BC92" s="139"/>
      <c r="BD92" s="139"/>
      <c r="BE92" s="148"/>
      <c r="BF92" s="148"/>
      <c r="BG92" s="139"/>
      <c r="BH92" s="139"/>
      <c r="BI92" s="139"/>
      <c r="BJ92" s="139"/>
      <c r="BK92" s="148"/>
      <c r="BL92" s="148"/>
      <c r="BM92" s="139">
        <v>13</v>
      </c>
      <c r="BN92" s="139">
        <v>72</v>
      </c>
      <c r="BO92" s="139"/>
      <c r="BP92" s="139"/>
      <c r="BQ92" s="148">
        <f t="shared" si="197"/>
        <v>0.59090909090909094</v>
      </c>
      <c r="BR92" s="148">
        <f t="shared" si="198"/>
        <v>1.2857142857142858</v>
      </c>
      <c r="BS92" s="139">
        <v>140</v>
      </c>
      <c r="BT92" s="139">
        <v>780</v>
      </c>
      <c r="BU92" s="139"/>
      <c r="BV92" s="139"/>
      <c r="BW92" s="148">
        <f t="shared" si="199"/>
        <v>2.8</v>
      </c>
      <c r="BX92" s="148">
        <f t="shared" si="200"/>
        <v>2.4528301886792452</v>
      </c>
      <c r="BY92" s="139"/>
      <c r="BZ92" s="139"/>
      <c r="CA92" s="139"/>
      <c r="CB92" s="139"/>
      <c r="CC92" s="139"/>
      <c r="CD92" s="139"/>
      <c r="CE92" s="139"/>
      <c r="CF92" s="139"/>
      <c r="CG92" s="139"/>
      <c r="CH92" s="139"/>
      <c r="CI92" s="139"/>
      <c r="CJ92" s="139"/>
    </row>
    <row r="93" spans="2:88" ht="9.9499999999999993" customHeight="1" x14ac:dyDescent="0.15">
      <c r="B93" s="142">
        <v>42647</v>
      </c>
      <c r="C93" s="139">
        <v>4948.62</v>
      </c>
      <c r="D93" s="139"/>
      <c r="E93" s="148">
        <f t="shared" si="186"/>
        <v>8.2865084813878331E-2</v>
      </c>
      <c r="F93" s="139">
        <v>3668.54</v>
      </c>
      <c r="G93" s="139"/>
      <c r="H93" s="148">
        <f t="shared" si="187"/>
        <v>9.0733577364463788E-2</v>
      </c>
      <c r="I93" s="139">
        <v>8154.1129108968007</v>
      </c>
      <c r="J93" s="139"/>
      <c r="K93" s="139"/>
      <c r="L93" s="148">
        <f t="shared" si="188"/>
        <v>8.6206632034685163E-2</v>
      </c>
      <c r="M93" s="139">
        <v>8524.7152220139124</v>
      </c>
      <c r="N93" s="139"/>
      <c r="O93" s="139"/>
      <c r="P93" s="148">
        <f t="shared" si="189"/>
        <v>8.6206632034685163E-2</v>
      </c>
      <c r="Q93" s="139">
        <v>12778.322859869348</v>
      </c>
      <c r="R93" s="139"/>
      <c r="S93" s="139"/>
      <c r="T93" s="148">
        <f t="shared" si="190"/>
        <v>8.6206632034685163E-2</v>
      </c>
      <c r="V93" s="142">
        <v>42647</v>
      </c>
      <c r="W93" s="139">
        <v>21</v>
      </c>
      <c r="X93" s="139">
        <v>120</v>
      </c>
      <c r="Y93" s="139"/>
      <c r="Z93" s="139"/>
      <c r="AA93" s="148">
        <f t="shared" si="191"/>
        <v>0.91304347826086951</v>
      </c>
      <c r="AB93" s="148">
        <f t="shared" si="192"/>
        <v>0.9375</v>
      </c>
      <c r="AC93" s="139">
        <v>3</v>
      </c>
      <c r="AD93" s="139">
        <v>65</v>
      </c>
      <c r="AE93" s="139"/>
      <c r="AF93" s="139"/>
      <c r="AG93" s="148">
        <f t="shared" si="193"/>
        <v>0.75</v>
      </c>
      <c r="AH93" s="148">
        <f t="shared" si="194"/>
        <v>1.3829787234042554</v>
      </c>
      <c r="AI93" s="139">
        <v>63</v>
      </c>
      <c r="AJ93" s="139">
        <v>400</v>
      </c>
      <c r="AK93" s="139"/>
      <c r="AL93" s="139"/>
      <c r="AM93" s="148">
        <f t="shared" si="195"/>
        <v>1.26</v>
      </c>
      <c r="AN93" s="148">
        <f t="shared" si="196"/>
        <v>1.2578616352201257</v>
      </c>
      <c r="AO93" s="139"/>
      <c r="AP93" s="139"/>
      <c r="AQ93" s="139"/>
      <c r="AR93" s="139"/>
      <c r="AS93" s="148"/>
      <c r="AT93" s="148"/>
      <c r="AU93" s="139"/>
      <c r="AV93" s="139"/>
      <c r="AW93" s="139"/>
      <c r="AX93" s="139"/>
      <c r="AY93" s="148"/>
      <c r="AZ93" s="148"/>
      <c r="BA93" s="139"/>
      <c r="BB93" s="139"/>
      <c r="BC93" s="139"/>
      <c r="BD93" s="139"/>
      <c r="BE93" s="148"/>
      <c r="BF93" s="148"/>
      <c r="BG93" s="139"/>
      <c r="BH93" s="139"/>
      <c r="BI93" s="139"/>
      <c r="BJ93" s="139"/>
      <c r="BK93" s="148"/>
      <c r="BL93" s="148"/>
      <c r="BM93" s="139">
        <v>11</v>
      </c>
      <c r="BN93" s="139">
        <v>61</v>
      </c>
      <c r="BO93" s="139"/>
      <c r="BP93" s="139"/>
      <c r="BQ93" s="148">
        <f t="shared" si="197"/>
        <v>0.5</v>
      </c>
      <c r="BR93" s="148">
        <f t="shared" si="198"/>
        <v>1.0892857142857142</v>
      </c>
      <c r="BS93" s="139">
        <v>83</v>
      </c>
      <c r="BT93" s="139">
        <v>470</v>
      </c>
      <c r="BU93" s="139"/>
      <c r="BV93" s="139"/>
      <c r="BW93" s="148">
        <f t="shared" si="199"/>
        <v>1.66</v>
      </c>
      <c r="BX93" s="148">
        <f t="shared" si="200"/>
        <v>1.4779874213836477</v>
      </c>
      <c r="BY93" s="139"/>
      <c r="BZ93" s="139"/>
      <c r="CA93" s="139"/>
      <c r="CB93" s="139"/>
      <c r="CC93" s="139"/>
      <c r="CD93" s="139"/>
      <c r="CE93" s="139"/>
      <c r="CF93" s="139"/>
      <c r="CG93" s="139"/>
      <c r="CH93" s="139"/>
      <c r="CI93" s="139"/>
      <c r="CJ93" s="139"/>
    </row>
    <row r="94" spans="2:88" ht="9.9499999999999993" customHeight="1" x14ac:dyDescent="0.15">
      <c r="B94" s="142">
        <v>42678</v>
      </c>
      <c r="C94" s="139">
        <v>4702.2700000000004</v>
      </c>
      <c r="D94" s="139"/>
      <c r="E94" s="148">
        <f t="shared" si="186"/>
        <v>7.8739932014936634E-2</v>
      </c>
      <c r="F94" s="139">
        <v>3240.38</v>
      </c>
      <c r="G94" s="139"/>
      <c r="H94" s="148">
        <f t="shared" si="187"/>
        <v>8.0143945389790264E-2</v>
      </c>
      <c r="I94" s="139">
        <v>7741.400735801757</v>
      </c>
      <c r="J94" s="139"/>
      <c r="K94" s="139"/>
      <c r="L94" s="148">
        <f t="shared" si="188"/>
        <v>8.1843370573452839E-2</v>
      </c>
      <c r="M94" s="139">
        <v>8093.2453858970312</v>
      </c>
      <c r="N94" s="139"/>
      <c r="O94" s="139"/>
      <c r="P94" s="148">
        <f t="shared" si="189"/>
        <v>8.1843370573452839E-2</v>
      </c>
      <c r="Q94" s="139">
        <v>12131.56097673234</v>
      </c>
      <c r="R94" s="139"/>
      <c r="S94" s="139"/>
      <c r="T94" s="148">
        <f t="shared" si="190"/>
        <v>8.1843370573452839E-2</v>
      </c>
      <c r="V94" s="142">
        <v>42678</v>
      </c>
      <c r="W94" s="139">
        <v>21</v>
      </c>
      <c r="X94" s="139">
        <v>110</v>
      </c>
      <c r="Y94" s="139"/>
      <c r="Z94" s="139"/>
      <c r="AA94" s="148">
        <f t="shared" si="191"/>
        <v>0.91304347826086951</v>
      </c>
      <c r="AB94" s="148">
        <f t="shared" si="192"/>
        <v>0.859375</v>
      </c>
      <c r="AC94" s="139">
        <v>3</v>
      </c>
      <c r="AD94" s="139">
        <v>49</v>
      </c>
      <c r="AE94" s="139"/>
      <c r="AF94" s="139"/>
      <c r="AG94" s="148">
        <f t="shared" si="193"/>
        <v>0.75</v>
      </c>
      <c r="AH94" s="148">
        <f t="shared" si="194"/>
        <v>1.0425531914893618</v>
      </c>
      <c r="AI94" s="139">
        <v>36</v>
      </c>
      <c r="AJ94" s="139">
        <v>270</v>
      </c>
      <c r="AK94" s="139"/>
      <c r="AL94" s="139"/>
      <c r="AM94" s="148">
        <f t="shared" si="195"/>
        <v>0.72</v>
      </c>
      <c r="AN94" s="148">
        <f t="shared" si="196"/>
        <v>0.84905660377358494</v>
      </c>
      <c r="AO94" s="139"/>
      <c r="AP94" s="139"/>
      <c r="AQ94" s="139"/>
      <c r="AR94" s="139"/>
      <c r="AS94" s="148"/>
      <c r="AT94" s="148"/>
      <c r="AU94" s="139"/>
      <c r="AV94" s="139"/>
      <c r="AW94" s="139"/>
      <c r="AX94" s="139"/>
      <c r="AY94" s="148"/>
      <c r="AZ94" s="148"/>
      <c r="BA94" s="139"/>
      <c r="BB94" s="139"/>
      <c r="BC94" s="139"/>
      <c r="BD94" s="139"/>
      <c r="BE94" s="148"/>
      <c r="BF94" s="148"/>
      <c r="BG94" s="139"/>
      <c r="BH94" s="139"/>
      <c r="BI94" s="139"/>
      <c r="BJ94" s="139"/>
      <c r="BK94" s="148"/>
      <c r="BL94" s="148"/>
      <c r="BM94" s="139">
        <v>9.8000000000000007</v>
      </c>
      <c r="BN94" s="139">
        <v>56</v>
      </c>
      <c r="BO94" s="139"/>
      <c r="BP94" s="139"/>
      <c r="BQ94" s="148">
        <f t="shared" si="197"/>
        <v>0.44545454545454549</v>
      </c>
      <c r="BR94" s="148">
        <f t="shared" si="198"/>
        <v>1</v>
      </c>
      <c r="BS94" s="139">
        <v>58</v>
      </c>
      <c r="BT94" s="139">
        <v>370</v>
      </c>
      <c r="BU94" s="139"/>
      <c r="BV94" s="139"/>
      <c r="BW94" s="148">
        <f t="shared" si="199"/>
        <v>1.1599999999999999</v>
      </c>
      <c r="BX94" s="148">
        <f t="shared" si="200"/>
        <v>1.1635220125786163</v>
      </c>
      <c r="BY94" s="139"/>
      <c r="BZ94" s="139"/>
      <c r="CA94" s="139"/>
      <c r="CB94" s="139"/>
      <c r="CC94" s="139"/>
      <c r="CD94" s="139"/>
      <c r="CE94" s="139"/>
      <c r="CF94" s="139"/>
      <c r="CG94" s="139"/>
      <c r="CH94" s="139"/>
      <c r="CI94" s="139"/>
      <c r="CJ94" s="139"/>
    </row>
    <row r="95" spans="2:88" ht="9.9499999999999993" customHeight="1" x14ac:dyDescent="0.15">
      <c r="B95" s="142">
        <v>42705</v>
      </c>
      <c r="C95" s="139">
        <v>5076.05</v>
      </c>
      <c r="D95" s="139"/>
      <c r="E95" s="148">
        <f t="shared" si="186"/>
        <v>8.4998911569182337E-2</v>
      </c>
      <c r="F95" s="139">
        <v>3200.46</v>
      </c>
      <c r="G95" s="139"/>
      <c r="H95" s="148">
        <f t="shared" si="187"/>
        <v>7.915660862683023E-2</v>
      </c>
      <c r="I95" s="139">
        <v>7960.2368680251484</v>
      </c>
      <c r="J95" s="139"/>
      <c r="K95" s="139"/>
      <c r="L95" s="148">
        <f t="shared" si="188"/>
        <v>8.4156942403107671E-2</v>
      </c>
      <c r="M95" s="139">
        <v>8322.027563416108</v>
      </c>
      <c r="N95" s="139"/>
      <c r="O95" s="139"/>
      <c r="P95" s="148">
        <f t="shared" si="189"/>
        <v>8.4156942403107671E-2</v>
      </c>
      <c r="Q95" s="139">
        <v>12474.499415470247</v>
      </c>
      <c r="R95" s="139"/>
      <c r="S95" s="139"/>
      <c r="T95" s="148">
        <f t="shared" si="190"/>
        <v>8.4156942403107671E-2</v>
      </c>
      <c r="V95" s="142">
        <v>42705</v>
      </c>
      <c r="W95" s="139">
        <v>18</v>
      </c>
      <c r="X95" s="139">
        <v>120</v>
      </c>
      <c r="Y95" s="139"/>
      <c r="Z95" s="139"/>
      <c r="AA95" s="148">
        <f t="shared" si="191"/>
        <v>0.78260869565217395</v>
      </c>
      <c r="AB95" s="148">
        <f t="shared" si="192"/>
        <v>0.9375</v>
      </c>
      <c r="AC95" s="139">
        <v>3</v>
      </c>
      <c r="AD95" s="139">
        <v>44</v>
      </c>
      <c r="AE95" s="139"/>
      <c r="AF95" s="139"/>
      <c r="AG95" s="148">
        <f t="shared" si="193"/>
        <v>0.75</v>
      </c>
      <c r="AH95" s="148">
        <f t="shared" si="194"/>
        <v>0.93617021276595747</v>
      </c>
      <c r="AI95" s="139">
        <v>38</v>
      </c>
      <c r="AJ95" s="139">
        <v>350</v>
      </c>
      <c r="AK95" s="139"/>
      <c r="AL95" s="139"/>
      <c r="AM95" s="148">
        <f t="shared" si="195"/>
        <v>0.76</v>
      </c>
      <c r="AN95" s="148">
        <f t="shared" si="196"/>
        <v>1.10062893081761</v>
      </c>
      <c r="AO95" s="139"/>
      <c r="AP95" s="139"/>
      <c r="AQ95" s="139"/>
      <c r="AR95" s="139"/>
      <c r="AS95" s="148"/>
      <c r="AT95" s="148"/>
      <c r="AU95" s="139"/>
      <c r="AV95" s="139"/>
      <c r="AW95" s="139"/>
      <c r="AX95" s="139"/>
      <c r="AY95" s="148"/>
      <c r="AZ95" s="148"/>
      <c r="BA95" s="139"/>
      <c r="BB95" s="139"/>
      <c r="BC95" s="139"/>
      <c r="BD95" s="139"/>
      <c r="BE95" s="148"/>
      <c r="BF95" s="148"/>
      <c r="BG95" s="139"/>
      <c r="BH95" s="139"/>
      <c r="BI95" s="139"/>
      <c r="BJ95" s="139"/>
      <c r="BK95" s="148"/>
      <c r="BL95" s="148"/>
      <c r="BM95" s="139">
        <v>95</v>
      </c>
      <c r="BN95" s="139">
        <v>52</v>
      </c>
      <c r="BO95" s="139"/>
      <c r="BP95" s="139"/>
      <c r="BQ95" s="148">
        <f t="shared" si="197"/>
        <v>4.3181818181818183</v>
      </c>
      <c r="BR95" s="148">
        <f t="shared" si="198"/>
        <v>0.9285714285714286</v>
      </c>
      <c r="BS95" s="139">
        <v>61</v>
      </c>
      <c r="BT95" s="139">
        <v>390</v>
      </c>
      <c r="BU95" s="139"/>
      <c r="BV95" s="139"/>
      <c r="BW95" s="148">
        <f t="shared" si="199"/>
        <v>1.22</v>
      </c>
      <c r="BX95" s="148">
        <f t="shared" si="200"/>
        <v>1.2264150943396226</v>
      </c>
      <c r="BY95" s="139"/>
      <c r="BZ95" s="139"/>
      <c r="CA95" s="139"/>
      <c r="CB95" s="139"/>
      <c r="CC95" s="139"/>
      <c r="CD95" s="139"/>
      <c r="CE95" s="139"/>
      <c r="CF95" s="139"/>
      <c r="CG95" s="139"/>
      <c r="CH95" s="139"/>
      <c r="CI95" s="139"/>
      <c r="CJ95" s="139"/>
    </row>
    <row r="96" spans="2:88" ht="9.9499999999999993" customHeight="1" x14ac:dyDescent="0.15">
      <c r="B96" s="142">
        <v>42741</v>
      </c>
      <c r="C96" s="139">
        <v>4597.87</v>
      </c>
      <c r="D96" s="139"/>
      <c r="E96" s="148">
        <f t="shared" si="186"/>
        <v>7.6991744670875259E-2</v>
      </c>
      <c r="F96" s="139">
        <v>2885.05</v>
      </c>
      <c r="G96" s="139"/>
      <c r="H96" s="148">
        <f t="shared" si="187"/>
        <v>7.1355609418282548E-2</v>
      </c>
      <c r="I96" s="139">
        <v>7017.5581446013075</v>
      </c>
      <c r="J96" s="139"/>
      <c r="K96" s="139"/>
      <c r="L96" s="148">
        <f t="shared" si="188"/>
        <v>7.4190786829209918E-2</v>
      </c>
      <c r="M96" s="139">
        <v>7336.5043371800812</v>
      </c>
      <c r="N96" s="139"/>
      <c r="O96" s="139"/>
      <c r="P96" s="148">
        <f t="shared" si="189"/>
        <v>7.4190786829209918E-2</v>
      </c>
      <c r="Q96" s="139">
        <v>10997.226140906958</v>
      </c>
      <c r="R96" s="139"/>
      <c r="S96" s="139"/>
      <c r="T96" s="148">
        <f t="shared" si="190"/>
        <v>7.4190786829209918E-2</v>
      </c>
      <c r="V96" s="142">
        <v>42741</v>
      </c>
      <c r="W96" s="139">
        <v>15</v>
      </c>
      <c r="X96" s="139">
        <v>93</v>
      </c>
      <c r="Y96" s="139"/>
      <c r="Z96" s="139"/>
      <c r="AA96" s="148">
        <f t="shared" si="191"/>
        <v>0.65217391304347827</v>
      </c>
      <c r="AB96" s="148">
        <f t="shared" si="192"/>
        <v>0.7265625</v>
      </c>
      <c r="AC96" s="139">
        <v>3</v>
      </c>
      <c r="AD96" s="139">
        <v>12</v>
      </c>
      <c r="AE96" s="139"/>
      <c r="AF96" s="139"/>
      <c r="AG96" s="148">
        <f t="shared" si="193"/>
        <v>0.75</v>
      </c>
      <c r="AH96" s="148">
        <f t="shared" si="194"/>
        <v>0.25531914893617019</v>
      </c>
      <c r="AI96" s="139">
        <v>32</v>
      </c>
      <c r="AJ96" s="139">
        <v>190</v>
      </c>
      <c r="AK96" s="139"/>
      <c r="AL96" s="139"/>
      <c r="AM96" s="148">
        <f t="shared" si="195"/>
        <v>0.64</v>
      </c>
      <c r="AN96" s="148">
        <f t="shared" si="196"/>
        <v>0.59748427672955973</v>
      </c>
      <c r="AO96" s="139"/>
      <c r="AP96" s="139"/>
      <c r="AQ96" s="139"/>
      <c r="AR96" s="139"/>
      <c r="AS96" s="148"/>
      <c r="AT96" s="148"/>
      <c r="AU96" s="139"/>
      <c r="AV96" s="139"/>
      <c r="AW96" s="139"/>
      <c r="AX96" s="139"/>
      <c r="AY96" s="148"/>
      <c r="AZ96" s="148"/>
      <c r="BA96" s="139"/>
      <c r="BB96" s="139"/>
      <c r="BC96" s="139"/>
      <c r="BD96" s="139"/>
      <c r="BE96" s="148"/>
      <c r="BF96" s="148"/>
      <c r="BG96" s="139"/>
      <c r="BH96" s="139"/>
      <c r="BI96" s="139"/>
      <c r="BJ96" s="139"/>
      <c r="BK96" s="148"/>
      <c r="BL96" s="148"/>
      <c r="BM96" s="139">
        <v>5.7</v>
      </c>
      <c r="BN96" s="139">
        <v>31</v>
      </c>
      <c r="BO96" s="139"/>
      <c r="BP96" s="139"/>
      <c r="BQ96" s="148">
        <f t="shared" si="197"/>
        <v>0.25909090909090909</v>
      </c>
      <c r="BR96" s="148">
        <f t="shared" si="198"/>
        <v>0.5535714285714286</v>
      </c>
      <c r="BS96" s="139">
        <v>41</v>
      </c>
      <c r="BT96" s="139">
        <v>260</v>
      </c>
      <c r="BU96" s="139"/>
      <c r="BV96" s="139"/>
      <c r="BW96" s="148">
        <f t="shared" si="199"/>
        <v>0.82</v>
      </c>
      <c r="BX96" s="148">
        <f t="shared" si="200"/>
        <v>0.8176100628930818</v>
      </c>
      <c r="BY96" s="139"/>
      <c r="BZ96" s="139"/>
      <c r="CA96" s="139"/>
      <c r="CB96" s="139"/>
      <c r="CC96" s="139"/>
      <c r="CD96" s="139"/>
      <c r="CE96" s="139"/>
      <c r="CF96" s="139"/>
      <c r="CG96" s="139"/>
      <c r="CH96" s="139"/>
      <c r="CI96" s="139"/>
      <c r="CJ96" s="139"/>
    </row>
    <row r="97" spans="2:88" ht="9.9499999999999993" customHeight="1" x14ac:dyDescent="0.15">
      <c r="B97" s="142">
        <v>42767</v>
      </c>
      <c r="C97" s="139">
        <v>3936.52</v>
      </c>
      <c r="D97" s="139"/>
      <c r="E97" s="148">
        <f t="shared" si="186"/>
        <v>6.5917379728394648E-2</v>
      </c>
      <c r="F97" s="139">
        <v>2475.5</v>
      </c>
      <c r="G97" s="139"/>
      <c r="H97" s="148">
        <f t="shared" si="187"/>
        <v>6.1226256430550061E-2</v>
      </c>
      <c r="I97" s="139">
        <v>6293.135086206632</v>
      </c>
      <c r="J97" s="139"/>
      <c r="K97" s="139"/>
      <c r="L97" s="148">
        <f t="shared" si="188"/>
        <v>6.6532066289662878E-2</v>
      </c>
      <c r="M97" s="139">
        <v>6579.1564391858929</v>
      </c>
      <c r="N97" s="139"/>
      <c r="O97" s="139"/>
      <c r="P97" s="148">
        <f t="shared" si="189"/>
        <v>6.6532066289662878E-2</v>
      </c>
      <c r="Q97" s="139">
        <v>9861.981654050438</v>
      </c>
      <c r="R97" s="139"/>
      <c r="S97" s="139"/>
      <c r="T97" s="148">
        <f t="shared" si="190"/>
        <v>6.6532066289662878E-2</v>
      </c>
      <c r="V97" s="142">
        <v>42767</v>
      </c>
      <c r="W97" s="139">
        <v>11</v>
      </c>
      <c r="X97" s="139">
        <v>70</v>
      </c>
      <c r="Y97" s="139"/>
      <c r="Z97" s="139"/>
      <c r="AA97" s="148">
        <f t="shared" si="191"/>
        <v>0.47826086956521741</v>
      </c>
      <c r="AB97" s="148">
        <f t="shared" si="192"/>
        <v>0.546875</v>
      </c>
      <c r="AC97" s="139">
        <v>3</v>
      </c>
      <c r="AD97" s="139">
        <v>12</v>
      </c>
      <c r="AE97" s="139"/>
      <c r="AF97" s="139"/>
      <c r="AG97" s="148">
        <f t="shared" si="193"/>
        <v>0.75</v>
      </c>
      <c r="AH97" s="148">
        <f t="shared" si="194"/>
        <v>0.25531914893617019</v>
      </c>
      <c r="AI97" s="139">
        <v>16</v>
      </c>
      <c r="AJ97" s="139">
        <v>100</v>
      </c>
      <c r="AK97" s="139"/>
      <c r="AL97" s="139"/>
      <c r="AM97" s="148">
        <f t="shared" si="195"/>
        <v>0.32</v>
      </c>
      <c r="AN97" s="148">
        <f t="shared" si="196"/>
        <v>0.31446540880503143</v>
      </c>
      <c r="AO97" s="139"/>
      <c r="AP97" s="139"/>
      <c r="AQ97" s="139"/>
      <c r="AR97" s="139"/>
      <c r="AS97" s="148"/>
      <c r="AT97" s="148"/>
      <c r="AU97" s="139"/>
      <c r="AV97" s="139"/>
      <c r="AW97" s="139"/>
      <c r="AX97" s="139"/>
      <c r="AY97" s="148"/>
      <c r="AZ97" s="148"/>
      <c r="BA97" s="139"/>
      <c r="BB97" s="139"/>
      <c r="BC97" s="139"/>
      <c r="BD97" s="139"/>
      <c r="BE97" s="148"/>
      <c r="BF97" s="148"/>
      <c r="BG97" s="139"/>
      <c r="BH97" s="139"/>
      <c r="BI97" s="139"/>
      <c r="BJ97" s="139"/>
      <c r="BK97" s="148"/>
      <c r="BL97" s="148"/>
      <c r="BM97" s="139">
        <v>34</v>
      </c>
      <c r="BN97" s="139">
        <v>20</v>
      </c>
      <c r="BO97" s="139"/>
      <c r="BP97" s="139"/>
      <c r="BQ97" s="148">
        <f t="shared" si="197"/>
        <v>1.5454545454545454</v>
      </c>
      <c r="BR97" s="148">
        <f t="shared" si="198"/>
        <v>0.35714285714285715</v>
      </c>
      <c r="BS97" s="139">
        <v>24</v>
      </c>
      <c r="BT97" s="139">
        <v>160</v>
      </c>
      <c r="BU97" s="139"/>
      <c r="BV97" s="139"/>
      <c r="BW97" s="148">
        <f t="shared" si="199"/>
        <v>0.48</v>
      </c>
      <c r="BX97" s="148">
        <f t="shared" si="200"/>
        <v>0.50314465408805031</v>
      </c>
      <c r="BY97" s="139"/>
      <c r="BZ97" s="139"/>
      <c r="CA97" s="139"/>
      <c r="CB97" s="139"/>
      <c r="CC97" s="139"/>
      <c r="CD97" s="139"/>
      <c r="CE97" s="139"/>
      <c r="CF97" s="139"/>
      <c r="CG97" s="139"/>
      <c r="CH97" s="139"/>
      <c r="CI97" s="139"/>
      <c r="CJ97" s="139"/>
    </row>
    <row r="98" spans="2:88" ht="9.9499999999999993" customHeight="1" x14ac:dyDescent="0.15">
      <c r="B98" s="142">
        <v>42797</v>
      </c>
      <c r="C98" s="139">
        <v>4818.8599999999997</v>
      </c>
      <c r="D98" s="147">
        <f>SUM(C87:C98)</f>
        <v>59718.880000000005</v>
      </c>
      <c r="E98" s="148">
        <f t="shared" si="186"/>
        <v>8.0692242000033484E-2</v>
      </c>
      <c r="F98" s="139">
        <v>2975.21</v>
      </c>
      <c r="G98" s="147">
        <f>SUM(F87:F98)</f>
        <v>40431.599999999999</v>
      </c>
      <c r="H98" s="148">
        <f t="shared" si="187"/>
        <v>7.3585526315789476E-2</v>
      </c>
      <c r="I98" s="139">
        <v>7628.7901001218152</v>
      </c>
      <c r="J98" s="147">
        <f>SUM(I87:I98)</f>
        <v>94588</v>
      </c>
      <c r="K98" s="139"/>
      <c r="L98" s="148">
        <f t="shared" si="188"/>
        <v>8.0652832284452733E-2</v>
      </c>
      <c r="M98" s="139">
        <v>7975.5166261126778</v>
      </c>
      <c r="N98" s="147">
        <f>SUM(M87:M98)</f>
        <v>98887</v>
      </c>
      <c r="O98" s="139"/>
      <c r="P98" s="148">
        <f t="shared" si="189"/>
        <v>8.0652832284452733E-2</v>
      </c>
      <c r="Q98" s="139">
        <v>11955.088676692145</v>
      </c>
      <c r="R98" s="147">
        <f>SUM(Q87:Q98)</f>
        <v>148229</v>
      </c>
      <c r="S98" s="139"/>
      <c r="T98" s="148">
        <f t="shared" si="190"/>
        <v>8.0652832284452733E-2</v>
      </c>
      <c r="V98" s="142">
        <v>42797</v>
      </c>
      <c r="W98" s="139">
        <v>12</v>
      </c>
      <c r="X98" s="139">
        <v>72</v>
      </c>
      <c r="Y98" s="147">
        <f>AVERAGE(W87:W98)</f>
        <v>22.583333333333332</v>
      </c>
      <c r="Z98" s="147">
        <f>AVERAGE(X87:X98)</f>
        <v>127.91666666666667</v>
      </c>
      <c r="AA98" s="148">
        <f t="shared" si="191"/>
        <v>0.52173913043478259</v>
      </c>
      <c r="AB98" s="148">
        <f t="shared" si="192"/>
        <v>0.5625</v>
      </c>
      <c r="AC98" s="139">
        <v>3</v>
      </c>
      <c r="AD98" s="139">
        <v>23</v>
      </c>
      <c r="AE98" s="147">
        <f>AVERAGE(AC87:AC98)</f>
        <v>4.166666666666667</v>
      </c>
      <c r="AF98" s="147">
        <f>AVERAGE(AD87:AD98)</f>
        <v>46.833333333333336</v>
      </c>
      <c r="AG98" s="148">
        <f t="shared" si="193"/>
        <v>0.75</v>
      </c>
      <c r="AH98" s="148">
        <f t="shared" si="194"/>
        <v>0.48936170212765956</v>
      </c>
      <c r="AI98" s="139">
        <v>16</v>
      </c>
      <c r="AJ98" s="139">
        <v>140</v>
      </c>
      <c r="AK98" s="147">
        <f>AVERAGE(AI87:AI98)</f>
        <v>49.583333333333336</v>
      </c>
      <c r="AL98" s="147">
        <f>AVERAGE(AJ87:AJ98)</f>
        <v>318.33333333333331</v>
      </c>
      <c r="AM98" s="148">
        <f t="shared" si="195"/>
        <v>0.32</v>
      </c>
      <c r="AN98" s="148">
        <f t="shared" si="196"/>
        <v>0.44025157232704404</v>
      </c>
      <c r="AO98" s="139"/>
      <c r="AP98" s="139"/>
      <c r="AQ98" s="147"/>
      <c r="AR98" s="147"/>
      <c r="AS98" s="148"/>
      <c r="AT98" s="148"/>
      <c r="AU98" s="139"/>
      <c r="AV98" s="139"/>
      <c r="AW98" s="147"/>
      <c r="AX98" s="147"/>
      <c r="AY98" s="148"/>
      <c r="AZ98" s="148"/>
      <c r="BA98" s="139"/>
      <c r="BB98" s="139"/>
      <c r="BC98" s="147"/>
      <c r="BD98" s="147"/>
      <c r="BE98" s="148"/>
      <c r="BF98" s="148"/>
      <c r="BG98" s="139"/>
      <c r="BH98" s="139"/>
      <c r="BI98" s="147"/>
      <c r="BJ98" s="147"/>
      <c r="BK98" s="148"/>
      <c r="BL98" s="148"/>
      <c r="BM98" s="139">
        <v>35</v>
      </c>
      <c r="BN98" s="139">
        <v>24</v>
      </c>
      <c r="BO98" s="147">
        <f>AVERAGE(BM87:BM98)</f>
        <v>22.424999999999997</v>
      </c>
      <c r="BP98" s="147">
        <f>AVERAGE(BN87:BN98)</f>
        <v>55.916666666666664</v>
      </c>
      <c r="BQ98" s="148">
        <f t="shared" si="197"/>
        <v>1.5909090909090908</v>
      </c>
      <c r="BR98" s="148">
        <f t="shared" si="198"/>
        <v>0.42857142857142855</v>
      </c>
      <c r="BS98" s="139">
        <v>36</v>
      </c>
      <c r="BT98" s="139">
        <v>230</v>
      </c>
      <c r="BU98" s="147">
        <f>AVERAGE(BS87:BS98)</f>
        <v>75.833333333333329</v>
      </c>
      <c r="BV98" s="147">
        <f>AVERAGE(BT87:BT98)</f>
        <v>425</v>
      </c>
      <c r="BW98" s="148">
        <f t="shared" si="199"/>
        <v>0.72</v>
      </c>
      <c r="BX98" s="148">
        <f t="shared" si="200"/>
        <v>0.72327044025157228</v>
      </c>
      <c r="BY98" s="139"/>
      <c r="BZ98" s="139"/>
      <c r="CA98" s="147">
        <f>SUM(BY87:BY98)</f>
        <v>0</v>
      </c>
      <c r="CB98" s="139"/>
      <c r="CC98" s="139"/>
      <c r="CD98" s="139"/>
      <c r="CE98" s="147">
        <f>SUM(CC87:CC98)</f>
        <v>0</v>
      </c>
      <c r="CF98" s="139"/>
      <c r="CG98" s="139"/>
      <c r="CH98" s="139"/>
      <c r="CI98" s="147">
        <f>SUM(CG87:CG98)</f>
        <v>0</v>
      </c>
      <c r="CJ98" s="139"/>
    </row>
    <row r="99" spans="2:88" ht="9.9499999999999993" customHeight="1" x14ac:dyDescent="0.15">
      <c r="B99" s="142">
        <v>42828</v>
      </c>
      <c r="C99" s="139">
        <v>4574.25</v>
      </c>
      <c r="D99" s="139"/>
      <c r="E99" s="148">
        <f>C99/60216</f>
        <v>7.5964029493822235E-2</v>
      </c>
      <c r="F99" s="139">
        <v>2943.86</v>
      </c>
      <c r="G99" s="139"/>
      <c r="H99" s="148">
        <f>F99/40748</f>
        <v>7.2245508982035925E-2</v>
      </c>
      <c r="I99" s="139"/>
      <c r="J99" s="139"/>
      <c r="K99" s="139"/>
      <c r="L99" s="139"/>
      <c r="M99" s="139"/>
      <c r="N99" s="139"/>
      <c r="O99" s="139"/>
      <c r="P99" s="139"/>
      <c r="Q99" s="139"/>
      <c r="R99" s="139"/>
      <c r="S99" s="143"/>
      <c r="T99" s="143"/>
      <c r="V99" s="142">
        <v>42828</v>
      </c>
      <c r="W99" s="139">
        <v>17</v>
      </c>
      <c r="X99" s="139">
        <v>120</v>
      </c>
      <c r="Y99" s="139"/>
      <c r="Z99" s="139"/>
      <c r="AA99" s="148">
        <f>W99/15</f>
        <v>1.1333333333333333</v>
      </c>
      <c r="AB99" s="148">
        <f>X99/114</f>
        <v>1.0526315789473684</v>
      </c>
      <c r="AC99" s="139">
        <v>3</v>
      </c>
      <c r="AD99" s="139">
        <v>38</v>
      </c>
      <c r="AE99" s="139"/>
      <c r="AF99" s="139"/>
      <c r="AG99" s="148">
        <f>AC99/4</f>
        <v>0.75</v>
      </c>
      <c r="AH99" s="148">
        <f>AD99/41</f>
        <v>0.92682926829268297</v>
      </c>
      <c r="AI99" s="139">
        <v>41</v>
      </c>
      <c r="AJ99" s="139">
        <v>370</v>
      </c>
      <c r="AK99" s="139"/>
      <c r="AL99" s="139"/>
      <c r="AM99" s="148">
        <f>AI99/35</f>
        <v>1.1714285714285715</v>
      </c>
      <c r="AN99" s="148">
        <f>AJ99/256</f>
        <v>1.4453125</v>
      </c>
      <c r="AO99" s="139"/>
      <c r="AP99" s="139"/>
      <c r="AQ99" s="139"/>
      <c r="AR99" s="139"/>
      <c r="AS99" s="148"/>
      <c r="AT99" s="148"/>
      <c r="AU99" s="139"/>
      <c r="AV99" s="139"/>
      <c r="AW99" s="139"/>
      <c r="AX99" s="139"/>
      <c r="AY99" s="148"/>
      <c r="AZ99" s="148"/>
      <c r="BA99" s="139"/>
      <c r="BB99" s="139"/>
      <c r="BC99" s="139"/>
      <c r="BD99" s="139"/>
      <c r="BE99" s="148"/>
      <c r="BF99" s="148"/>
      <c r="BG99" s="139"/>
      <c r="BH99" s="139"/>
      <c r="BI99" s="139"/>
      <c r="BJ99" s="139"/>
      <c r="BK99" s="148"/>
      <c r="BL99" s="148"/>
      <c r="BM99" s="139">
        <v>9.1999999999999993</v>
      </c>
      <c r="BN99" s="139">
        <v>63</v>
      </c>
      <c r="BO99" s="139"/>
      <c r="BP99" s="139"/>
      <c r="BQ99" s="148">
        <f>BM99/6</f>
        <v>1.5333333333333332</v>
      </c>
      <c r="BR99" s="148">
        <f>BN99/48</f>
        <v>1.3125</v>
      </c>
      <c r="BS99" s="139">
        <v>43</v>
      </c>
      <c r="BT99" s="139">
        <v>290</v>
      </c>
      <c r="BU99" s="139"/>
      <c r="BV99" s="139"/>
      <c r="BW99" s="148">
        <f>BS99/35</f>
        <v>1.2285714285714286</v>
      </c>
      <c r="BX99" s="148">
        <f>BT99/256</f>
        <v>1.1328125</v>
      </c>
      <c r="BY99" s="139"/>
      <c r="BZ99" s="139"/>
      <c r="CA99" s="139"/>
      <c r="CB99" s="139"/>
      <c r="CC99" s="139"/>
      <c r="CD99" s="139"/>
      <c r="CE99" s="139"/>
      <c r="CF99" s="139"/>
      <c r="CG99" s="139"/>
      <c r="CH99" s="139"/>
      <c r="CI99" s="139"/>
      <c r="CJ99" s="143"/>
    </row>
    <row r="100" spans="2:88" ht="9.9499999999999993" customHeight="1" x14ac:dyDescent="0.15">
      <c r="B100" s="142">
        <v>42857</v>
      </c>
      <c r="C100" s="139">
        <v>5535.09</v>
      </c>
      <c r="D100" s="139"/>
      <c r="E100" s="148">
        <f t="shared" ref="E100:E110" si="201">C100/60216</f>
        <v>9.1920585890793147E-2</v>
      </c>
      <c r="F100" s="139">
        <v>3705.96</v>
      </c>
      <c r="G100" s="139"/>
      <c r="H100" s="148">
        <f t="shared" ref="H100:H110" si="202">F100/40748</f>
        <v>9.094826739962697E-2</v>
      </c>
      <c r="I100" s="139"/>
      <c r="J100" s="139"/>
      <c r="K100" s="139"/>
      <c r="L100" s="139"/>
      <c r="M100" s="139"/>
      <c r="N100" s="139"/>
      <c r="O100" s="139"/>
      <c r="P100" s="139"/>
      <c r="Q100" s="139"/>
      <c r="R100" s="139"/>
      <c r="S100" s="143"/>
      <c r="T100" s="143"/>
      <c r="V100" s="142">
        <v>42857</v>
      </c>
      <c r="W100" s="139">
        <v>25</v>
      </c>
      <c r="X100" s="139">
        <v>170</v>
      </c>
      <c r="Y100" s="139"/>
      <c r="Z100" s="139"/>
      <c r="AA100" s="148">
        <f t="shared" ref="AA100:AA110" si="203">W100/15</f>
        <v>1.6666666666666667</v>
      </c>
      <c r="AB100" s="148">
        <f t="shared" ref="AB100:AB110" si="204">X100/114</f>
        <v>1.4912280701754386</v>
      </c>
      <c r="AC100" s="139">
        <v>3</v>
      </c>
      <c r="AD100" s="139">
        <v>70</v>
      </c>
      <c r="AE100" s="139"/>
      <c r="AF100" s="139"/>
      <c r="AG100" s="148">
        <f t="shared" ref="AG100:AG110" si="205">AC100/4</f>
        <v>0.75</v>
      </c>
      <c r="AH100" s="148">
        <f t="shared" ref="AH100:AH110" si="206">AD100/41</f>
        <v>1.7073170731707317</v>
      </c>
      <c r="AI100" s="139">
        <v>57</v>
      </c>
      <c r="AJ100" s="139">
        <v>290</v>
      </c>
      <c r="AK100" s="139"/>
      <c r="AL100" s="139"/>
      <c r="AM100" s="148">
        <f t="shared" ref="AM100:AM110" si="207">AI100/35</f>
        <v>1.6285714285714286</v>
      </c>
      <c r="AN100" s="148">
        <f t="shared" ref="AN100:AN110" si="208">AJ100/256</f>
        <v>1.1328125</v>
      </c>
      <c r="AO100" s="139"/>
      <c r="AP100" s="139"/>
      <c r="AQ100" s="139"/>
      <c r="AR100" s="139"/>
      <c r="AS100" s="148"/>
      <c r="AT100" s="148"/>
      <c r="AU100" s="139"/>
      <c r="AV100" s="139"/>
      <c r="AW100" s="139"/>
      <c r="AX100" s="139"/>
      <c r="AY100" s="148"/>
      <c r="AZ100" s="148"/>
      <c r="BA100" s="139"/>
      <c r="BB100" s="139"/>
      <c r="BC100" s="139"/>
      <c r="BD100" s="139"/>
      <c r="BE100" s="148"/>
      <c r="BF100" s="148"/>
      <c r="BG100" s="139"/>
      <c r="BH100" s="139"/>
      <c r="BI100" s="139"/>
      <c r="BJ100" s="139"/>
      <c r="BK100" s="148"/>
      <c r="BL100" s="148"/>
      <c r="BM100" s="139">
        <v>8.3000000000000007</v>
      </c>
      <c r="BN100" s="139">
        <v>64</v>
      </c>
      <c r="BO100" s="139"/>
      <c r="BP100" s="139"/>
      <c r="BQ100" s="148">
        <f t="shared" ref="BQ100:BQ110" si="209">BM100/6</f>
        <v>1.3833333333333335</v>
      </c>
      <c r="BR100" s="148">
        <f t="shared" ref="BR100:BR110" si="210">BN100/48</f>
        <v>1.3333333333333333</v>
      </c>
      <c r="BS100" s="139">
        <v>48</v>
      </c>
      <c r="BT100" s="139">
        <v>340</v>
      </c>
      <c r="BU100" s="139"/>
      <c r="BV100" s="139"/>
      <c r="BW100" s="148">
        <f t="shared" ref="BW100:BW110" si="211">BS100/35</f>
        <v>1.3714285714285714</v>
      </c>
      <c r="BX100" s="148">
        <f t="shared" ref="BX100:BX110" si="212">BT100/256</f>
        <v>1.328125</v>
      </c>
      <c r="BY100" s="139"/>
      <c r="BZ100" s="139"/>
      <c r="CA100" s="139"/>
      <c r="CB100" s="139"/>
      <c r="CC100" s="139"/>
      <c r="CD100" s="139"/>
      <c r="CE100" s="139"/>
      <c r="CF100" s="139"/>
      <c r="CG100" s="139"/>
      <c r="CH100" s="139"/>
      <c r="CI100" s="139"/>
      <c r="CJ100" s="143"/>
    </row>
    <row r="101" spans="2:88" ht="9.9499999999999993" customHeight="1" x14ac:dyDescent="0.15">
      <c r="B101" s="142">
        <v>42887</v>
      </c>
      <c r="C101" s="139">
        <v>5442.01</v>
      </c>
      <c r="D101" s="139"/>
      <c r="E101" s="148">
        <f t="shared" si="201"/>
        <v>9.0374817324299195E-2</v>
      </c>
      <c r="F101" s="139">
        <v>3770.52</v>
      </c>
      <c r="G101" s="139"/>
      <c r="H101" s="148">
        <f t="shared" si="202"/>
        <v>9.2532639638755271E-2</v>
      </c>
      <c r="I101" s="139"/>
      <c r="J101" s="139"/>
      <c r="K101" s="139"/>
      <c r="L101" s="139"/>
      <c r="M101" s="139"/>
      <c r="N101" s="139"/>
      <c r="O101" s="139"/>
      <c r="P101" s="139"/>
      <c r="Q101" s="139"/>
      <c r="R101" s="139"/>
      <c r="S101" s="143"/>
      <c r="T101" s="143"/>
      <c r="V101" s="142">
        <v>42887</v>
      </c>
      <c r="W101" s="139">
        <v>22</v>
      </c>
      <c r="X101" s="139">
        <v>150</v>
      </c>
      <c r="Y101" s="139"/>
      <c r="Z101" s="139"/>
      <c r="AA101" s="148">
        <f t="shared" si="203"/>
        <v>1.4666666666666666</v>
      </c>
      <c r="AB101" s="148">
        <f t="shared" si="204"/>
        <v>1.3157894736842106</v>
      </c>
      <c r="AC101" s="139">
        <v>3</v>
      </c>
      <c r="AD101" s="139">
        <v>66</v>
      </c>
      <c r="AE101" s="139"/>
      <c r="AF101" s="139"/>
      <c r="AG101" s="148">
        <f t="shared" si="205"/>
        <v>0.75</v>
      </c>
      <c r="AH101" s="148">
        <f t="shared" si="206"/>
        <v>1.6097560975609757</v>
      </c>
      <c r="AI101" s="139">
        <v>63</v>
      </c>
      <c r="AJ101" s="139">
        <v>400</v>
      </c>
      <c r="AK101" s="139"/>
      <c r="AL101" s="139"/>
      <c r="AM101" s="148">
        <f t="shared" si="207"/>
        <v>1.8</v>
      </c>
      <c r="AN101" s="148">
        <f t="shared" si="208"/>
        <v>1.5625</v>
      </c>
      <c r="AO101" s="139"/>
      <c r="AP101" s="139"/>
      <c r="AQ101" s="139"/>
      <c r="AR101" s="139"/>
      <c r="AS101" s="148"/>
      <c r="AT101" s="148"/>
      <c r="AU101" s="139"/>
      <c r="AV101" s="139"/>
      <c r="AW101" s="139"/>
      <c r="AX101" s="139"/>
      <c r="AY101" s="148"/>
      <c r="AZ101" s="148"/>
      <c r="BA101" s="139"/>
      <c r="BB101" s="139"/>
      <c r="BC101" s="139"/>
      <c r="BD101" s="139"/>
      <c r="BE101" s="148"/>
      <c r="BF101" s="148"/>
      <c r="BG101" s="139"/>
      <c r="BH101" s="139"/>
      <c r="BI101" s="139"/>
      <c r="BJ101" s="139"/>
      <c r="BK101" s="148"/>
      <c r="BL101" s="148"/>
      <c r="BM101" s="139">
        <v>9.5</v>
      </c>
      <c r="BN101" s="139">
        <v>74</v>
      </c>
      <c r="BO101" s="139"/>
      <c r="BP101" s="139"/>
      <c r="BQ101" s="148">
        <f t="shared" si="209"/>
        <v>1.5833333333333333</v>
      </c>
      <c r="BR101" s="148">
        <f t="shared" si="210"/>
        <v>1.5416666666666667</v>
      </c>
      <c r="BS101" s="139">
        <v>58</v>
      </c>
      <c r="BT101" s="139">
        <v>420</v>
      </c>
      <c r="BU101" s="139"/>
      <c r="BV101" s="139"/>
      <c r="BW101" s="148">
        <f t="shared" si="211"/>
        <v>1.6571428571428573</v>
      </c>
      <c r="BX101" s="148">
        <f t="shared" si="212"/>
        <v>1.640625</v>
      </c>
      <c r="BY101" s="139"/>
      <c r="BZ101" s="139"/>
      <c r="CA101" s="139"/>
      <c r="CB101" s="139"/>
      <c r="CC101" s="139"/>
      <c r="CD101" s="139"/>
      <c r="CE101" s="139"/>
      <c r="CF101" s="139"/>
      <c r="CG101" s="139"/>
      <c r="CH101" s="139"/>
      <c r="CI101" s="139"/>
      <c r="CJ101" s="143"/>
    </row>
    <row r="102" spans="2:88" ht="9.9499999999999993" customHeight="1" x14ac:dyDescent="0.15">
      <c r="B102" s="142">
        <v>42919</v>
      </c>
      <c r="C102" s="139">
        <v>5365.97</v>
      </c>
      <c r="D102" s="139"/>
      <c r="E102" s="148">
        <f t="shared" si="201"/>
        <v>8.911203002524247E-2</v>
      </c>
      <c r="F102" s="139">
        <v>3885.4</v>
      </c>
      <c r="G102" s="139"/>
      <c r="H102" s="148">
        <f t="shared" si="202"/>
        <v>9.5351919112594483E-2</v>
      </c>
      <c r="I102" s="139"/>
      <c r="J102" s="139"/>
      <c r="K102" s="139"/>
      <c r="L102" s="139"/>
      <c r="M102" s="139"/>
      <c r="N102" s="139"/>
      <c r="O102" s="139"/>
      <c r="P102" s="139"/>
      <c r="Q102" s="139"/>
      <c r="R102" s="139"/>
      <c r="S102" s="143"/>
      <c r="T102" s="143"/>
      <c r="V102" s="142">
        <v>42919</v>
      </c>
      <c r="W102" s="139">
        <v>20</v>
      </c>
      <c r="X102" s="139">
        <v>140</v>
      </c>
      <c r="Y102" s="139"/>
      <c r="Z102" s="139"/>
      <c r="AA102" s="148">
        <f t="shared" si="203"/>
        <v>1.3333333333333333</v>
      </c>
      <c r="AB102" s="148">
        <f t="shared" si="204"/>
        <v>1.2280701754385965</v>
      </c>
      <c r="AC102" s="139">
        <v>3</v>
      </c>
      <c r="AD102" s="139">
        <v>52</v>
      </c>
      <c r="AE102" s="139"/>
      <c r="AF102" s="139"/>
      <c r="AG102" s="148">
        <f t="shared" si="205"/>
        <v>0.75</v>
      </c>
      <c r="AH102" s="148">
        <f t="shared" si="206"/>
        <v>1.2682926829268293</v>
      </c>
      <c r="AI102" s="139">
        <v>41</v>
      </c>
      <c r="AJ102" s="139">
        <v>320</v>
      </c>
      <c r="AK102" s="139"/>
      <c r="AL102" s="139"/>
      <c r="AM102" s="148">
        <f t="shared" si="207"/>
        <v>1.1714285714285715</v>
      </c>
      <c r="AN102" s="148">
        <f t="shared" si="208"/>
        <v>1.25</v>
      </c>
      <c r="AO102" s="139"/>
      <c r="AP102" s="139"/>
      <c r="AQ102" s="139"/>
      <c r="AR102" s="139"/>
      <c r="AS102" s="148"/>
      <c r="AT102" s="148"/>
      <c r="AU102" s="139"/>
      <c r="AV102" s="139"/>
      <c r="AW102" s="139"/>
      <c r="AX102" s="139"/>
      <c r="AY102" s="148"/>
      <c r="AZ102" s="148"/>
      <c r="BA102" s="139"/>
      <c r="BB102" s="139"/>
      <c r="BC102" s="139"/>
      <c r="BD102" s="139"/>
      <c r="BE102" s="148"/>
      <c r="BF102" s="148"/>
      <c r="BG102" s="139"/>
      <c r="BH102" s="139"/>
      <c r="BI102" s="139"/>
      <c r="BJ102" s="139"/>
      <c r="BK102" s="148"/>
      <c r="BL102" s="148"/>
      <c r="BM102" s="139">
        <v>5.7</v>
      </c>
      <c r="BN102" s="139">
        <v>42</v>
      </c>
      <c r="BO102" s="139"/>
      <c r="BP102" s="139"/>
      <c r="BQ102" s="148">
        <f t="shared" si="209"/>
        <v>0.95000000000000007</v>
      </c>
      <c r="BR102" s="148">
        <f t="shared" si="210"/>
        <v>0.875</v>
      </c>
      <c r="BS102" s="139">
        <v>56</v>
      </c>
      <c r="BT102" s="139">
        <v>440</v>
      </c>
      <c r="BU102" s="139"/>
      <c r="BV102" s="139"/>
      <c r="BW102" s="148">
        <f t="shared" si="211"/>
        <v>1.6</v>
      </c>
      <c r="BX102" s="148">
        <f t="shared" si="212"/>
        <v>1.71875</v>
      </c>
      <c r="BY102" s="139"/>
      <c r="BZ102" s="139"/>
      <c r="CA102" s="139"/>
      <c r="CB102" s="139"/>
      <c r="CC102" s="139"/>
      <c r="CD102" s="139"/>
      <c r="CE102" s="139"/>
      <c r="CF102" s="139"/>
      <c r="CG102" s="139"/>
      <c r="CH102" s="139"/>
      <c r="CI102" s="139"/>
      <c r="CJ102" s="143"/>
    </row>
    <row r="103" spans="2:88" ht="9.9499999999999993" customHeight="1" x14ac:dyDescent="0.15">
      <c r="B103" s="142">
        <v>42948</v>
      </c>
      <c r="C103" s="139">
        <v>5947.22</v>
      </c>
      <c r="D103" s="139"/>
      <c r="E103" s="148">
        <f t="shared" si="201"/>
        <v>9.8764780124883753E-2</v>
      </c>
      <c r="F103" s="139">
        <v>4267.82</v>
      </c>
      <c r="G103" s="139"/>
      <c r="H103" s="148">
        <f t="shared" si="202"/>
        <v>0.10473691960341611</v>
      </c>
      <c r="I103" s="139"/>
      <c r="J103" s="139"/>
      <c r="K103" s="139"/>
      <c r="L103" s="139"/>
      <c r="M103" s="139"/>
      <c r="N103" s="139"/>
      <c r="O103" s="139"/>
      <c r="P103" s="139"/>
      <c r="Q103" s="139"/>
      <c r="R103" s="139"/>
      <c r="S103" s="143"/>
      <c r="T103" s="143"/>
      <c r="V103" s="142">
        <v>42948</v>
      </c>
      <c r="W103" s="139">
        <v>14</v>
      </c>
      <c r="X103" s="139">
        <v>120</v>
      </c>
      <c r="Y103" s="139"/>
      <c r="Z103" s="139"/>
      <c r="AA103" s="148">
        <f t="shared" si="203"/>
        <v>0.93333333333333335</v>
      </c>
      <c r="AB103" s="148">
        <f t="shared" si="204"/>
        <v>1.0526315789473684</v>
      </c>
      <c r="AC103" s="139">
        <v>3</v>
      </c>
      <c r="AD103" s="139">
        <v>55</v>
      </c>
      <c r="AE103" s="139"/>
      <c r="AF103" s="139"/>
      <c r="AG103" s="148">
        <f t="shared" si="205"/>
        <v>0.75</v>
      </c>
      <c r="AH103" s="148">
        <f t="shared" si="206"/>
        <v>1.3414634146341464</v>
      </c>
      <c r="AI103" s="139">
        <v>37</v>
      </c>
      <c r="AJ103" s="139">
        <v>260</v>
      </c>
      <c r="AK103" s="139"/>
      <c r="AL103" s="139"/>
      <c r="AM103" s="148">
        <f t="shared" si="207"/>
        <v>1.0571428571428572</v>
      </c>
      <c r="AN103" s="148">
        <f t="shared" si="208"/>
        <v>1.015625</v>
      </c>
      <c r="AO103" s="139"/>
      <c r="AP103" s="139"/>
      <c r="AQ103" s="139"/>
      <c r="AR103" s="139"/>
      <c r="AS103" s="148"/>
      <c r="AT103" s="148"/>
      <c r="AU103" s="139"/>
      <c r="AV103" s="139"/>
      <c r="AW103" s="139"/>
      <c r="AX103" s="139"/>
      <c r="AY103" s="148"/>
      <c r="AZ103" s="148"/>
      <c r="BA103" s="139"/>
      <c r="BB103" s="139"/>
      <c r="BC103" s="139"/>
      <c r="BD103" s="139"/>
      <c r="BE103" s="148"/>
      <c r="BF103" s="148"/>
      <c r="BG103" s="139"/>
      <c r="BH103" s="139"/>
      <c r="BI103" s="139"/>
      <c r="BJ103" s="139"/>
      <c r="BK103" s="148"/>
      <c r="BL103" s="148"/>
      <c r="BM103" s="139">
        <v>8.1999999999999993</v>
      </c>
      <c r="BN103" s="139">
        <v>66</v>
      </c>
      <c r="BO103" s="139"/>
      <c r="BP103" s="139"/>
      <c r="BQ103" s="148">
        <f t="shared" si="209"/>
        <v>1.3666666666666665</v>
      </c>
      <c r="BR103" s="148">
        <f t="shared" si="210"/>
        <v>1.375</v>
      </c>
      <c r="BS103" s="139">
        <v>43</v>
      </c>
      <c r="BT103" s="139">
        <v>310</v>
      </c>
      <c r="BU103" s="139"/>
      <c r="BV103" s="139"/>
      <c r="BW103" s="148">
        <f t="shared" si="211"/>
        <v>1.2285714285714286</v>
      </c>
      <c r="BX103" s="148">
        <f t="shared" si="212"/>
        <v>1.2109375</v>
      </c>
      <c r="BY103" s="139"/>
      <c r="BZ103" s="139"/>
      <c r="CA103" s="139"/>
      <c r="CB103" s="139"/>
      <c r="CC103" s="139"/>
      <c r="CD103" s="139"/>
      <c r="CE103" s="139"/>
      <c r="CF103" s="139"/>
      <c r="CG103" s="139"/>
      <c r="CH103" s="139"/>
      <c r="CI103" s="139"/>
      <c r="CJ103" s="143"/>
    </row>
    <row r="104" spans="2:88" ht="9.9499999999999993" customHeight="1" x14ac:dyDescent="0.15">
      <c r="B104" s="142">
        <v>42979</v>
      </c>
      <c r="C104" s="139">
        <v>5135.9799999999996</v>
      </c>
      <c r="D104" s="139"/>
      <c r="E104" s="148">
        <f t="shared" si="201"/>
        <v>8.5292613258934502E-2</v>
      </c>
      <c r="F104" s="139">
        <v>3661.59</v>
      </c>
      <c r="G104" s="139"/>
      <c r="H104" s="148">
        <f t="shared" si="202"/>
        <v>8.9859379601452835E-2</v>
      </c>
      <c r="I104" s="139"/>
      <c r="J104" s="139"/>
      <c r="K104" s="139"/>
      <c r="L104" s="139"/>
      <c r="M104" s="139"/>
      <c r="N104" s="139"/>
      <c r="O104" s="139"/>
      <c r="P104" s="139"/>
      <c r="Q104" s="139"/>
      <c r="R104" s="139"/>
      <c r="S104" s="143"/>
      <c r="T104" s="143"/>
      <c r="V104" s="142">
        <v>42979</v>
      </c>
      <c r="W104" s="139">
        <v>15</v>
      </c>
      <c r="X104" s="139">
        <v>130</v>
      </c>
      <c r="Y104" s="139"/>
      <c r="Z104" s="139"/>
      <c r="AA104" s="148">
        <f t="shared" si="203"/>
        <v>1</v>
      </c>
      <c r="AB104" s="148">
        <f t="shared" si="204"/>
        <v>1.1403508771929824</v>
      </c>
      <c r="AC104" s="139">
        <v>9.6999999999999993</v>
      </c>
      <c r="AD104" s="139">
        <v>68</v>
      </c>
      <c r="AE104" s="139"/>
      <c r="AF104" s="139"/>
      <c r="AG104" s="148">
        <f t="shared" si="205"/>
        <v>2.4249999999999998</v>
      </c>
      <c r="AH104" s="148">
        <f t="shared" si="206"/>
        <v>1.6585365853658536</v>
      </c>
      <c r="AI104" s="139">
        <v>29</v>
      </c>
      <c r="AJ104" s="139">
        <v>330</v>
      </c>
      <c r="AK104" s="139"/>
      <c r="AL104" s="139"/>
      <c r="AM104" s="148">
        <f t="shared" si="207"/>
        <v>0.82857142857142863</v>
      </c>
      <c r="AN104" s="148">
        <f t="shared" si="208"/>
        <v>1.2890625</v>
      </c>
      <c r="AO104" s="139"/>
      <c r="AP104" s="139"/>
      <c r="AQ104" s="139"/>
      <c r="AR104" s="139"/>
      <c r="AS104" s="148"/>
      <c r="AT104" s="148"/>
      <c r="AU104" s="139"/>
      <c r="AV104" s="139"/>
      <c r="AW104" s="139"/>
      <c r="AX104" s="139"/>
      <c r="AY104" s="148"/>
      <c r="AZ104" s="148"/>
      <c r="BA104" s="139"/>
      <c r="BB104" s="139"/>
      <c r="BC104" s="139"/>
      <c r="BD104" s="139"/>
      <c r="BE104" s="148"/>
      <c r="BF104" s="148"/>
      <c r="BG104" s="139"/>
      <c r="BH104" s="139"/>
      <c r="BI104" s="139"/>
      <c r="BJ104" s="139"/>
      <c r="BK104" s="148"/>
      <c r="BL104" s="148"/>
      <c r="BM104" s="139">
        <v>9.8000000000000007</v>
      </c>
      <c r="BN104" s="139">
        <v>95</v>
      </c>
      <c r="BO104" s="139"/>
      <c r="BP104" s="139"/>
      <c r="BQ104" s="148">
        <f t="shared" si="209"/>
        <v>1.6333333333333335</v>
      </c>
      <c r="BR104" s="148">
        <f t="shared" si="210"/>
        <v>1.9791666666666667</v>
      </c>
      <c r="BS104" s="139">
        <v>31</v>
      </c>
      <c r="BT104" s="139">
        <v>250</v>
      </c>
      <c r="BU104" s="139"/>
      <c r="BV104" s="139"/>
      <c r="BW104" s="148">
        <f t="shared" si="211"/>
        <v>0.88571428571428568</v>
      </c>
      <c r="BX104" s="148">
        <f t="shared" si="212"/>
        <v>0.9765625</v>
      </c>
      <c r="BY104" s="139"/>
      <c r="BZ104" s="139"/>
      <c r="CA104" s="139"/>
      <c r="CB104" s="139"/>
      <c r="CC104" s="139"/>
      <c r="CD104" s="139"/>
      <c r="CE104" s="139"/>
      <c r="CF104" s="139"/>
      <c r="CG104" s="139"/>
      <c r="CH104" s="139"/>
      <c r="CI104" s="139"/>
      <c r="CJ104" s="143"/>
    </row>
    <row r="105" spans="2:88" ht="9.9499999999999993" customHeight="1" x14ac:dyDescent="0.15">
      <c r="B105" s="142">
        <v>43010</v>
      </c>
      <c r="C105" s="139">
        <v>5397.84</v>
      </c>
      <c r="D105" s="139"/>
      <c r="E105" s="148">
        <f t="shared" si="201"/>
        <v>8.964129135113591E-2</v>
      </c>
      <c r="F105" s="139">
        <v>3700.68</v>
      </c>
      <c r="G105" s="139"/>
      <c r="H105" s="148">
        <f t="shared" si="202"/>
        <v>9.0818690487876705E-2</v>
      </c>
      <c r="I105" s="139"/>
      <c r="J105" s="139"/>
      <c r="K105" s="139"/>
      <c r="L105" s="139"/>
      <c r="M105" s="139"/>
      <c r="N105" s="139"/>
      <c r="O105" s="139"/>
      <c r="P105" s="139"/>
      <c r="Q105" s="139"/>
      <c r="R105" s="139"/>
      <c r="S105" s="143"/>
      <c r="T105" s="143"/>
      <c r="V105" s="142">
        <v>43010</v>
      </c>
      <c r="W105" s="139">
        <v>15</v>
      </c>
      <c r="X105" s="139">
        <v>120</v>
      </c>
      <c r="Y105" s="139"/>
      <c r="Z105" s="139"/>
      <c r="AA105" s="148">
        <f t="shared" si="203"/>
        <v>1</v>
      </c>
      <c r="AB105" s="148">
        <f t="shared" si="204"/>
        <v>1.0526315789473684</v>
      </c>
      <c r="AC105" s="139">
        <v>14</v>
      </c>
      <c r="AD105" s="139">
        <v>57</v>
      </c>
      <c r="AE105" s="139"/>
      <c r="AF105" s="139"/>
      <c r="AG105" s="148">
        <f t="shared" si="205"/>
        <v>3.5</v>
      </c>
      <c r="AH105" s="148">
        <f t="shared" si="206"/>
        <v>1.3902439024390243</v>
      </c>
      <c r="AI105" s="139">
        <v>59</v>
      </c>
      <c r="AJ105" s="139">
        <v>360</v>
      </c>
      <c r="AK105" s="139"/>
      <c r="AL105" s="139"/>
      <c r="AM105" s="148">
        <f t="shared" si="207"/>
        <v>1.6857142857142857</v>
      </c>
      <c r="AN105" s="148">
        <f t="shared" si="208"/>
        <v>1.40625</v>
      </c>
      <c r="AO105" s="139"/>
      <c r="AP105" s="139"/>
      <c r="AQ105" s="139"/>
      <c r="AR105" s="139"/>
      <c r="AS105" s="148"/>
      <c r="AT105" s="148"/>
      <c r="AU105" s="139"/>
      <c r="AV105" s="139"/>
      <c r="AW105" s="139"/>
      <c r="AX105" s="139"/>
      <c r="AY105" s="148"/>
      <c r="AZ105" s="148"/>
      <c r="BA105" s="139"/>
      <c r="BB105" s="139"/>
      <c r="BC105" s="139"/>
      <c r="BD105" s="139"/>
      <c r="BE105" s="148"/>
      <c r="BF105" s="148"/>
      <c r="BG105" s="139"/>
      <c r="BH105" s="139"/>
      <c r="BI105" s="139"/>
      <c r="BJ105" s="139"/>
      <c r="BK105" s="148"/>
      <c r="BL105" s="148"/>
      <c r="BM105" s="139">
        <v>6.8</v>
      </c>
      <c r="BN105" s="139">
        <v>49</v>
      </c>
      <c r="BO105" s="139"/>
      <c r="BP105" s="139"/>
      <c r="BQ105" s="148">
        <f t="shared" si="209"/>
        <v>1.1333333333333333</v>
      </c>
      <c r="BR105" s="148">
        <f t="shared" si="210"/>
        <v>1.0208333333333333</v>
      </c>
      <c r="BS105" s="139">
        <v>42</v>
      </c>
      <c r="BT105" s="139">
        <v>370</v>
      </c>
      <c r="BU105" s="139"/>
      <c r="BV105" s="139"/>
      <c r="BW105" s="148">
        <f t="shared" si="211"/>
        <v>1.2</v>
      </c>
      <c r="BX105" s="148">
        <f t="shared" si="212"/>
        <v>1.4453125</v>
      </c>
      <c r="BY105" s="139"/>
      <c r="BZ105" s="139"/>
      <c r="CA105" s="139"/>
      <c r="CB105" s="139"/>
      <c r="CC105" s="139"/>
      <c r="CD105" s="139"/>
      <c r="CE105" s="139"/>
      <c r="CF105" s="139"/>
      <c r="CG105" s="139"/>
      <c r="CH105" s="139"/>
      <c r="CI105" s="139"/>
      <c r="CJ105" s="143"/>
    </row>
    <row r="106" spans="2:88" ht="9.9499999999999993" customHeight="1" x14ac:dyDescent="0.15">
      <c r="B106" s="142">
        <v>43055</v>
      </c>
      <c r="C106" s="139">
        <v>4808.5200000000004</v>
      </c>
      <c r="D106" s="139"/>
      <c r="E106" s="148">
        <f t="shared" si="201"/>
        <v>7.9854523714627354E-2</v>
      </c>
      <c r="F106" s="139">
        <v>3337.72</v>
      </c>
      <c r="G106" s="139"/>
      <c r="H106" s="148">
        <f t="shared" si="202"/>
        <v>8.1911259448316481E-2</v>
      </c>
      <c r="I106" s="139"/>
      <c r="J106" s="139"/>
      <c r="K106" s="139"/>
      <c r="L106" s="139"/>
      <c r="M106" s="139"/>
      <c r="N106" s="139"/>
      <c r="O106" s="139"/>
      <c r="P106" s="139"/>
      <c r="Q106" s="139"/>
      <c r="R106" s="139"/>
      <c r="S106" s="143"/>
      <c r="T106" s="143"/>
      <c r="V106" s="142">
        <v>43055</v>
      </c>
      <c r="W106" s="139">
        <v>14</v>
      </c>
      <c r="X106" s="139">
        <v>120</v>
      </c>
      <c r="Y106" s="139"/>
      <c r="Z106" s="139"/>
      <c r="AA106" s="148">
        <f t="shared" si="203"/>
        <v>0.93333333333333335</v>
      </c>
      <c r="AB106" s="148">
        <f t="shared" si="204"/>
        <v>1.0526315789473684</v>
      </c>
      <c r="AC106" s="139">
        <v>3</v>
      </c>
      <c r="AD106" s="139">
        <v>25</v>
      </c>
      <c r="AE106" s="139"/>
      <c r="AF106" s="139"/>
      <c r="AG106" s="148">
        <f t="shared" si="205"/>
        <v>0.75</v>
      </c>
      <c r="AH106" s="148">
        <f t="shared" si="206"/>
        <v>0.6097560975609756</v>
      </c>
      <c r="AI106" s="139">
        <v>33</v>
      </c>
      <c r="AJ106" s="139">
        <v>260</v>
      </c>
      <c r="AK106" s="139"/>
      <c r="AL106" s="139"/>
      <c r="AM106" s="148">
        <f t="shared" si="207"/>
        <v>0.94285714285714284</v>
      </c>
      <c r="AN106" s="148">
        <f t="shared" si="208"/>
        <v>1.015625</v>
      </c>
      <c r="AO106" s="139"/>
      <c r="AP106" s="139"/>
      <c r="AQ106" s="139"/>
      <c r="AR106" s="139"/>
      <c r="AS106" s="148"/>
      <c r="AT106" s="148"/>
      <c r="AU106" s="139"/>
      <c r="AV106" s="139"/>
      <c r="AW106" s="139"/>
      <c r="AX106" s="139"/>
      <c r="AY106" s="148"/>
      <c r="AZ106" s="148"/>
      <c r="BA106" s="139"/>
      <c r="BB106" s="139"/>
      <c r="BC106" s="139"/>
      <c r="BD106" s="139"/>
      <c r="BE106" s="148"/>
      <c r="BF106" s="148"/>
      <c r="BG106" s="139"/>
      <c r="BH106" s="139"/>
      <c r="BI106" s="139"/>
      <c r="BJ106" s="139"/>
      <c r="BK106" s="148"/>
      <c r="BL106" s="148"/>
      <c r="BM106" s="139">
        <v>6</v>
      </c>
      <c r="BN106" s="139">
        <v>54</v>
      </c>
      <c r="BO106" s="139"/>
      <c r="BP106" s="139"/>
      <c r="BQ106" s="148">
        <f t="shared" si="209"/>
        <v>1</v>
      </c>
      <c r="BR106" s="148">
        <f t="shared" si="210"/>
        <v>1.125</v>
      </c>
      <c r="BS106" s="139">
        <v>40</v>
      </c>
      <c r="BT106" s="139">
        <v>310</v>
      </c>
      <c r="BU106" s="139"/>
      <c r="BV106" s="139"/>
      <c r="BW106" s="148">
        <f t="shared" si="211"/>
        <v>1.1428571428571428</v>
      </c>
      <c r="BX106" s="148">
        <f t="shared" si="212"/>
        <v>1.2109375</v>
      </c>
      <c r="BY106" s="139"/>
      <c r="BZ106" s="139"/>
      <c r="CA106" s="139"/>
      <c r="CB106" s="139"/>
      <c r="CC106" s="139"/>
      <c r="CD106" s="139"/>
      <c r="CE106" s="139"/>
      <c r="CF106" s="139"/>
      <c r="CG106" s="139"/>
      <c r="CH106" s="139"/>
      <c r="CI106" s="139"/>
      <c r="CJ106" s="143"/>
    </row>
    <row r="107" spans="2:88" ht="9.9499999999999993" customHeight="1" x14ac:dyDescent="0.15">
      <c r="B107" s="142">
        <v>43070</v>
      </c>
      <c r="C107" s="139">
        <v>4770.28</v>
      </c>
      <c r="D107" s="139"/>
      <c r="E107" s="148">
        <f t="shared" si="201"/>
        <v>7.921947655108276E-2</v>
      </c>
      <c r="F107" s="139">
        <v>3094.41</v>
      </c>
      <c r="G107" s="139"/>
      <c r="H107" s="148">
        <f t="shared" si="202"/>
        <v>7.5940168842642583E-2</v>
      </c>
      <c r="I107" s="139"/>
      <c r="J107" s="139"/>
      <c r="K107" s="139"/>
      <c r="L107" s="139"/>
      <c r="M107" s="139"/>
      <c r="N107" s="139"/>
      <c r="O107" s="139"/>
      <c r="P107" s="139"/>
      <c r="Q107" s="139"/>
      <c r="R107" s="139"/>
      <c r="S107" s="143"/>
      <c r="T107" s="143"/>
      <c r="V107" s="142">
        <v>43070</v>
      </c>
      <c r="W107" s="139">
        <v>13</v>
      </c>
      <c r="X107" s="139">
        <v>120</v>
      </c>
      <c r="Y107" s="139"/>
      <c r="Z107" s="139"/>
      <c r="AA107" s="148">
        <f t="shared" si="203"/>
        <v>0.8666666666666667</v>
      </c>
      <c r="AB107" s="148">
        <f t="shared" si="204"/>
        <v>1.0526315789473684</v>
      </c>
      <c r="AC107" s="139">
        <v>3</v>
      </c>
      <c r="AD107" s="139">
        <v>20</v>
      </c>
      <c r="AE107" s="139"/>
      <c r="AF107" s="139"/>
      <c r="AG107" s="148">
        <f t="shared" si="205"/>
        <v>0.75</v>
      </c>
      <c r="AH107" s="148">
        <f t="shared" si="206"/>
        <v>0.48780487804878048</v>
      </c>
      <c r="AI107" s="139">
        <v>14.5</v>
      </c>
      <c r="AJ107" s="139">
        <v>220</v>
      </c>
      <c r="AK107" s="139"/>
      <c r="AL107" s="139"/>
      <c r="AM107" s="148">
        <f t="shared" si="207"/>
        <v>0.41428571428571431</v>
      </c>
      <c r="AN107" s="148">
        <f t="shared" si="208"/>
        <v>0.859375</v>
      </c>
      <c r="AO107" s="139"/>
      <c r="AP107" s="139"/>
      <c r="AQ107" s="139"/>
      <c r="AR107" s="139"/>
      <c r="AS107" s="148"/>
      <c r="AT107" s="148"/>
      <c r="AU107" s="139"/>
      <c r="AV107" s="139"/>
      <c r="AW107" s="139"/>
      <c r="AX107" s="139"/>
      <c r="AY107" s="148"/>
      <c r="AZ107" s="148"/>
      <c r="BA107" s="139"/>
      <c r="BB107" s="139"/>
      <c r="BC107" s="139"/>
      <c r="BD107" s="139"/>
      <c r="BE107" s="148"/>
      <c r="BF107" s="148"/>
      <c r="BG107" s="139"/>
      <c r="BH107" s="139"/>
      <c r="BI107" s="139"/>
      <c r="BJ107" s="139"/>
      <c r="BK107" s="148"/>
      <c r="BL107" s="148"/>
      <c r="BM107" s="139">
        <v>2.7</v>
      </c>
      <c r="BN107" s="139">
        <v>19</v>
      </c>
      <c r="BO107" s="139"/>
      <c r="BP107" s="139"/>
      <c r="BQ107" s="148">
        <f t="shared" si="209"/>
        <v>0.45</v>
      </c>
      <c r="BR107" s="148">
        <f t="shared" si="210"/>
        <v>0.39583333333333331</v>
      </c>
      <c r="BS107" s="139">
        <v>31</v>
      </c>
      <c r="BT107" s="139">
        <v>240</v>
      </c>
      <c r="BU107" s="139"/>
      <c r="BV107" s="139"/>
      <c r="BW107" s="148">
        <f t="shared" si="211"/>
        <v>0.88571428571428568</v>
      </c>
      <c r="BX107" s="148">
        <f t="shared" si="212"/>
        <v>0.9375</v>
      </c>
      <c r="BY107" s="139"/>
      <c r="BZ107" s="139"/>
      <c r="CA107" s="139"/>
      <c r="CB107" s="139"/>
      <c r="CC107" s="139"/>
      <c r="CD107" s="139"/>
      <c r="CE107" s="139"/>
      <c r="CF107" s="139"/>
      <c r="CG107" s="139"/>
      <c r="CH107" s="139"/>
      <c r="CI107" s="139"/>
      <c r="CJ107" s="143"/>
    </row>
    <row r="108" spans="2:88" ht="9.9499999999999993" customHeight="1" x14ac:dyDescent="0.15">
      <c r="B108" s="142">
        <v>43105</v>
      </c>
      <c r="C108" s="139">
        <v>4593.75</v>
      </c>
      <c r="D108" s="139"/>
      <c r="E108" s="148">
        <f t="shared" si="201"/>
        <v>7.6287863690713428E-2</v>
      </c>
      <c r="F108" s="139">
        <v>2901.53</v>
      </c>
      <c r="G108" s="139"/>
      <c r="H108" s="148">
        <f t="shared" si="202"/>
        <v>7.1206684990674396E-2</v>
      </c>
      <c r="I108" s="139"/>
      <c r="J108" s="139"/>
      <c r="K108" s="139"/>
      <c r="L108" s="139"/>
      <c r="M108" s="139"/>
      <c r="N108" s="139"/>
      <c r="O108" s="139"/>
      <c r="P108" s="139"/>
      <c r="Q108" s="139"/>
      <c r="R108" s="139"/>
      <c r="S108" s="143"/>
      <c r="T108" s="143"/>
      <c r="V108" s="142">
        <v>43105</v>
      </c>
      <c r="W108" s="139">
        <v>11</v>
      </c>
      <c r="X108" s="139">
        <v>81</v>
      </c>
      <c r="Y108" s="139"/>
      <c r="Z108" s="139"/>
      <c r="AA108" s="148">
        <f t="shared" si="203"/>
        <v>0.73333333333333328</v>
      </c>
      <c r="AB108" s="148">
        <f t="shared" si="204"/>
        <v>0.71052631578947367</v>
      </c>
      <c r="AC108" s="139">
        <v>3</v>
      </c>
      <c r="AD108" s="139">
        <v>10</v>
      </c>
      <c r="AE108" s="139"/>
      <c r="AF108" s="139"/>
      <c r="AG108" s="148">
        <f t="shared" si="205"/>
        <v>0.75</v>
      </c>
      <c r="AH108" s="148">
        <f t="shared" si="206"/>
        <v>0.24390243902439024</v>
      </c>
      <c r="AI108" s="139">
        <v>14.5</v>
      </c>
      <c r="AJ108" s="139">
        <v>85</v>
      </c>
      <c r="AK108" s="139"/>
      <c r="AL108" s="139"/>
      <c r="AM108" s="148">
        <f t="shared" si="207"/>
        <v>0.41428571428571431</v>
      </c>
      <c r="AN108" s="148">
        <f t="shared" si="208"/>
        <v>0.33203125</v>
      </c>
      <c r="AO108" s="139"/>
      <c r="AP108" s="139"/>
      <c r="AQ108" s="139"/>
      <c r="AR108" s="139"/>
      <c r="AS108" s="148"/>
      <c r="AT108" s="148"/>
      <c r="AU108" s="139"/>
      <c r="AV108" s="139"/>
      <c r="AW108" s="139"/>
      <c r="AX108" s="139"/>
      <c r="AY108" s="148"/>
      <c r="AZ108" s="148"/>
      <c r="BA108" s="139"/>
      <c r="BB108" s="139"/>
      <c r="BC108" s="139"/>
      <c r="BD108" s="139"/>
      <c r="BE108" s="148"/>
      <c r="BF108" s="148"/>
      <c r="BG108" s="139"/>
      <c r="BH108" s="139"/>
      <c r="BI108" s="139"/>
      <c r="BJ108" s="139"/>
      <c r="BK108" s="148"/>
      <c r="BL108" s="148"/>
      <c r="BM108" s="139">
        <v>0.75</v>
      </c>
      <c r="BN108" s="139">
        <v>25</v>
      </c>
      <c r="BO108" s="139"/>
      <c r="BP108" s="139"/>
      <c r="BQ108" s="148">
        <f t="shared" si="209"/>
        <v>0.125</v>
      </c>
      <c r="BR108" s="148">
        <f t="shared" si="210"/>
        <v>0.52083333333333337</v>
      </c>
      <c r="BS108" s="139">
        <v>17</v>
      </c>
      <c r="BT108" s="139">
        <v>170</v>
      </c>
      <c r="BU108" s="139"/>
      <c r="BV108" s="139"/>
      <c r="BW108" s="148">
        <f t="shared" si="211"/>
        <v>0.48571428571428571</v>
      </c>
      <c r="BX108" s="148">
        <f t="shared" si="212"/>
        <v>0.6640625</v>
      </c>
      <c r="BY108" s="139"/>
      <c r="BZ108" s="139"/>
      <c r="CA108" s="139"/>
      <c r="CB108" s="139"/>
      <c r="CC108" s="139"/>
      <c r="CD108" s="139"/>
      <c r="CE108" s="139"/>
      <c r="CF108" s="139"/>
      <c r="CG108" s="139"/>
      <c r="CH108" s="139"/>
      <c r="CI108" s="139"/>
      <c r="CJ108" s="143"/>
    </row>
    <row r="109" spans="2:88" ht="9.9499999999999993" customHeight="1" x14ac:dyDescent="0.15">
      <c r="B109" s="142">
        <v>43132</v>
      </c>
      <c r="C109" s="139">
        <v>3827.41</v>
      </c>
      <c r="D109" s="139"/>
      <c r="E109" s="148">
        <f t="shared" si="201"/>
        <v>6.3561345821708512E-2</v>
      </c>
      <c r="F109" s="139">
        <v>2403.42</v>
      </c>
      <c r="G109" s="139"/>
      <c r="H109" s="148">
        <f t="shared" si="202"/>
        <v>5.8982526749779135E-2</v>
      </c>
      <c r="I109" s="139"/>
      <c r="J109" s="139"/>
      <c r="K109" s="139"/>
      <c r="L109" s="139"/>
      <c r="M109" s="139"/>
      <c r="N109" s="139"/>
      <c r="O109" s="139"/>
      <c r="P109" s="139"/>
      <c r="Q109" s="139"/>
      <c r="R109" s="139"/>
      <c r="S109" s="143"/>
      <c r="T109" s="143"/>
      <c r="V109" s="142">
        <v>43132</v>
      </c>
      <c r="W109" s="139">
        <v>5.5</v>
      </c>
      <c r="X109" s="139">
        <v>48</v>
      </c>
      <c r="Y109" s="139"/>
      <c r="Z109" s="139"/>
      <c r="AA109" s="148">
        <f t="shared" si="203"/>
        <v>0.36666666666666664</v>
      </c>
      <c r="AB109" s="148">
        <f t="shared" si="204"/>
        <v>0.42105263157894735</v>
      </c>
      <c r="AC109" s="139">
        <v>3</v>
      </c>
      <c r="AD109" s="139">
        <v>5</v>
      </c>
      <c r="AE109" s="139"/>
      <c r="AF109" s="139"/>
      <c r="AG109" s="148">
        <f t="shared" si="205"/>
        <v>0.75</v>
      </c>
      <c r="AH109" s="148">
        <f t="shared" si="206"/>
        <v>0.12195121951219512</v>
      </c>
      <c r="AI109" s="139">
        <v>14.5</v>
      </c>
      <c r="AJ109" s="139">
        <v>57</v>
      </c>
      <c r="AK109" s="139"/>
      <c r="AL109" s="139"/>
      <c r="AM109" s="148">
        <f t="shared" si="207"/>
        <v>0.41428571428571431</v>
      </c>
      <c r="AN109" s="148">
        <f t="shared" si="208"/>
        <v>0.22265625</v>
      </c>
      <c r="AO109" s="139"/>
      <c r="AP109" s="139"/>
      <c r="AQ109" s="139"/>
      <c r="AR109" s="139"/>
      <c r="AS109" s="148"/>
      <c r="AT109" s="148"/>
      <c r="AU109" s="139"/>
      <c r="AV109" s="139"/>
      <c r="AW109" s="139"/>
      <c r="AX109" s="139"/>
      <c r="AY109" s="148"/>
      <c r="AZ109" s="148"/>
      <c r="BA109" s="139"/>
      <c r="BB109" s="139"/>
      <c r="BC109" s="139"/>
      <c r="BD109" s="139"/>
      <c r="BE109" s="148"/>
      <c r="BF109" s="148"/>
      <c r="BG109" s="139"/>
      <c r="BH109" s="139"/>
      <c r="BI109" s="139"/>
      <c r="BJ109" s="139"/>
      <c r="BK109" s="148"/>
      <c r="BL109" s="148"/>
      <c r="BM109" s="139">
        <v>0.75</v>
      </c>
      <c r="BN109" s="139">
        <v>10</v>
      </c>
      <c r="BO109" s="139"/>
      <c r="BP109" s="139"/>
      <c r="BQ109" s="148">
        <f t="shared" si="209"/>
        <v>0.125</v>
      </c>
      <c r="BR109" s="148">
        <f t="shared" si="210"/>
        <v>0.20833333333333334</v>
      </c>
      <c r="BS109" s="139">
        <v>8.4</v>
      </c>
      <c r="BT109" s="139">
        <v>72</v>
      </c>
      <c r="BU109" s="139"/>
      <c r="BV109" s="139"/>
      <c r="BW109" s="148">
        <f t="shared" si="211"/>
        <v>0.24000000000000002</v>
      </c>
      <c r="BX109" s="148">
        <f t="shared" si="212"/>
        <v>0.28125</v>
      </c>
      <c r="BY109" s="139"/>
      <c r="BZ109" s="139"/>
      <c r="CA109" s="139"/>
      <c r="CB109" s="139"/>
      <c r="CC109" s="139"/>
      <c r="CD109" s="139"/>
      <c r="CE109" s="139"/>
      <c r="CF109" s="139"/>
      <c r="CG109" s="139"/>
      <c r="CH109" s="139"/>
      <c r="CI109" s="139"/>
      <c r="CJ109" s="143"/>
    </row>
    <row r="110" spans="2:88" ht="9.9499999999999993" customHeight="1" x14ac:dyDescent="0.15">
      <c r="B110" s="142">
        <v>43160</v>
      </c>
      <c r="C110" s="139">
        <v>4817.8999999999996</v>
      </c>
      <c r="D110" s="147">
        <f>SUM(C99:C110)</f>
        <v>60216.220000000008</v>
      </c>
      <c r="E110" s="148">
        <f t="shared" si="201"/>
        <v>8.0010296266772946E-2</v>
      </c>
      <c r="F110" s="139">
        <v>3074.8</v>
      </c>
      <c r="G110" s="147">
        <f>SUM(F99:F110)</f>
        <v>40747.71</v>
      </c>
      <c r="H110" s="148">
        <f t="shared" si="202"/>
        <v>7.5458918229115546E-2</v>
      </c>
      <c r="I110" s="139"/>
      <c r="J110" s="139"/>
      <c r="K110" s="139"/>
      <c r="L110" s="139"/>
      <c r="M110" s="139"/>
      <c r="N110" s="139"/>
      <c r="O110" s="139"/>
      <c r="P110" s="139"/>
      <c r="Q110" s="139"/>
      <c r="R110" s="139"/>
      <c r="S110" s="143"/>
      <c r="T110" s="143"/>
      <c r="V110" s="142">
        <v>43160</v>
      </c>
      <c r="W110" s="139">
        <v>5.3988840198600654</v>
      </c>
      <c r="X110" s="139">
        <v>51</v>
      </c>
      <c r="Y110" s="147">
        <f>AVERAGE(W99:W110)</f>
        <v>14.741573668321672</v>
      </c>
      <c r="Z110" s="147">
        <f>AVERAGE(X99:X110)</f>
        <v>114.16666666666667</v>
      </c>
      <c r="AA110" s="148">
        <f t="shared" si="203"/>
        <v>0.35992560132400436</v>
      </c>
      <c r="AB110" s="148">
        <f t="shared" si="204"/>
        <v>0.44736842105263158</v>
      </c>
      <c r="AC110" s="139">
        <v>3</v>
      </c>
      <c r="AD110" s="139">
        <v>30</v>
      </c>
      <c r="AE110" s="147">
        <f>AVERAGE(AC99:AC110)</f>
        <v>4.4750000000000005</v>
      </c>
      <c r="AF110" s="147">
        <f>AVERAGE(AD99:AD110)</f>
        <v>41.333333333333336</v>
      </c>
      <c r="AG110" s="148">
        <f t="shared" si="205"/>
        <v>0.75</v>
      </c>
      <c r="AH110" s="148">
        <f t="shared" si="206"/>
        <v>0.73170731707317072</v>
      </c>
      <c r="AI110" s="139">
        <v>14.5</v>
      </c>
      <c r="AJ110" s="139">
        <v>120</v>
      </c>
      <c r="AK110" s="147">
        <f>AVERAGE(AI99:AI110)</f>
        <v>34.833333333333336</v>
      </c>
      <c r="AL110" s="147">
        <f>AVERAGE(AJ99:AJ110)</f>
        <v>256</v>
      </c>
      <c r="AM110" s="148">
        <f t="shared" si="207"/>
        <v>0.41428571428571431</v>
      </c>
      <c r="AN110" s="148">
        <f t="shared" si="208"/>
        <v>0.46875</v>
      </c>
      <c r="AO110" s="139"/>
      <c r="AP110" s="139"/>
      <c r="AQ110" s="147"/>
      <c r="AR110" s="147"/>
      <c r="AS110" s="148"/>
      <c r="AT110" s="148"/>
      <c r="AU110" s="139"/>
      <c r="AV110" s="139"/>
      <c r="AW110" s="147"/>
      <c r="AX110" s="147"/>
      <c r="AY110" s="148"/>
      <c r="AZ110" s="148"/>
      <c r="BA110" s="139"/>
      <c r="BB110" s="139"/>
      <c r="BC110" s="147"/>
      <c r="BD110" s="147"/>
      <c r="BE110" s="148"/>
      <c r="BF110" s="148"/>
      <c r="BG110" s="139"/>
      <c r="BH110" s="139"/>
      <c r="BI110" s="147"/>
      <c r="BJ110" s="147"/>
      <c r="BK110" s="148"/>
      <c r="BL110" s="148"/>
      <c r="BM110" s="139">
        <v>2.1</v>
      </c>
      <c r="BN110" s="139">
        <v>18</v>
      </c>
      <c r="BO110" s="147">
        <f>AVERAGE(BM99:BM110)</f>
        <v>5.8166666666666664</v>
      </c>
      <c r="BP110" s="147">
        <f>AVERAGE(BN99:BN110)</f>
        <v>48.25</v>
      </c>
      <c r="BQ110" s="148">
        <f t="shared" si="209"/>
        <v>0.35000000000000003</v>
      </c>
      <c r="BR110" s="148">
        <f t="shared" si="210"/>
        <v>0.375</v>
      </c>
      <c r="BS110" s="139">
        <v>12</v>
      </c>
      <c r="BT110" s="139">
        <v>120</v>
      </c>
      <c r="BU110" s="147">
        <f>AVERAGE(BS99:BS110)</f>
        <v>35.783333333333331</v>
      </c>
      <c r="BV110" s="147">
        <f>AVERAGE(BT99:BT110)</f>
        <v>277.66666666666669</v>
      </c>
      <c r="BW110" s="148">
        <f t="shared" si="211"/>
        <v>0.34285714285714286</v>
      </c>
      <c r="BX110" s="148">
        <f t="shared" si="212"/>
        <v>0.46875</v>
      </c>
      <c r="BY110" s="139"/>
      <c r="BZ110" s="139"/>
      <c r="CA110" s="139"/>
      <c r="CB110" s="139"/>
      <c r="CC110" s="139"/>
      <c r="CD110" s="139"/>
      <c r="CE110" s="139"/>
      <c r="CF110" s="139"/>
      <c r="CG110" s="139"/>
      <c r="CH110" s="139"/>
      <c r="CI110" s="139"/>
      <c r="CJ110" s="143"/>
    </row>
    <row r="111" spans="2:88" ht="9.9499999999999993" customHeight="1" x14ac:dyDescent="0.15">
      <c r="B111" s="142">
        <v>43192</v>
      </c>
      <c r="C111" s="139">
        <v>4824.92</v>
      </c>
      <c r="D111" s="139"/>
      <c r="E111" s="148">
        <f>C111/58890</f>
        <v>8.1931057904567839E-2</v>
      </c>
      <c r="F111" s="138">
        <v>2997.38</v>
      </c>
      <c r="G111" s="139"/>
      <c r="H111" s="148">
        <f>F111/40445</f>
        <v>7.4110025961181852E-2</v>
      </c>
      <c r="I111" s="139"/>
      <c r="J111" s="139"/>
      <c r="K111" s="139"/>
      <c r="L111" s="139"/>
      <c r="M111" s="139"/>
      <c r="N111" s="139"/>
      <c r="O111" s="139"/>
      <c r="P111" s="139"/>
      <c r="Q111" s="139"/>
      <c r="R111" s="139"/>
      <c r="S111" s="143"/>
      <c r="T111" s="143"/>
      <c r="V111" s="142">
        <v>43192</v>
      </c>
      <c r="W111" s="139">
        <v>11</v>
      </c>
      <c r="X111" s="139">
        <v>100</v>
      </c>
      <c r="Y111" s="139"/>
      <c r="Z111" s="139"/>
      <c r="AA111" s="148">
        <f>W111/13</f>
        <v>0.84615384615384615</v>
      </c>
      <c r="AB111" s="148">
        <f>X111/143</f>
        <v>0.69930069930069927</v>
      </c>
      <c r="AC111" s="138">
        <v>3</v>
      </c>
      <c r="AD111" s="138">
        <v>16</v>
      </c>
      <c r="AE111" s="139"/>
      <c r="AF111" s="139"/>
      <c r="AG111" s="148">
        <f>AC111/3</f>
        <v>1</v>
      </c>
      <c r="AH111" s="148">
        <f>AD111/34</f>
        <v>0.47058823529411764</v>
      </c>
      <c r="AI111" s="138">
        <v>14.5</v>
      </c>
      <c r="AJ111" s="138">
        <v>260</v>
      </c>
      <c r="AK111" s="139"/>
      <c r="AL111" s="139"/>
      <c r="AM111" s="148">
        <f>AI111/15</f>
        <v>0.96666666666666667</v>
      </c>
      <c r="AN111" s="148">
        <f>AJ111/224</f>
        <v>1.1607142857142858</v>
      </c>
      <c r="AO111" s="138"/>
      <c r="AP111" s="138"/>
      <c r="AQ111" s="139"/>
      <c r="AR111" s="139"/>
      <c r="AS111" s="148"/>
      <c r="AT111" s="148"/>
      <c r="AU111" s="138"/>
      <c r="AV111" s="138"/>
      <c r="AW111" s="139"/>
      <c r="AX111" s="139"/>
      <c r="AY111" s="148"/>
      <c r="AZ111" s="148"/>
      <c r="BA111" s="138"/>
      <c r="BB111" s="138"/>
      <c r="BC111" s="139"/>
      <c r="BD111" s="139"/>
      <c r="BE111" s="148"/>
      <c r="BF111" s="148"/>
      <c r="BG111" s="138"/>
      <c r="BH111" s="138"/>
      <c r="BI111" s="139"/>
      <c r="BJ111" s="139"/>
      <c r="BK111" s="148"/>
      <c r="BL111" s="148"/>
      <c r="BM111" s="138">
        <v>43</v>
      </c>
      <c r="BN111" s="138">
        <v>37</v>
      </c>
      <c r="BO111" s="139"/>
      <c r="BP111" s="139"/>
      <c r="BQ111" s="148">
        <f>BM111/22</f>
        <v>1.9545454545454546</v>
      </c>
      <c r="BR111" s="148">
        <f>BN111/35</f>
        <v>1.0571428571428572</v>
      </c>
      <c r="BS111" s="138">
        <v>29</v>
      </c>
      <c r="BT111" s="138">
        <v>290</v>
      </c>
      <c r="BU111" s="139"/>
      <c r="BV111" s="139"/>
      <c r="BW111" s="148">
        <f>BS111/15</f>
        <v>1.9333333333333333</v>
      </c>
      <c r="BX111" s="148">
        <f>BT111/224</f>
        <v>1.2946428571428572</v>
      </c>
      <c r="BY111" s="139"/>
      <c r="BZ111" s="139"/>
      <c r="CA111" s="139"/>
      <c r="CB111" s="139"/>
      <c r="CC111" s="139"/>
      <c r="CD111" s="139"/>
      <c r="CE111" s="139"/>
      <c r="CF111" s="139"/>
      <c r="CG111" s="139"/>
      <c r="CH111" s="139"/>
      <c r="CI111" s="139"/>
      <c r="CJ111" s="143"/>
    </row>
    <row r="112" spans="2:88" ht="9.9499999999999993" customHeight="1" x14ac:dyDescent="0.15">
      <c r="B112" s="142">
        <v>43221</v>
      </c>
      <c r="C112" s="139">
        <v>5632.88</v>
      </c>
      <c r="D112" s="139"/>
      <c r="E112" s="148">
        <f t="shared" ref="E112:E122" si="213">C112/58890</f>
        <v>9.5650874511801667E-2</v>
      </c>
      <c r="F112" s="138">
        <v>3801.51</v>
      </c>
      <c r="G112" s="139"/>
      <c r="H112" s="148">
        <f t="shared" ref="H112:H122" si="214">F112/40445</f>
        <v>9.3992088020768957E-2</v>
      </c>
      <c r="I112" s="139"/>
      <c r="J112" s="139"/>
      <c r="K112" s="139"/>
      <c r="L112" s="139"/>
      <c r="M112" s="139"/>
      <c r="N112" s="139"/>
      <c r="O112" s="139"/>
      <c r="P112" s="139"/>
      <c r="Q112" s="139"/>
      <c r="R112" s="139"/>
      <c r="S112" s="143"/>
      <c r="T112" s="143"/>
      <c r="V112" s="142">
        <v>43221</v>
      </c>
      <c r="W112" s="139">
        <v>14</v>
      </c>
      <c r="X112" s="139">
        <v>130</v>
      </c>
      <c r="Y112" s="139"/>
      <c r="Z112" s="139"/>
      <c r="AA112" s="148">
        <f t="shared" ref="AA112:AA122" si="215">W112/13</f>
        <v>1.0769230769230769</v>
      </c>
      <c r="AB112" s="148">
        <f t="shared" ref="AB112:AB122" si="216">X112/143</f>
        <v>0.90909090909090906</v>
      </c>
      <c r="AC112" s="138">
        <v>3</v>
      </c>
      <c r="AD112" s="138">
        <v>59</v>
      </c>
      <c r="AE112" s="139"/>
      <c r="AF112" s="139"/>
      <c r="AG112" s="148">
        <f t="shared" ref="AG112:AG122" si="217">AC112/3</f>
        <v>1</v>
      </c>
      <c r="AH112" s="148">
        <f t="shared" ref="AH112:AH122" si="218">AD112/34</f>
        <v>1.7352941176470589</v>
      </c>
      <c r="AI112" s="138">
        <v>36</v>
      </c>
      <c r="AJ112" s="138">
        <v>310</v>
      </c>
      <c r="AK112" s="139"/>
      <c r="AL112" s="139"/>
      <c r="AM112" s="148">
        <f t="shared" ref="AM112:AM122" si="219">AI112/15</f>
        <v>2.4</v>
      </c>
      <c r="AN112" s="148">
        <f t="shared" ref="AN112:AN122" si="220">AJ112/224</f>
        <v>1.3839285714285714</v>
      </c>
      <c r="AO112" s="138"/>
      <c r="AP112" s="138"/>
      <c r="AQ112" s="139"/>
      <c r="AR112" s="139"/>
      <c r="AS112" s="148"/>
      <c r="AT112" s="148"/>
      <c r="AU112" s="138"/>
      <c r="AV112" s="138"/>
      <c r="AW112" s="139"/>
      <c r="AX112" s="139"/>
      <c r="AY112" s="148"/>
      <c r="AZ112" s="148"/>
      <c r="BA112" s="138"/>
      <c r="BB112" s="138"/>
      <c r="BC112" s="139"/>
      <c r="BD112" s="139"/>
      <c r="BE112" s="148"/>
      <c r="BF112" s="148"/>
      <c r="BG112" s="138"/>
      <c r="BH112" s="138"/>
      <c r="BI112" s="139"/>
      <c r="BJ112" s="139"/>
      <c r="BK112" s="148"/>
      <c r="BL112" s="148"/>
      <c r="BM112" s="138">
        <v>67</v>
      </c>
      <c r="BN112" s="138">
        <v>61</v>
      </c>
      <c r="BO112" s="139"/>
      <c r="BP112" s="139"/>
      <c r="BQ112" s="148">
        <f t="shared" ref="BQ112:BQ122" si="221">BM112/22</f>
        <v>3.0454545454545454</v>
      </c>
      <c r="BR112" s="148">
        <f t="shared" ref="BR112:BR122" si="222">BN112/35</f>
        <v>1.7428571428571429</v>
      </c>
      <c r="BS112" s="138">
        <v>37</v>
      </c>
      <c r="BT112" s="138">
        <v>370</v>
      </c>
      <c r="BU112" s="139"/>
      <c r="BV112" s="139"/>
      <c r="BW112" s="148">
        <f t="shared" ref="BW112:BW122" si="223">BS112/15</f>
        <v>2.4666666666666668</v>
      </c>
      <c r="BX112" s="148">
        <f t="shared" ref="BX112:BX122" si="224">BT112/224</f>
        <v>1.6517857142857142</v>
      </c>
      <c r="BY112" s="139"/>
      <c r="BZ112" s="139"/>
      <c r="CA112" s="139"/>
      <c r="CB112" s="139"/>
      <c r="CC112" s="139"/>
      <c r="CD112" s="139"/>
      <c r="CE112" s="139"/>
      <c r="CF112" s="139"/>
      <c r="CG112" s="139"/>
      <c r="CH112" s="139"/>
      <c r="CI112" s="139"/>
      <c r="CJ112" s="143"/>
    </row>
    <row r="113" spans="2:88" ht="9.9499999999999993" customHeight="1" x14ac:dyDescent="0.15">
      <c r="B113" s="142">
        <v>43252</v>
      </c>
      <c r="C113" s="139">
        <v>5064.37</v>
      </c>
      <c r="D113" s="139"/>
      <c r="E113" s="148">
        <f t="shared" si="213"/>
        <v>8.5997113262013924E-2</v>
      </c>
      <c r="F113" s="139">
        <v>3646.96</v>
      </c>
      <c r="G113" s="139"/>
      <c r="H113" s="148">
        <f t="shared" si="214"/>
        <v>9.0170849301520584E-2</v>
      </c>
      <c r="I113" s="139"/>
      <c r="J113" s="139"/>
      <c r="K113" s="139"/>
      <c r="L113" s="139"/>
      <c r="M113" s="139"/>
      <c r="N113" s="139"/>
      <c r="O113" s="139"/>
      <c r="P113" s="139"/>
      <c r="Q113" s="139"/>
      <c r="R113" s="139"/>
      <c r="S113" s="143"/>
      <c r="T113" s="143"/>
      <c r="V113" s="142">
        <v>43252</v>
      </c>
      <c r="W113" s="139">
        <v>16</v>
      </c>
      <c r="X113" s="139">
        <v>170</v>
      </c>
      <c r="Y113" s="139"/>
      <c r="Z113" s="139"/>
      <c r="AA113" s="148">
        <f t="shared" si="215"/>
        <v>1.2307692307692308</v>
      </c>
      <c r="AB113" s="148">
        <f t="shared" si="216"/>
        <v>1.1888111888111887</v>
      </c>
      <c r="AC113" s="139">
        <v>3</v>
      </c>
      <c r="AD113" s="139">
        <v>41</v>
      </c>
      <c r="AE113" s="139"/>
      <c r="AF113" s="139"/>
      <c r="AG113" s="148">
        <f t="shared" si="217"/>
        <v>1</v>
      </c>
      <c r="AH113" s="148">
        <f t="shared" si="218"/>
        <v>1.2058823529411764</v>
      </c>
      <c r="AI113" s="139">
        <v>32</v>
      </c>
      <c r="AJ113" s="139">
        <v>270</v>
      </c>
      <c r="AK113" s="139"/>
      <c r="AL113" s="139"/>
      <c r="AM113" s="148">
        <f t="shared" si="219"/>
        <v>2.1333333333333333</v>
      </c>
      <c r="AN113" s="148">
        <f t="shared" si="220"/>
        <v>1.2053571428571428</v>
      </c>
      <c r="AO113" s="139"/>
      <c r="AP113" s="139"/>
      <c r="AQ113" s="139"/>
      <c r="AR113" s="139"/>
      <c r="AS113" s="148"/>
      <c r="AT113" s="148"/>
      <c r="AU113" s="139"/>
      <c r="AV113" s="139"/>
      <c r="AW113" s="139"/>
      <c r="AX113" s="139"/>
      <c r="AY113" s="148"/>
      <c r="AZ113" s="148"/>
      <c r="BA113" s="139"/>
      <c r="BB113" s="139"/>
      <c r="BC113" s="139"/>
      <c r="BD113" s="139"/>
      <c r="BE113" s="148"/>
      <c r="BF113" s="148"/>
      <c r="BG113" s="139"/>
      <c r="BH113" s="139"/>
      <c r="BI113" s="139"/>
      <c r="BJ113" s="139"/>
      <c r="BK113" s="148"/>
      <c r="BL113" s="148"/>
      <c r="BM113" s="139">
        <v>4.3</v>
      </c>
      <c r="BN113" s="139">
        <v>45</v>
      </c>
      <c r="BO113" s="139"/>
      <c r="BP113" s="139"/>
      <c r="BQ113" s="148">
        <f t="shared" si="221"/>
        <v>0.19545454545454544</v>
      </c>
      <c r="BR113" s="148">
        <f t="shared" si="222"/>
        <v>1.2857142857142858</v>
      </c>
      <c r="BS113" s="139">
        <v>29</v>
      </c>
      <c r="BT113" s="139">
        <v>270</v>
      </c>
      <c r="BU113" s="139"/>
      <c r="BV113" s="139"/>
      <c r="BW113" s="148">
        <f t="shared" si="223"/>
        <v>1.9333333333333333</v>
      </c>
      <c r="BX113" s="148">
        <f t="shared" si="224"/>
        <v>1.2053571428571428</v>
      </c>
      <c r="BY113" s="139"/>
      <c r="BZ113" s="139"/>
      <c r="CA113" s="139"/>
      <c r="CB113" s="139"/>
      <c r="CC113" s="139"/>
      <c r="CD113" s="139"/>
      <c r="CE113" s="139"/>
      <c r="CF113" s="139"/>
      <c r="CG113" s="139"/>
      <c r="CH113" s="139"/>
      <c r="CI113" s="139"/>
      <c r="CJ113" s="143"/>
    </row>
    <row r="114" spans="2:88" ht="9.9499999999999993" customHeight="1" x14ac:dyDescent="0.15">
      <c r="B114" s="142">
        <v>43283</v>
      </c>
      <c r="C114" s="139">
        <v>5485.96</v>
      </c>
      <c r="D114" s="139"/>
      <c r="E114" s="148">
        <f t="shared" si="213"/>
        <v>9.3156053659364912E-2</v>
      </c>
      <c r="F114" s="139">
        <v>3865.93</v>
      </c>
      <c r="G114" s="139"/>
      <c r="H114" s="148">
        <f t="shared" si="214"/>
        <v>9.5584868339720602E-2</v>
      </c>
      <c r="I114" s="139"/>
      <c r="J114" s="139"/>
      <c r="K114" s="139"/>
      <c r="L114" s="139"/>
      <c r="M114" s="139"/>
      <c r="N114" s="139"/>
      <c r="O114" s="139"/>
      <c r="P114" s="139"/>
      <c r="Q114" s="139"/>
      <c r="R114" s="139"/>
      <c r="S114" s="143"/>
      <c r="T114" s="143"/>
      <c r="V114" s="142">
        <v>43283</v>
      </c>
      <c r="W114" s="139">
        <v>12</v>
      </c>
      <c r="X114" s="139">
        <v>130</v>
      </c>
      <c r="Y114" s="139"/>
      <c r="Z114" s="139"/>
      <c r="AA114" s="148">
        <f t="shared" si="215"/>
        <v>0.92307692307692313</v>
      </c>
      <c r="AB114" s="148">
        <f t="shared" si="216"/>
        <v>0.90909090909090906</v>
      </c>
      <c r="AC114" s="139">
        <v>3</v>
      </c>
      <c r="AD114" s="139">
        <v>30</v>
      </c>
      <c r="AE114" s="139"/>
      <c r="AF114" s="139"/>
      <c r="AG114" s="148">
        <f t="shared" si="217"/>
        <v>1</v>
      </c>
      <c r="AH114" s="148">
        <f t="shared" si="218"/>
        <v>0.88235294117647056</v>
      </c>
      <c r="AI114" s="139">
        <v>20</v>
      </c>
      <c r="AJ114" s="139">
        <v>200</v>
      </c>
      <c r="AK114" s="139"/>
      <c r="AL114" s="139"/>
      <c r="AM114" s="148">
        <f t="shared" si="219"/>
        <v>1.3333333333333333</v>
      </c>
      <c r="AN114" s="148">
        <f t="shared" si="220"/>
        <v>0.8928571428571429</v>
      </c>
      <c r="AO114" s="139"/>
      <c r="AP114" s="139"/>
      <c r="AQ114" s="139"/>
      <c r="AR114" s="139"/>
      <c r="AS114" s="148"/>
      <c r="AT114" s="148"/>
      <c r="AU114" s="139"/>
      <c r="AV114" s="139"/>
      <c r="AW114" s="139"/>
      <c r="AX114" s="139"/>
      <c r="AY114" s="148"/>
      <c r="AZ114" s="148"/>
      <c r="BA114" s="139"/>
      <c r="BB114" s="139"/>
      <c r="BC114" s="139"/>
      <c r="BD114" s="139"/>
      <c r="BE114" s="148"/>
      <c r="BF114" s="148"/>
      <c r="BG114" s="139"/>
      <c r="BH114" s="139"/>
      <c r="BI114" s="139"/>
      <c r="BJ114" s="139"/>
      <c r="BK114" s="148"/>
      <c r="BL114" s="148"/>
      <c r="BM114" s="139">
        <v>45</v>
      </c>
      <c r="BN114" s="139">
        <v>52</v>
      </c>
      <c r="BO114" s="139"/>
      <c r="BP114" s="139"/>
      <c r="BQ114" s="148">
        <f t="shared" si="221"/>
        <v>2.0454545454545454</v>
      </c>
      <c r="BR114" s="148">
        <f t="shared" si="222"/>
        <v>1.4857142857142858</v>
      </c>
      <c r="BS114" s="139">
        <v>30</v>
      </c>
      <c r="BT114" s="139">
        <v>310</v>
      </c>
      <c r="BU114" s="139"/>
      <c r="BV114" s="139"/>
      <c r="BW114" s="148">
        <f t="shared" si="223"/>
        <v>2</v>
      </c>
      <c r="BX114" s="148">
        <f t="shared" si="224"/>
        <v>1.3839285714285714</v>
      </c>
      <c r="BY114" s="139"/>
      <c r="BZ114" s="139"/>
      <c r="CA114" s="139"/>
      <c r="CB114" s="139"/>
      <c r="CC114" s="139"/>
      <c r="CD114" s="139"/>
      <c r="CE114" s="139"/>
      <c r="CF114" s="139"/>
      <c r="CG114" s="139"/>
      <c r="CH114" s="139"/>
      <c r="CI114" s="139"/>
      <c r="CJ114" s="143"/>
    </row>
    <row r="115" spans="2:88" ht="9.9499999999999993" customHeight="1" x14ac:dyDescent="0.15">
      <c r="B115" s="142">
        <v>43313</v>
      </c>
      <c r="C115" s="139">
        <v>5456.73</v>
      </c>
      <c r="D115" s="139"/>
      <c r="E115" s="148">
        <f t="shared" si="213"/>
        <v>9.2659704533876716E-2</v>
      </c>
      <c r="F115" s="139">
        <v>3797.17</v>
      </c>
      <c r="G115" s="139"/>
      <c r="H115" s="148">
        <f t="shared" si="214"/>
        <v>9.3884781802447775E-2</v>
      </c>
      <c r="I115" s="139"/>
      <c r="J115" s="139"/>
      <c r="K115" s="139"/>
      <c r="L115" s="139"/>
      <c r="M115" s="139"/>
      <c r="N115" s="139"/>
      <c r="O115" s="139"/>
      <c r="P115" s="139"/>
      <c r="Q115" s="139"/>
      <c r="R115" s="139"/>
      <c r="S115" s="143"/>
      <c r="T115" s="143"/>
      <c r="V115" s="142">
        <v>43313</v>
      </c>
      <c r="W115" s="139">
        <v>10</v>
      </c>
      <c r="X115" s="139">
        <v>120</v>
      </c>
      <c r="Y115" s="139"/>
      <c r="Z115" s="139"/>
      <c r="AA115" s="148">
        <f t="shared" si="215"/>
        <v>0.76923076923076927</v>
      </c>
      <c r="AB115" s="148">
        <f t="shared" si="216"/>
        <v>0.83916083916083917</v>
      </c>
      <c r="AC115" s="139">
        <v>3</v>
      </c>
      <c r="AD115" s="139">
        <v>46</v>
      </c>
      <c r="AE115" s="139"/>
      <c r="AF115" s="139"/>
      <c r="AG115" s="148">
        <f t="shared" si="217"/>
        <v>1</v>
      </c>
      <c r="AH115" s="148">
        <f t="shared" si="218"/>
        <v>1.3529411764705883</v>
      </c>
      <c r="AI115" s="139">
        <v>22</v>
      </c>
      <c r="AJ115" s="139">
        <v>240</v>
      </c>
      <c r="AK115" s="139"/>
      <c r="AL115" s="139"/>
      <c r="AM115" s="148">
        <f t="shared" si="219"/>
        <v>1.4666666666666666</v>
      </c>
      <c r="AN115" s="148">
        <f t="shared" si="220"/>
        <v>1.0714285714285714</v>
      </c>
      <c r="AO115" s="139"/>
      <c r="AP115" s="139"/>
      <c r="AQ115" s="139"/>
      <c r="AR115" s="139"/>
      <c r="AS115" s="148"/>
      <c r="AT115" s="148"/>
      <c r="AU115" s="139"/>
      <c r="AV115" s="139"/>
      <c r="AW115" s="139"/>
      <c r="AX115" s="139"/>
      <c r="AY115" s="148"/>
      <c r="AZ115" s="148"/>
      <c r="BA115" s="139"/>
      <c r="BB115" s="139"/>
      <c r="BC115" s="139"/>
      <c r="BD115" s="139"/>
      <c r="BE115" s="148"/>
      <c r="BF115" s="148"/>
      <c r="BG115" s="139"/>
      <c r="BH115" s="139"/>
      <c r="BI115" s="139"/>
      <c r="BJ115" s="139"/>
      <c r="BK115" s="148"/>
      <c r="BL115" s="148"/>
      <c r="BM115" s="139">
        <v>47</v>
      </c>
      <c r="BN115" s="139">
        <v>45</v>
      </c>
      <c r="BO115" s="139"/>
      <c r="BP115" s="139"/>
      <c r="BQ115" s="148">
        <f t="shared" si="221"/>
        <v>2.1363636363636362</v>
      </c>
      <c r="BR115" s="148">
        <f t="shared" si="222"/>
        <v>1.2857142857142858</v>
      </c>
      <c r="BS115" s="139">
        <v>29</v>
      </c>
      <c r="BT115" s="139">
        <v>310</v>
      </c>
      <c r="BU115" s="139"/>
      <c r="BV115" s="139"/>
      <c r="BW115" s="148">
        <f t="shared" si="223"/>
        <v>1.9333333333333333</v>
      </c>
      <c r="BX115" s="148">
        <f t="shared" si="224"/>
        <v>1.3839285714285714</v>
      </c>
      <c r="BY115" s="139"/>
      <c r="BZ115" s="139"/>
      <c r="CA115" s="139"/>
      <c r="CB115" s="139"/>
      <c r="CC115" s="139"/>
      <c r="CD115" s="139"/>
      <c r="CE115" s="139"/>
      <c r="CF115" s="139"/>
      <c r="CG115" s="139"/>
      <c r="CH115" s="139"/>
      <c r="CI115" s="139"/>
      <c r="CJ115" s="143"/>
    </row>
    <row r="116" spans="2:88" ht="9.9499999999999993" customHeight="1" x14ac:dyDescent="0.15">
      <c r="B116" s="142">
        <v>43346</v>
      </c>
      <c r="C116" s="139">
        <v>4753.95</v>
      </c>
      <c r="D116" s="139"/>
      <c r="E116" s="148">
        <f t="shared" si="213"/>
        <v>8.0725929699439633E-2</v>
      </c>
      <c r="F116" s="139">
        <v>3534.99</v>
      </c>
      <c r="G116" s="139"/>
      <c r="H116" s="148">
        <f t="shared" si="214"/>
        <v>8.7402398318704402E-2</v>
      </c>
      <c r="I116" s="139"/>
      <c r="J116" s="139"/>
      <c r="K116" s="139"/>
      <c r="L116" s="139"/>
      <c r="M116" s="139"/>
      <c r="N116" s="139"/>
      <c r="O116" s="139"/>
      <c r="P116" s="139"/>
      <c r="Q116" s="139"/>
      <c r="R116" s="139"/>
      <c r="S116" s="143"/>
      <c r="T116" s="143"/>
      <c r="V116" s="142">
        <v>43346</v>
      </c>
      <c r="W116" s="139">
        <v>10</v>
      </c>
      <c r="X116" s="139">
        <v>110</v>
      </c>
      <c r="Y116" s="139"/>
      <c r="Z116" s="139"/>
      <c r="AA116" s="148">
        <f t="shared" si="215"/>
        <v>0.76923076923076927</v>
      </c>
      <c r="AB116" s="148">
        <f t="shared" si="216"/>
        <v>0.76923076923076927</v>
      </c>
      <c r="AC116" s="139">
        <v>3</v>
      </c>
      <c r="AD116" s="139">
        <v>45</v>
      </c>
      <c r="AE116" s="139"/>
      <c r="AF116" s="139"/>
      <c r="AG116" s="148">
        <f t="shared" si="217"/>
        <v>1</v>
      </c>
      <c r="AH116" s="148">
        <f t="shared" si="218"/>
        <v>1.3235294117647058</v>
      </c>
      <c r="AI116" s="139">
        <v>10</v>
      </c>
      <c r="AJ116" s="139">
        <v>260</v>
      </c>
      <c r="AK116" s="139"/>
      <c r="AL116" s="139"/>
      <c r="AM116" s="148">
        <f t="shared" si="219"/>
        <v>0.66666666666666663</v>
      </c>
      <c r="AN116" s="148">
        <f t="shared" si="220"/>
        <v>1.1607142857142858</v>
      </c>
      <c r="AO116" s="139"/>
      <c r="AP116" s="139"/>
      <c r="AQ116" s="139"/>
      <c r="AR116" s="139"/>
      <c r="AS116" s="148"/>
      <c r="AT116" s="148"/>
      <c r="AU116" s="139"/>
      <c r="AV116" s="139"/>
      <c r="AW116" s="139"/>
      <c r="AX116" s="139"/>
      <c r="AY116" s="148"/>
      <c r="AZ116" s="148"/>
      <c r="BA116" s="139"/>
      <c r="BB116" s="139"/>
      <c r="BC116" s="139"/>
      <c r="BD116" s="139"/>
      <c r="BE116" s="148"/>
      <c r="BF116" s="148"/>
      <c r="BG116" s="139"/>
      <c r="BH116" s="139"/>
      <c r="BI116" s="139"/>
      <c r="BJ116" s="139"/>
      <c r="BK116" s="148"/>
      <c r="BL116" s="148"/>
      <c r="BM116" s="139">
        <v>44</v>
      </c>
      <c r="BN116" s="139">
        <v>39</v>
      </c>
      <c r="BO116" s="139"/>
      <c r="BP116" s="139"/>
      <c r="BQ116" s="148">
        <f t="shared" si="221"/>
        <v>2</v>
      </c>
      <c r="BR116" s="148">
        <f t="shared" si="222"/>
        <v>1.1142857142857143</v>
      </c>
      <c r="BS116" s="139">
        <v>26</v>
      </c>
      <c r="BT116" s="139">
        <v>260</v>
      </c>
      <c r="BU116" s="139"/>
      <c r="BV116" s="139"/>
      <c r="BW116" s="148">
        <f t="shared" si="223"/>
        <v>1.7333333333333334</v>
      </c>
      <c r="BX116" s="148">
        <f t="shared" si="224"/>
        <v>1.1607142857142858</v>
      </c>
      <c r="BY116" s="139"/>
      <c r="BZ116" s="139"/>
      <c r="CA116" s="139"/>
      <c r="CB116" s="139"/>
      <c r="CC116" s="139"/>
      <c r="CD116" s="139"/>
      <c r="CE116" s="139"/>
      <c r="CF116" s="139"/>
      <c r="CG116" s="139"/>
      <c r="CH116" s="139"/>
      <c r="CI116" s="139"/>
      <c r="CJ116" s="143"/>
    </row>
    <row r="117" spans="2:88" ht="9.9499999999999993" customHeight="1" x14ac:dyDescent="0.15">
      <c r="B117" s="142">
        <v>43374</v>
      </c>
      <c r="C117" s="139">
        <v>5340.29</v>
      </c>
      <c r="D117" s="139"/>
      <c r="E117" s="148">
        <f t="shared" si="213"/>
        <v>9.068245882153167E-2</v>
      </c>
      <c r="F117" s="139">
        <v>3963.28</v>
      </c>
      <c r="G117" s="139"/>
      <c r="H117" s="148">
        <f t="shared" si="214"/>
        <v>9.7991840771417982E-2</v>
      </c>
      <c r="I117" s="139"/>
      <c r="J117" s="139"/>
      <c r="K117" s="139"/>
      <c r="L117" s="139"/>
      <c r="M117" s="139"/>
      <c r="N117" s="139"/>
      <c r="O117" s="139"/>
      <c r="P117" s="139"/>
      <c r="Q117" s="139"/>
      <c r="R117" s="139"/>
      <c r="S117" s="143"/>
      <c r="T117" s="143"/>
      <c r="V117" s="142">
        <v>43374</v>
      </c>
      <c r="W117" s="139">
        <v>10</v>
      </c>
      <c r="X117" s="139">
        <v>100</v>
      </c>
      <c r="Y117" s="139"/>
      <c r="Z117" s="139"/>
      <c r="AA117" s="148">
        <f t="shared" si="215"/>
        <v>0.76923076923076927</v>
      </c>
      <c r="AB117" s="148">
        <f t="shared" si="216"/>
        <v>0.69930069930069927</v>
      </c>
      <c r="AC117" s="139">
        <v>3</v>
      </c>
      <c r="AD117" s="139">
        <v>60</v>
      </c>
      <c r="AE117" s="139"/>
      <c r="AF117" s="139"/>
      <c r="AG117" s="148">
        <f t="shared" si="217"/>
        <v>1</v>
      </c>
      <c r="AH117" s="148">
        <f t="shared" si="218"/>
        <v>1.7647058823529411</v>
      </c>
      <c r="AI117" s="139">
        <v>5</v>
      </c>
      <c r="AJ117" s="139">
        <v>240</v>
      </c>
      <c r="AK117" s="139"/>
      <c r="AL117" s="139"/>
      <c r="AM117" s="148">
        <f t="shared" si="219"/>
        <v>0.33333333333333331</v>
      </c>
      <c r="AN117" s="148">
        <f t="shared" si="220"/>
        <v>1.0714285714285714</v>
      </c>
      <c r="AO117" s="139"/>
      <c r="AP117" s="139"/>
      <c r="AQ117" s="139"/>
      <c r="AR117" s="139"/>
      <c r="AS117" s="148"/>
      <c r="AT117" s="148"/>
      <c r="AU117" s="139"/>
      <c r="AV117" s="139"/>
      <c r="AW117" s="139"/>
      <c r="AX117" s="139"/>
      <c r="AY117" s="148"/>
      <c r="AZ117" s="148"/>
      <c r="BA117" s="139"/>
      <c r="BB117" s="139"/>
      <c r="BC117" s="139"/>
      <c r="BD117" s="139"/>
      <c r="BE117" s="148"/>
      <c r="BF117" s="148"/>
      <c r="BG117" s="139"/>
      <c r="BH117" s="139"/>
      <c r="BI117" s="139"/>
      <c r="BJ117" s="139"/>
      <c r="BK117" s="148"/>
      <c r="BL117" s="148"/>
      <c r="BM117" s="139">
        <v>4.2</v>
      </c>
      <c r="BN117" s="139">
        <v>42</v>
      </c>
      <c r="BO117" s="139"/>
      <c r="BP117" s="139"/>
      <c r="BQ117" s="148">
        <f t="shared" si="221"/>
        <v>0.19090909090909092</v>
      </c>
      <c r="BR117" s="148">
        <f t="shared" si="222"/>
        <v>1.2</v>
      </c>
      <c r="BS117" s="139">
        <v>25</v>
      </c>
      <c r="BT117" s="139">
        <v>270</v>
      </c>
      <c r="BU117" s="139"/>
      <c r="BV117" s="139"/>
      <c r="BW117" s="148">
        <f t="shared" si="223"/>
        <v>1.6666666666666667</v>
      </c>
      <c r="BX117" s="148">
        <f t="shared" si="224"/>
        <v>1.2053571428571428</v>
      </c>
      <c r="BY117" s="139"/>
      <c r="BZ117" s="139"/>
      <c r="CA117" s="139"/>
      <c r="CB117" s="139"/>
      <c r="CC117" s="139"/>
      <c r="CD117" s="139"/>
      <c r="CE117" s="139"/>
      <c r="CF117" s="139"/>
      <c r="CG117" s="139"/>
      <c r="CH117" s="139"/>
      <c r="CI117" s="139"/>
      <c r="CJ117" s="143"/>
    </row>
    <row r="118" spans="2:88" ht="9.9499999999999993" customHeight="1" x14ac:dyDescent="0.15">
      <c r="B118" s="142">
        <v>43405</v>
      </c>
      <c r="C118" s="139">
        <v>4995.25</v>
      </c>
      <c r="D118" s="139"/>
      <c r="E118" s="148">
        <f t="shared" si="213"/>
        <v>8.4823399558498894E-2</v>
      </c>
      <c r="F118" s="139">
        <v>3357.65</v>
      </c>
      <c r="G118" s="139"/>
      <c r="H118" s="148">
        <f t="shared" si="214"/>
        <v>8.3017678328594385E-2</v>
      </c>
      <c r="I118" s="139"/>
      <c r="J118" s="139"/>
      <c r="K118" s="139"/>
      <c r="L118" s="139"/>
      <c r="M118" s="139"/>
      <c r="N118" s="139"/>
      <c r="O118" s="139"/>
      <c r="P118" s="139"/>
      <c r="Q118" s="139"/>
      <c r="R118" s="139"/>
      <c r="S118" s="143"/>
      <c r="T118" s="143"/>
      <c r="V118" s="142">
        <v>43405</v>
      </c>
      <c r="W118" s="139">
        <v>4.3090139582451981</v>
      </c>
      <c r="X118" s="139">
        <v>80</v>
      </c>
      <c r="Y118" s="139"/>
      <c r="Z118" s="139"/>
      <c r="AA118" s="148">
        <f t="shared" si="215"/>
        <v>0.33146261217270756</v>
      </c>
      <c r="AB118" s="148">
        <f t="shared" si="216"/>
        <v>0.55944055944055948</v>
      </c>
      <c r="AC118" s="139">
        <v>3</v>
      </c>
      <c r="AD118" s="139">
        <v>23</v>
      </c>
      <c r="AE118" s="139"/>
      <c r="AF118" s="139"/>
      <c r="AG118" s="148">
        <f t="shared" si="217"/>
        <v>1</v>
      </c>
      <c r="AH118" s="148">
        <f t="shared" si="218"/>
        <v>0.67647058823529416</v>
      </c>
      <c r="AI118" s="139">
        <v>5</v>
      </c>
      <c r="AJ118" s="139">
        <v>270</v>
      </c>
      <c r="AK118" s="139"/>
      <c r="AL118" s="139"/>
      <c r="AM118" s="148">
        <f t="shared" si="219"/>
        <v>0.33333333333333331</v>
      </c>
      <c r="AN118" s="148">
        <f t="shared" si="220"/>
        <v>1.2053571428571428</v>
      </c>
      <c r="AO118" s="139"/>
      <c r="AP118" s="139"/>
      <c r="AQ118" s="139"/>
      <c r="AR118" s="139"/>
      <c r="AS118" s="148"/>
      <c r="AT118" s="148"/>
      <c r="AU118" s="139"/>
      <c r="AV118" s="139"/>
      <c r="AW118" s="139"/>
      <c r="AX118" s="139"/>
      <c r="AY118" s="148"/>
      <c r="AZ118" s="148"/>
      <c r="BA118" s="139"/>
      <c r="BB118" s="139"/>
      <c r="BC118" s="139"/>
      <c r="BD118" s="139"/>
      <c r="BE118" s="148"/>
      <c r="BF118" s="148"/>
      <c r="BG118" s="139"/>
      <c r="BH118" s="139"/>
      <c r="BI118" s="139"/>
      <c r="BJ118" s="139"/>
      <c r="BK118" s="148"/>
      <c r="BL118" s="148"/>
      <c r="BM118" s="139">
        <v>3.9</v>
      </c>
      <c r="BN118" s="139">
        <v>39</v>
      </c>
      <c r="BO118" s="139"/>
      <c r="BP118" s="139"/>
      <c r="BQ118" s="148">
        <f t="shared" si="221"/>
        <v>0.17727272727272728</v>
      </c>
      <c r="BR118" s="148">
        <f t="shared" si="222"/>
        <v>1.1142857142857143</v>
      </c>
      <c r="BS118" s="139">
        <v>22</v>
      </c>
      <c r="BT118" s="139">
        <v>230</v>
      </c>
      <c r="BU118" s="139"/>
      <c r="BV118" s="139"/>
      <c r="BW118" s="148">
        <f t="shared" si="223"/>
        <v>1.4666666666666666</v>
      </c>
      <c r="BX118" s="148">
        <f t="shared" si="224"/>
        <v>1.0267857142857142</v>
      </c>
      <c r="BY118" s="139"/>
      <c r="BZ118" s="139"/>
      <c r="CA118" s="139"/>
      <c r="CB118" s="139"/>
      <c r="CC118" s="139"/>
      <c r="CD118" s="139"/>
      <c r="CE118" s="139"/>
      <c r="CF118" s="139"/>
      <c r="CG118" s="139"/>
      <c r="CH118" s="139"/>
      <c r="CI118" s="139"/>
      <c r="CJ118" s="143"/>
    </row>
    <row r="119" spans="2:88" ht="9.9499999999999993" customHeight="1" x14ac:dyDescent="0.15">
      <c r="B119" s="142">
        <v>43437</v>
      </c>
      <c r="C119" s="139">
        <v>4635.78</v>
      </c>
      <c r="D119" s="139"/>
      <c r="E119" s="148">
        <f t="shared" si="213"/>
        <v>7.8719307182883336E-2</v>
      </c>
      <c r="F119" s="139">
        <v>3025.6</v>
      </c>
      <c r="G119" s="139"/>
      <c r="H119" s="148">
        <f t="shared" si="214"/>
        <v>7.4807763629620466E-2</v>
      </c>
      <c r="I119" s="139"/>
      <c r="J119" s="139"/>
      <c r="K119" s="139"/>
      <c r="L119" s="139"/>
      <c r="M119" s="139"/>
      <c r="N119" s="139"/>
      <c r="O119" s="139"/>
      <c r="P119" s="139"/>
      <c r="Q119" s="139"/>
      <c r="R119" s="139"/>
      <c r="S119" s="143"/>
      <c r="T119" s="143"/>
      <c r="V119" s="142">
        <v>43437</v>
      </c>
      <c r="W119" s="139">
        <v>20</v>
      </c>
      <c r="X119" s="139">
        <v>180</v>
      </c>
      <c r="Y119" s="139"/>
      <c r="Z119" s="139"/>
      <c r="AA119" s="148">
        <f t="shared" si="215"/>
        <v>1.5384615384615385</v>
      </c>
      <c r="AB119" s="148">
        <f t="shared" si="216"/>
        <v>1.2587412587412588</v>
      </c>
      <c r="AC119" s="139">
        <v>3</v>
      </c>
      <c r="AD119" s="139">
        <v>27</v>
      </c>
      <c r="AE119" s="139"/>
      <c r="AF119" s="139"/>
      <c r="AG119" s="148">
        <f t="shared" si="217"/>
        <v>1</v>
      </c>
      <c r="AH119" s="148">
        <f t="shared" si="218"/>
        <v>0.79411764705882348</v>
      </c>
      <c r="AI119" s="139">
        <v>5</v>
      </c>
      <c r="AJ119" s="139">
        <v>200</v>
      </c>
      <c r="AK119" s="139"/>
      <c r="AL119" s="139"/>
      <c r="AM119" s="148">
        <f t="shared" si="219"/>
        <v>0.33333333333333331</v>
      </c>
      <c r="AN119" s="148">
        <f t="shared" si="220"/>
        <v>0.8928571428571429</v>
      </c>
      <c r="AO119" s="139"/>
      <c r="AP119" s="139"/>
      <c r="AQ119" s="139"/>
      <c r="AR119" s="139"/>
      <c r="AS119" s="148"/>
      <c r="AT119" s="148"/>
      <c r="AU119" s="139"/>
      <c r="AV119" s="139"/>
      <c r="AW119" s="139"/>
      <c r="AX119" s="139"/>
      <c r="AY119" s="148"/>
      <c r="AZ119" s="148"/>
      <c r="BA119" s="139"/>
      <c r="BB119" s="139"/>
      <c r="BC119" s="139"/>
      <c r="BD119" s="139"/>
      <c r="BE119" s="148"/>
      <c r="BF119" s="148"/>
      <c r="BG119" s="139"/>
      <c r="BH119" s="139"/>
      <c r="BI119" s="139"/>
      <c r="BJ119" s="139"/>
      <c r="BK119" s="148"/>
      <c r="BL119" s="148"/>
      <c r="BM119" s="139">
        <v>0.75</v>
      </c>
      <c r="BN119" s="139">
        <v>18</v>
      </c>
      <c r="BO119" s="139"/>
      <c r="BP119" s="139"/>
      <c r="BQ119" s="148">
        <f t="shared" si="221"/>
        <v>3.4090909090909088E-2</v>
      </c>
      <c r="BR119" s="148">
        <f t="shared" si="222"/>
        <v>0.51428571428571423</v>
      </c>
      <c r="BS119" s="139">
        <v>11</v>
      </c>
      <c r="BT119" s="139">
        <v>130</v>
      </c>
      <c r="BU119" s="139"/>
      <c r="BV119" s="139"/>
      <c r="BW119" s="148">
        <f t="shared" si="223"/>
        <v>0.73333333333333328</v>
      </c>
      <c r="BX119" s="148">
        <f t="shared" si="224"/>
        <v>0.5803571428571429</v>
      </c>
      <c r="BY119" s="139"/>
      <c r="BZ119" s="139"/>
      <c r="CA119" s="139"/>
      <c r="CB119" s="139"/>
      <c r="CC119" s="139"/>
      <c r="CD119" s="139"/>
      <c r="CE119" s="139"/>
      <c r="CF119" s="139"/>
      <c r="CG119" s="139"/>
      <c r="CH119" s="139"/>
      <c r="CI119" s="139"/>
      <c r="CJ119" s="143"/>
    </row>
    <row r="120" spans="2:88" ht="9.9499999999999993" customHeight="1" x14ac:dyDescent="0.15">
      <c r="B120" s="142">
        <v>43472</v>
      </c>
      <c r="C120" s="139">
        <v>4784.4399999999996</v>
      </c>
      <c r="D120" s="139"/>
      <c r="E120" s="148">
        <f t="shared" si="213"/>
        <v>8.1243674647648145E-2</v>
      </c>
      <c r="F120" s="139">
        <v>2986.16</v>
      </c>
      <c r="G120" s="139"/>
      <c r="H120" s="148">
        <f t="shared" si="214"/>
        <v>7.3832612189392993E-2</v>
      </c>
      <c r="I120" s="139"/>
      <c r="J120" s="139"/>
      <c r="K120" s="139"/>
      <c r="L120" s="139"/>
      <c r="M120" s="139"/>
      <c r="N120" s="139"/>
      <c r="O120" s="139"/>
      <c r="P120" s="139"/>
      <c r="Q120" s="139"/>
      <c r="R120" s="139"/>
      <c r="S120" s="143"/>
      <c r="T120" s="143"/>
      <c r="V120" s="142">
        <v>43472</v>
      </c>
      <c r="W120" s="139">
        <v>20</v>
      </c>
      <c r="X120" s="139">
        <v>200</v>
      </c>
      <c r="Y120" s="139"/>
      <c r="Z120" s="139"/>
      <c r="AA120" s="148">
        <f t="shared" si="215"/>
        <v>1.5384615384615385</v>
      </c>
      <c r="AB120" s="148">
        <f t="shared" si="216"/>
        <v>1.3986013986013985</v>
      </c>
      <c r="AC120" s="139">
        <v>3</v>
      </c>
      <c r="AD120" s="139">
        <v>12</v>
      </c>
      <c r="AE120" s="139"/>
      <c r="AF120" s="139"/>
      <c r="AG120" s="148">
        <f t="shared" si="217"/>
        <v>1</v>
      </c>
      <c r="AH120" s="148">
        <f t="shared" si="218"/>
        <v>0.35294117647058826</v>
      </c>
      <c r="AI120" s="139">
        <v>5</v>
      </c>
      <c r="AJ120" s="139">
        <v>110</v>
      </c>
      <c r="AK120" s="139"/>
      <c r="AL120" s="139"/>
      <c r="AM120" s="148">
        <f t="shared" si="219"/>
        <v>0.33333333333333331</v>
      </c>
      <c r="AN120" s="148">
        <f t="shared" si="220"/>
        <v>0.49107142857142855</v>
      </c>
      <c r="AO120" s="139"/>
      <c r="AP120" s="139"/>
      <c r="AQ120" s="139"/>
      <c r="AR120" s="139"/>
      <c r="AS120" s="148"/>
      <c r="AT120" s="148"/>
      <c r="AU120" s="139"/>
      <c r="AV120" s="139"/>
      <c r="AW120" s="139"/>
      <c r="AX120" s="139"/>
      <c r="AY120" s="148"/>
      <c r="AZ120" s="148"/>
      <c r="BA120" s="139"/>
      <c r="BB120" s="139"/>
      <c r="BC120" s="139"/>
      <c r="BD120" s="139"/>
      <c r="BE120" s="148"/>
      <c r="BF120" s="148"/>
      <c r="BG120" s="139"/>
      <c r="BH120" s="139"/>
      <c r="BI120" s="139"/>
      <c r="BJ120" s="139"/>
      <c r="BK120" s="148"/>
      <c r="BL120" s="148"/>
      <c r="BM120" s="139">
        <v>0.75</v>
      </c>
      <c r="BN120" s="139">
        <v>14</v>
      </c>
      <c r="BO120" s="139"/>
      <c r="BP120" s="139"/>
      <c r="BQ120" s="148">
        <f t="shared" si="221"/>
        <v>3.4090909090909088E-2</v>
      </c>
      <c r="BR120" s="148">
        <f t="shared" si="222"/>
        <v>0.4</v>
      </c>
      <c r="BS120" s="139">
        <v>8.3000000000000007</v>
      </c>
      <c r="BT120" s="139">
        <v>98</v>
      </c>
      <c r="BU120" s="139"/>
      <c r="BV120" s="139"/>
      <c r="BW120" s="148">
        <f t="shared" si="223"/>
        <v>0.55333333333333334</v>
      </c>
      <c r="BX120" s="148">
        <f t="shared" si="224"/>
        <v>0.4375</v>
      </c>
      <c r="BY120" s="139"/>
      <c r="BZ120" s="139"/>
      <c r="CA120" s="139"/>
      <c r="CB120" s="139"/>
      <c r="CC120" s="139"/>
      <c r="CD120" s="139"/>
      <c r="CE120" s="139"/>
      <c r="CF120" s="139"/>
      <c r="CG120" s="139"/>
      <c r="CH120" s="139"/>
      <c r="CI120" s="139"/>
      <c r="CJ120" s="143"/>
    </row>
    <row r="121" spans="2:88" ht="9.9499999999999993" customHeight="1" x14ac:dyDescent="0.15">
      <c r="B121" s="142">
        <v>43504</v>
      </c>
      <c r="C121" s="139">
        <v>3914.93</v>
      </c>
      <c r="D121" s="139"/>
      <c r="E121" s="148">
        <f t="shared" si="213"/>
        <v>6.6478689081338083E-2</v>
      </c>
      <c r="F121" s="139">
        <v>2479.9899999999998</v>
      </c>
      <c r="G121" s="139"/>
      <c r="H121" s="148">
        <f t="shared" si="214"/>
        <v>6.1317591791321541E-2</v>
      </c>
      <c r="I121" s="139"/>
      <c r="J121" s="139"/>
      <c r="K121" s="139"/>
      <c r="L121" s="139"/>
      <c r="M121" s="139"/>
      <c r="N121" s="139"/>
      <c r="O121" s="139"/>
      <c r="P121" s="139"/>
      <c r="Q121" s="139"/>
      <c r="R121" s="139"/>
      <c r="S121" s="143"/>
      <c r="T121" s="143"/>
      <c r="V121" s="142">
        <v>43504</v>
      </c>
      <c r="W121" s="139">
        <v>20</v>
      </c>
      <c r="X121" s="139">
        <v>200</v>
      </c>
      <c r="Y121" s="139"/>
      <c r="Z121" s="139"/>
      <c r="AA121" s="148">
        <f t="shared" si="215"/>
        <v>1.5384615384615385</v>
      </c>
      <c r="AB121" s="148">
        <f t="shared" si="216"/>
        <v>1.3986013986013985</v>
      </c>
      <c r="AC121" s="139">
        <v>3</v>
      </c>
      <c r="AD121" s="139">
        <v>12</v>
      </c>
      <c r="AE121" s="139"/>
      <c r="AF121" s="139"/>
      <c r="AG121" s="148">
        <f t="shared" si="217"/>
        <v>1</v>
      </c>
      <c r="AH121" s="148">
        <f t="shared" si="218"/>
        <v>0.35294117647058826</v>
      </c>
      <c r="AI121" s="139">
        <v>5</v>
      </c>
      <c r="AJ121" s="139">
        <v>100</v>
      </c>
      <c r="AK121" s="139"/>
      <c r="AL121" s="139"/>
      <c r="AM121" s="148">
        <f t="shared" si="219"/>
        <v>0.33333333333333331</v>
      </c>
      <c r="AN121" s="148">
        <f t="shared" si="220"/>
        <v>0.44642857142857145</v>
      </c>
      <c r="AO121" s="139"/>
      <c r="AP121" s="139"/>
      <c r="AQ121" s="139"/>
      <c r="AR121" s="139"/>
      <c r="AS121" s="148"/>
      <c r="AT121" s="148"/>
      <c r="AU121" s="139"/>
      <c r="AV121" s="139"/>
      <c r="AW121" s="139"/>
      <c r="AX121" s="139"/>
      <c r="AY121" s="148"/>
      <c r="AZ121" s="148"/>
      <c r="BA121" s="139"/>
      <c r="BB121" s="139"/>
      <c r="BC121" s="139"/>
      <c r="BD121" s="139"/>
      <c r="BE121" s="148"/>
      <c r="BF121" s="148"/>
      <c r="BG121" s="139"/>
      <c r="BH121" s="139"/>
      <c r="BI121" s="139"/>
      <c r="BJ121" s="139"/>
      <c r="BK121" s="148"/>
      <c r="BL121" s="148"/>
      <c r="BM121" s="139">
        <v>0.75</v>
      </c>
      <c r="BN121" s="139">
        <v>14</v>
      </c>
      <c r="BO121" s="139"/>
      <c r="BP121" s="139"/>
      <c r="BQ121" s="148">
        <f t="shared" si="221"/>
        <v>3.4090909090909088E-2</v>
      </c>
      <c r="BR121" s="148">
        <f t="shared" si="222"/>
        <v>0.4</v>
      </c>
      <c r="BS121" s="139">
        <v>8.5</v>
      </c>
      <c r="BT121" s="139">
        <v>96</v>
      </c>
      <c r="BU121" s="139"/>
      <c r="BV121" s="139"/>
      <c r="BW121" s="148">
        <f t="shared" si="223"/>
        <v>0.56666666666666665</v>
      </c>
      <c r="BX121" s="148">
        <f t="shared" si="224"/>
        <v>0.42857142857142855</v>
      </c>
      <c r="BY121" s="139"/>
      <c r="BZ121" s="139"/>
      <c r="CA121" s="139"/>
      <c r="CB121" s="139"/>
      <c r="CC121" s="139"/>
      <c r="CD121" s="139"/>
      <c r="CE121" s="139"/>
      <c r="CF121" s="139"/>
      <c r="CG121" s="139"/>
      <c r="CH121" s="139"/>
      <c r="CI121" s="139"/>
      <c r="CJ121" s="143"/>
    </row>
    <row r="122" spans="2:88" ht="9.9499999999999993" customHeight="1" x14ac:dyDescent="0.15">
      <c r="B122" s="142">
        <v>43525</v>
      </c>
      <c r="C122" s="139">
        <v>4000</v>
      </c>
      <c r="D122" s="147">
        <f>SUM(C111:C122)</f>
        <v>58889.5</v>
      </c>
      <c r="E122" s="148">
        <f t="shared" si="213"/>
        <v>6.7923246731193751E-2</v>
      </c>
      <c r="F122" s="139">
        <v>2988.55</v>
      </c>
      <c r="G122" s="147">
        <f>SUM(F111:F122)</f>
        <v>40445.170000000006</v>
      </c>
      <c r="H122" s="148">
        <f t="shared" si="214"/>
        <v>7.3891704784274939E-2</v>
      </c>
      <c r="I122" s="139"/>
      <c r="J122" s="139"/>
      <c r="K122" s="139"/>
      <c r="L122" s="139"/>
      <c r="M122" s="139"/>
      <c r="N122" s="139"/>
      <c r="O122" s="139"/>
      <c r="P122" s="139"/>
      <c r="Q122" s="139"/>
      <c r="R122" s="139"/>
      <c r="S122" s="143"/>
      <c r="T122" s="143"/>
      <c r="V122" s="142">
        <v>43525</v>
      </c>
      <c r="W122" s="139">
        <v>10</v>
      </c>
      <c r="X122" s="139">
        <v>190</v>
      </c>
      <c r="Y122" s="147">
        <f>AVERAGE(W111:W122)</f>
        <v>13.109084496520433</v>
      </c>
      <c r="Z122" s="147">
        <f>AVERAGE(X111:X122)</f>
        <v>142.5</v>
      </c>
      <c r="AA122" s="148">
        <f t="shared" si="215"/>
        <v>0.76923076923076927</v>
      </c>
      <c r="AB122" s="148">
        <f t="shared" si="216"/>
        <v>1.3286713286713288</v>
      </c>
      <c r="AC122" s="139"/>
      <c r="AD122" s="139"/>
      <c r="AE122" s="147">
        <f>AVERAGE(AC111:AC122)</f>
        <v>3</v>
      </c>
      <c r="AF122" s="147">
        <f>AVERAGE(AD111:AD122)</f>
        <v>33.727272727272727</v>
      </c>
      <c r="AG122" s="148">
        <f t="shared" si="217"/>
        <v>0</v>
      </c>
      <c r="AH122" s="148">
        <f t="shared" si="218"/>
        <v>0</v>
      </c>
      <c r="AI122" s="139"/>
      <c r="AJ122" s="139"/>
      <c r="AK122" s="147">
        <f>AVERAGE(AI111:AI122)</f>
        <v>14.5</v>
      </c>
      <c r="AL122" s="147">
        <f>AVERAGE(AJ111:AJ122)</f>
        <v>223.63636363636363</v>
      </c>
      <c r="AM122" s="148">
        <f t="shared" si="219"/>
        <v>0</v>
      </c>
      <c r="AN122" s="148">
        <f t="shared" si="220"/>
        <v>0</v>
      </c>
      <c r="AO122" s="139"/>
      <c r="AP122" s="139"/>
      <c r="AQ122" s="147"/>
      <c r="AR122" s="147"/>
      <c r="AS122" s="148"/>
      <c r="AT122" s="148"/>
      <c r="AU122" s="139"/>
      <c r="AV122" s="139"/>
      <c r="AW122" s="147"/>
      <c r="AX122" s="147"/>
      <c r="AY122" s="148"/>
      <c r="AZ122" s="148"/>
      <c r="BA122" s="139"/>
      <c r="BB122" s="139"/>
      <c r="BC122" s="147"/>
      <c r="BD122" s="147"/>
      <c r="BE122" s="148"/>
      <c r="BF122" s="148"/>
      <c r="BG122" s="139"/>
      <c r="BH122" s="139"/>
      <c r="BI122" s="147"/>
      <c r="BJ122" s="147"/>
      <c r="BK122" s="148"/>
      <c r="BL122" s="148"/>
      <c r="BM122" s="139">
        <v>1.5</v>
      </c>
      <c r="BN122" s="139">
        <v>16</v>
      </c>
      <c r="BO122" s="147">
        <f>AVERAGE(BM111:BM122)</f>
        <v>21.845833333333331</v>
      </c>
      <c r="BP122" s="147">
        <f>AVERAGE(BN111:BN122)</f>
        <v>35.166666666666664</v>
      </c>
      <c r="BQ122" s="148">
        <f t="shared" si="221"/>
        <v>6.8181818181818177E-2</v>
      </c>
      <c r="BR122" s="148">
        <f t="shared" si="222"/>
        <v>0.45714285714285713</v>
      </c>
      <c r="BS122" s="139">
        <v>13</v>
      </c>
      <c r="BT122" s="139">
        <v>130</v>
      </c>
      <c r="BU122" s="147">
        <f>AVERAGE(BS111:BS122)</f>
        <v>22.316666666666666</v>
      </c>
      <c r="BV122" s="147">
        <f>AVERAGE(BT111:BT122)</f>
        <v>230.33333333333334</v>
      </c>
      <c r="BW122" s="148">
        <f t="shared" si="223"/>
        <v>0.8666666666666667</v>
      </c>
      <c r="BX122" s="148">
        <f t="shared" si="224"/>
        <v>0.5803571428571429</v>
      </c>
      <c r="BY122" s="139"/>
      <c r="BZ122" s="139"/>
      <c r="CA122" s="139"/>
      <c r="CB122" s="139"/>
      <c r="CC122" s="139"/>
      <c r="CD122" s="139"/>
      <c r="CE122" s="139"/>
      <c r="CF122" s="139"/>
      <c r="CG122" s="139"/>
      <c r="CH122" s="139"/>
      <c r="CI122" s="139"/>
      <c r="CJ122" s="143"/>
    </row>
    <row r="123" spans="2:88" ht="9.9499999999999993" customHeight="1" x14ac:dyDescent="0.15">
      <c r="B123" s="136"/>
      <c r="C123" s="136"/>
      <c r="D123" s="136"/>
      <c r="E123" s="136"/>
      <c r="F123" s="55"/>
      <c r="G123" s="136"/>
      <c r="H123" s="136"/>
      <c r="I123" s="55"/>
      <c r="J123" s="55"/>
      <c r="K123" s="55"/>
      <c r="L123" s="55"/>
      <c r="M123" s="55"/>
      <c r="N123" s="55"/>
      <c r="O123" s="55"/>
      <c r="P123" s="55"/>
      <c r="Q123" s="55"/>
      <c r="R123" s="55"/>
      <c r="S123" s="55"/>
      <c r="T123" s="55"/>
      <c r="V123" s="136"/>
      <c r="W123" s="136"/>
      <c r="X123" s="136"/>
      <c r="Y123" s="136"/>
      <c r="Z123" s="136"/>
      <c r="AA123" s="136"/>
      <c r="AB123" s="136"/>
      <c r="AC123" s="55"/>
      <c r="AD123" s="55"/>
      <c r="AE123" s="136"/>
      <c r="AF123" s="136"/>
      <c r="AG123" s="136"/>
      <c r="AH123" s="136"/>
      <c r="AI123" s="55"/>
      <c r="AJ123" s="55"/>
      <c r="AK123" s="136"/>
      <c r="AL123" s="136"/>
      <c r="AM123" s="136"/>
      <c r="AN123" s="136"/>
      <c r="AO123" s="55"/>
      <c r="AP123" s="55"/>
      <c r="AQ123" s="136"/>
      <c r="AR123" s="136"/>
      <c r="AS123" s="136"/>
      <c r="AT123" s="136"/>
      <c r="AU123" s="55"/>
      <c r="AV123" s="55"/>
      <c r="AW123" s="136"/>
      <c r="AX123" s="136"/>
      <c r="AY123" s="136"/>
      <c r="AZ123" s="136"/>
      <c r="BA123" s="55"/>
      <c r="BB123" s="55"/>
      <c r="BC123" s="136"/>
      <c r="BD123" s="136"/>
      <c r="BE123" s="136"/>
      <c r="BF123" s="136"/>
      <c r="BG123" s="55"/>
      <c r="BH123" s="55"/>
      <c r="BI123" s="136"/>
      <c r="BJ123" s="136"/>
      <c r="BK123" s="136"/>
      <c r="BL123" s="136"/>
      <c r="BM123" s="55"/>
      <c r="BN123" s="55"/>
      <c r="BO123" s="136"/>
      <c r="BP123" s="136"/>
      <c r="BQ123" s="136"/>
      <c r="BR123" s="136"/>
      <c r="BS123" s="55"/>
      <c r="BT123" s="55"/>
      <c r="BU123" s="136"/>
      <c r="BV123" s="136"/>
      <c r="BW123" s="136"/>
      <c r="BX123" s="136"/>
      <c r="BY123" s="55"/>
      <c r="BZ123" s="55"/>
      <c r="CA123" s="55"/>
      <c r="CB123" s="55"/>
      <c r="CC123" s="55"/>
      <c r="CD123" s="55"/>
      <c r="CE123" s="55"/>
      <c r="CF123" s="55"/>
      <c r="CG123" s="55"/>
      <c r="CH123" s="55"/>
      <c r="CI123" s="55"/>
      <c r="CJ123" s="55"/>
    </row>
    <row r="124" spans="2:88" ht="9.9499999999999993" customHeight="1" x14ac:dyDescent="0.15">
      <c r="B124" s="55"/>
      <c r="C124" s="151" t="s">
        <v>328</v>
      </c>
      <c r="D124" s="151"/>
      <c r="E124" s="151"/>
      <c r="F124" s="55" t="s">
        <v>320</v>
      </c>
      <c r="G124" s="55"/>
      <c r="H124" s="55"/>
      <c r="I124" s="55" t="s">
        <v>322</v>
      </c>
      <c r="J124" s="55"/>
      <c r="K124" s="55"/>
      <c r="L124" s="55"/>
      <c r="M124" s="55" t="s">
        <v>323</v>
      </c>
      <c r="N124" s="55"/>
      <c r="O124" s="55"/>
      <c r="P124" s="55"/>
      <c r="Q124" s="55" t="s">
        <v>324</v>
      </c>
      <c r="R124" s="55"/>
      <c r="S124" s="55"/>
      <c r="T124" s="55"/>
      <c r="V124" s="55"/>
      <c r="W124" s="151" t="s">
        <v>328</v>
      </c>
      <c r="X124" s="151"/>
      <c r="Y124" s="151"/>
      <c r="Z124" s="151"/>
      <c r="AA124" s="151"/>
      <c r="AB124" s="151"/>
      <c r="AC124" s="55" t="s">
        <v>320</v>
      </c>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t="s">
        <v>322</v>
      </c>
      <c r="BZ124" s="55"/>
      <c r="CA124" s="55"/>
      <c r="CB124" s="55"/>
      <c r="CC124" s="55" t="s">
        <v>323</v>
      </c>
      <c r="CD124" s="55"/>
      <c r="CE124" s="55"/>
      <c r="CF124" s="55"/>
      <c r="CG124" s="55" t="s">
        <v>324</v>
      </c>
      <c r="CH124" s="55"/>
      <c r="CI124" s="55"/>
      <c r="CJ124" s="55"/>
    </row>
    <row r="125" spans="2:88" ht="9.9499999999999993" customHeight="1" x14ac:dyDescent="0.15">
      <c r="B125" s="136"/>
      <c r="C125" s="136" t="s">
        <v>319</v>
      </c>
      <c r="D125" s="136" t="s">
        <v>329</v>
      </c>
      <c r="E125" s="136" t="s">
        <v>330</v>
      </c>
      <c r="F125" s="55" t="s">
        <v>321</v>
      </c>
      <c r="G125" s="136" t="s">
        <v>329</v>
      </c>
      <c r="H125" s="136" t="s">
        <v>330</v>
      </c>
      <c r="I125" s="55" t="s">
        <v>325</v>
      </c>
      <c r="J125" s="55"/>
      <c r="K125" s="136" t="s">
        <v>329</v>
      </c>
      <c r="L125" s="136"/>
      <c r="M125" s="55" t="s">
        <v>326</v>
      </c>
      <c r="N125" s="136" t="s">
        <v>329</v>
      </c>
      <c r="O125" s="55"/>
      <c r="P125" s="55"/>
      <c r="Q125" s="55" t="s">
        <v>327</v>
      </c>
      <c r="R125" s="136" t="s">
        <v>329</v>
      </c>
      <c r="S125" s="55"/>
      <c r="T125" s="55"/>
      <c r="V125" s="136"/>
      <c r="W125" s="136" t="s">
        <v>319</v>
      </c>
      <c r="X125" s="136"/>
      <c r="Y125" s="136" t="s">
        <v>329</v>
      </c>
      <c r="Z125" s="136"/>
      <c r="AA125" s="136" t="s">
        <v>330</v>
      </c>
      <c r="AB125" s="136" t="s">
        <v>330</v>
      </c>
      <c r="AC125" s="55" t="s">
        <v>321</v>
      </c>
      <c r="AD125" s="55"/>
      <c r="AE125" s="136" t="s">
        <v>329</v>
      </c>
      <c r="AF125" s="136"/>
      <c r="AG125" s="136" t="s">
        <v>330</v>
      </c>
      <c r="AH125" s="136" t="s">
        <v>330</v>
      </c>
      <c r="AI125" s="55"/>
      <c r="AJ125" s="55"/>
      <c r="AK125" s="136" t="s">
        <v>329</v>
      </c>
      <c r="AL125" s="136"/>
      <c r="AM125" s="136" t="s">
        <v>330</v>
      </c>
      <c r="AN125" s="136" t="s">
        <v>330</v>
      </c>
      <c r="AO125" s="55"/>
      <c r="AP125" s="55"/>
      <c r="AQ125" s="136" t="s">
        <v>329</v>
      </c>
      <c r="AR125" s="136"/>
      <c r="AS125" s="136" t="s">
        <v>330</v>
      </c>
      <c r="AT125" s="136" t="s">
        <v>330</v>
      </c>
      <c r="AU125" s="55"/>
      <c r="AV125" s="55"/>
      <c r="AW125" s="136" t="s">
        <v>329</v>
      </c>
      <c r="AX125" s="136"/>
      <c r="AY125" s="136" t="s">
        <v>330</v>
      </c>
      <c r="AZ125" s="136" t="s">
        <v>330</v>
      </c>
      <c r="BA125" s="55"/>
      <c r="BB125" s="55"/>
      <c r="BC125" s="136" t="s">
        <v>329</v>
      </c>
      <c r="BD125" s="136"/>
      <c r="BE125" s="136" t="s">
        <v>330</v>
      </c>
      <c r="BF125" s="136" t="s">
        <v>330</v>
      </c>
      <c r="BG125" s="55"/>
      <c r="BH125" s="55"/>
      <c r="BI125" s="136" t="s">
        <v>329</v>
      </c>
      <c r="BJ125" s="136"/>
      <c r="BK125" s="136" t="s">
        <v>330</v>
      </c>
      <c r="BL125" s="136" t="s">
        <v>330</v>
      </c>
      <c r="BM125" s="55"/>
      <c r="BN125" s="55"/>
      <c r="BO125" s="136" t="s">
        <v>329</v>
      </c>
      <c r="BP125" s="136"/>
      <c r="BQ125" s="136" t="s">
        <v>330</v>
      </c>
      <c r="BR125" s="136" t="s">
        <v>330</v>
      </c>
      <c r="BS125" s="55"/>
      <c r="BT125" s="55"/>
      <c r="BU125" s="136" t="s">
        <v>329</v>
      </c>
      <c r="BV125" s="136"/>
      <c r="BW125" s="136" t="s">
        <v>330</v>
      </c>
      <c r="BX125" s="136" t="s">
        <v>330</v>
      </c>
      <c r="BY125" s="55" t="s">
        <v>325</v>
      </c>
      <c r="BZ125" s="55"/>
      <c r="CA125" s="55"/>
      <c r="CB125" s="136" t="s">
        <v>329</v>
      </c>
      <c r="CC125" s="55" t="s">
        <v>326</v>
      </c>
      <c r="CD125" s="55"/>
      <c r="CE125" s="136" t="s">
        <v>329</v>
      </c>
      <c r="CF125" s="55"/>
      <c r="CG125" s="55" t="s">
        <v>327</v>
      </c>
      <c r="CH125" s="55"/>
      <c r="CI125" s="136" t="s">
        <v>329</v>
      </c>
      <c r="CJ125" s="55"/>
    </row>
    <row r="126" spans="2:88" ht="9.9499999999999993" customHeight="1" x14ac:dyDescent="0.15">
      <c r="B126" s="149"/>
      <c r="V126" s="149"/>
    </row>
    <row r="160" spans="2:22" ht="9.9499999999999993" customHeight="1" x14ac:dyDescent="0.15">
      <c r="B160" s="145"/>
      <c r="V160" s="145"/>
    </row>
    <row r="161" spans="2:22" ht="9.9499999999999993" customHeight="1" x14ac:dyDescent="0.15">
      <c r="B161" s="145"/>
      <c r="V161" s="145"/>
    </row>
    <row r="162" spans="2:22" ht="9.9499999999999993" customHeight="1" x14ac:dyDescent="0.15">
      <c r="B162" s="145"/>
      <c r="V162" s="145"/>
    </row>
  </sheetData>
  <mergeCells count="6">
    <mergeCell ref="K17:K19"/>
    <mergeCell ref="B17:B19"/>
    <mergeCell ref="C17:C19"/>
    <mergeCell ref="D17:E19"/>
    <mergeCell ref="F17:H19"/>
    <mergeCell ref="I17:J19"/>
  </mergeCells>
  <phoneticPr fontId="7"/>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8"/>
  <sheetViews>
    <sheetView workbookViewId="0">
      <selection activeCell="C19" sqref="C19"/>
    </sheetView>
  </sheetViews>
  <sheetFormatPr defaultRowHeight="12" x14ac:dyDescent="0.15"/>
  <cols>
    <col min="1" max="1" width="5.125" style="227" customWidth="1"/>
    <col min="2" max="16384" width="9" style="227"/>
  </cols>
  <sheetData>
    <row r="2" spans="2:3" x14ac:dyDescent="0.15">
      <c r="B2" s="227" t="s">
        <v>401</v>
      </c>
    </row>
    <row r="3" spans="2:3" x14ac:dyDescent="0.15">
      <c r="B3" s="227" t="s">
        <v>402</v>
      </c>
      <c r="C3" s="227" t="s">
        <v>403</v>
      </c>
    </row>
    <row r="4" spans="2:3" x14ac:dyDescent="0.15">
      <c r="B4" s="227" t="s">
        <v>404</v>
      </c>
      <c r="C4" s="227" t="s">
        <v>405</v>
      </c>
    </row>
    <row r="5" spans="2:3" x14ac:dyDescent="0.15">
      <c r="B5" s="227" t="s">
        <v>406</v>
      </c>
      <c r="C5" s="227" t="s">
        <v>407</v>
      </c>
    </row>
    <row r="6" spans="2:3" x14ac:dyDescent="0.15">
      <c r="B6" s="227" t="s">
        <v>408</v>
      </c>
      <c r="C6" s="227" t="s">
        <v>409</v>
      </c>
    </row>
    <row r="7" spans="2:3" x14ac:dyDescent="0.15">
      <c r="C7" s="227" t="s">
        <v>410</v>
      </c>
    </row>
    <row r="8" spans="2:3" x14ac:dyDescent="0.15">
      <c r="B8" s="227" t="s">
        <v>411</v>
      </c>
      <c r="C8" s="227" t="s">
        <v>412</v>
      </c>
    </row>
    <row r="9" spans="2:3" x14ac:dyDescent="0.15">
      <c r="C9" s="227" t="s">
        <v>413</v>
      </c>
    </row>
    <row r="10" spans="2:3" x14ac:dyDescent="0.15">
      <c r="C10" s="227" t="s">
        <v>414</v>
      </c>
    </row>
    <row r="11" spans="2:3" x14ac:dyDescent="0.15">
      <c r="B11" s="227" t="s">
        <v>415</v>
      </c>
      <c r="C11" s="227" t="s">
        <v>416</v>
      </c>
    </row>
    <row r="12" spans="2:3" x14ac:dyDescent="0.15">
      <c r="B12" s="227" t="s">
        <v>417</v>
      </c>
      <c r="C12" s="227" t="s">
        <v>418</v>
      </c>
    </row>
    <row r="13" spans="2:3" x14ac:dyDescent="0.15">
      <c r="B13" s="227" t="s">
        <v>419</v>
      </c>
      <c r="C13" s="227" t="s">
        <v>420</v>
      </c>
    </row>
    <row r="14" spans="2:3" x14ac:dyDescent="0.15">
      <c r="C14" s="227" t="s">
        <v>421</v>
      </c>
    </row>
    <row r="15" spans="2:3" x14ac:dyDescent="0.15">
      <c r="B15" s="227" t="s">
        <v>422</v>
      </c>
      <c r="C15" s="227" t="s">
        <v>423</v>
      </c>
    </row>
    <row r="18" spans="2:2" x14ac:dyDescent="0.15">
      <c r="B18" s="228" t="s">
        <v>424</v>
      </c>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まとめ</vt:lpstr>
      <vt:lpstr>元表</vt:lpstr>
      <vt:lpstr>作業途中</vt:lpstr>
      <vt:lpstr>一廃実調</vt:lpstr>
      <vt:lpstr>月間量回帰式</vt:lpstr>
      <vt:lpstr>維持管理</vt:lpstr>
      <vt:lpstr>事故日</vt:lpstr>
      <vt:lpstr>調査初日</vt:lpstr>
      <vt:lpstr>半Cs134</vt:lpstr>
      <vt:lpstr>半Cs137</vt:lpstr>
      <vt:lpstr>半I131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2019-04-21T12:24:18Z</dcterms:created>
  <dcterms:modified xsi:type="dcterms:W3CDTF">2019-12-17T23:45:06Z</dcterms:modified>
</cp:coreProperties>
</file>