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900" windowWidth="7200" windowHeight="6915"/>
  </bookViews>
  <sheets>
    <sheet name="まとめ" sheetId="1" r:id="rId1"/>
    <sheet name="月間量回帰式" sheetId="5" r:id="rId2"/>
    <sheet name="濃度回帰式" sheetId="6" r:id="rId3"/>
    <sheet name="元表" sheetId="2" r:id="rId4"/>
    <sheet name="作業途中" sheetId="3" r:id="rId5"/>
    <sheet name="一廃実調" sheetId="4" r:id="rId6"/>
  </sheets>
  <externalReferences>
    <externalReference r:id="rId7"/>
  </externalReferences>
  <definedNames>
    <definedName name="Cs134Av">まとめ!$AG$10</definedName>
    <definedName name="Cs137Av">まとめ!$AH$10</definedName>
    <definedName name="h23計">[1]ごみし尿受入量!$Y$20</definedName>
    <definedName name="h24計">[1]ごみし尿受入量!$X$20</definedName>
    <definedName name="h25計">[1]ごみし尿受入量!$W$20</definedName>
    <definedName name="h26計">[1]ごみし尿受入量!$V$20</definedName>
    <definedName name="スラグ生成率">[1]まとめ!$AJ$7</definedName>
    <definedName name="ロス率">[1]まとめ!$X$7</definedName>
    <definedName name="下駄1" localSheetId="2">濃度回帰式!$M$53</definedName>
    <definedName name="下駄1">まとめ!$O$34</definedName>
    <definedName name="下駄2">濃度回帰式!$P$53</definedName>
    <definedName name="灰生成率">[1]まとめ!$AD$7</definedName>
    <definedName name="月">まとめ!$R$7:$R$19</definedName>
    <definedName name="月値割合表">まとめ!$R$7:$S$19</definedName>
    <definedName name="月別割合">まとめ!$R$7:$S$19</definedName>
    <definedName name="採取日1">まとめ!$AE$8</definedName>
    <definedName name="採取日2">まとめ!$AE$9</definedName>
    <definedName name="四y平均">[1]ごみし尿受入量!$U$20</definedName>
    <definedName name="事故日" localSheetId="2">[1]まとめ!$S$15</definedName>
    <definedName name="事故日">まとめ!$R$32</definedName>
    <definedName name="事故日の濃度1" localSheetId="2">濃度回帰式!$M$54</definedName>
    <definedName name="事故日の濃度1">まとめ!$O$35</definedName>
    <definedName name="事故日の濃度2">濃度回帰式!$P$54</definedName>
    <definedName name="主灰発生率">まとめ!$Z$18</definedName>
    <definedName name="除数11" localSheetId="2">濃度回帰式!$M$52</definedName>
    <definedName name="除数11">まとめ!$O$33</definedName>
    <definedName name="除数12">濃度回帰式!$M$55</definedName>
    <definedName name="除数21">濃度回帰式!$P$52</definedName>
    <definedName name="除数22">濃度回帰式!$P$55</definedName>
    <definedName name="焼却_t_年">まとめ!$X$7:$X$15</definedName>
    <definedName name="調査初日" localSheetId="2">[1]まとめ!$S$16</definedName>
    <definedName name="調査初日">まとめ!$R$33</definedName>
    <definedName name="調査初日134">[1]まとめ!$AQ$16</definedName>
    <definedName name="調査初日137">[1]まとめ!$AR$16</definedName>
    <definedName name="年度">まとめ!$W$7:$W$15</definedName>
    <definedName name="年度別焼却量">まとめ!$W$7:$X$15</definedName>
    <definedName name="濃度比">まとめ!$AB$13</definedName>
    <definedName name="半1" localSheetId="2">濃度回帰式!$M$51</definedName>
    <definedName name="半1">まとめ!$O$32</definedName>
    <definedName name="半2">濃度回帰式!$P$51</definedName>
    <definedName name="半Cs134" localSheetId="2">[1]まとめ!$AM$7</definedName>
    <definedName name="半Cs134">まとめ!$AF$28</definedName>
    <definedName name="半Cs137" localSheetId="2">[1]まとめ!$AN$7</definedName>
    <definedName name="半Cs137">まとめ!$AG$28</definedName>
    <definedName name="半I131" localSheetId="2">[1]まとめ!$AL$7</definedName>
    <definedName name="半I131">まとめ!$AE$28</definedName>
    <definedName name="飛灰発生率">まとめ!$Z$17</definedName>
  </definedNames>
  <calcPr calcId="145621" refMode="R1C1"/>
</workbook>
</file>

<file path=xl/calcChain.xml><?xml version="1.0" encoding="utf-8"?>
<calcChain xmlns="http://schemas.openxmlformats.org/spreadsheetml/2006/main">
  <c r="AP50" i="1" l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36" i="1"/>
  <c r="Y34" i="1" l="1"/>
  <c r="Z34" i="1" s="1"/>
  <c r="Y35" i="1"/>
  <c r="AB35" i="1" s="1"/>
  <c r="Y36" i="1"/>
  <c r="AB36" i="1" s="1"/>
  <c r="Y37" i="1"/>
  <c r="AB37" i="1" s="1"/>
  <c r="Y38" i="1"/>
  <c r="AB38" i="1" s="1"/>
  <c r="Y39" i="1"/>
  <c r="AB39" i="1" s="1"/>
  <c r="Y40" i="1"/>
  <c r="AB40" i="1" s="1"/>
  <c r="Y41" i="1"/>
  <c r="AB41" i="1" s="1"/>
  <c r="Y42" i="1"/>
  <c r="AB42" i="1" s="1"/>
  <c r="Y43" i="1"/>
  <c r="AB43" i="1" s="1"/>
  <c r="Y44" i="1"/>
  <c r="AB44" i="1" s="1"/>
  <c r="Y45" i="1"/>
  <c r="AB45" i="1" s="1"/>
  <c r="Y46" i="1"/>
  <c r="AB46" i="1" s="1"/>
  <c r="Y47" i="1"/>
  <c r="AB47" i="1" s="1"/>
  <c r="Y48" i="1"/>
  <c r="AB48" i="1" s="1"/>
  <c r="Y49" i="1"/>
  <c r="AB49" i="1" s="1"/>
  <c r="Y50" i="1"/>
  <c r="AB50" i="1" s="1"/>
  <c r="Y51" i="1"/>
  <c r="AB51" i="1" s="1"/>
  <c r="Y52" i="1"/>
  <c r="AB52" i="1" s="1"/>
  <c r="Y53" i="1"/>
  <c r="AB53" i="1" s="1"/>
  <c r="Y54" i="1"/>
  <c r="AB54" i="1" s="1"/>
  <c r="Y55" i="1"/>
  <c r="AB55" i="1" s="1"/>
  <c r="Y56" i="1"/>
  <c r="AB56" i="1" s="1"/>
  <c r="Y57" i="1"/>
  <c r="AB57" i="1" s="1"/>
  <c r="Y58" i="1"/>
  <c r="AB58" i="1" s="1"/>
  <c r="Y59" i="1"/>
  <c r="AB59" i="1" s="1"/>
  <c r="Y60" i="1"/>
  <c r="AB60" i="1" s="1"/>
  <c r="Y61" i="1"/>
  <c r="AB61" i="1" s="1"/>
  <c r="Y62" i="1"/>
  <c r="AB62" i="1" s="1"/>
  <c r="Y63" i="1"/>
  <c r="AB63" i="1" s="1"/>
  <c r="Y64" i="1"/>
  <c r="AB64" i="1" s="1"/>
  <c r="Y65" i="1"/>
  <c r="AB65" i="1" s="1"/>
  <c r="Y66" i="1"/>
  <c r="AB66" i="1" s="1"/>
  <c r="Y67" i="1"/>
  <c r="AB67" i="1" s="1"/>
  <c r="Y68" i="1"/>
  <c r="AB68" i="1" s="1"/>
  <c r="Y69" i="1"/>
  <c r="AB69" i="1" s="1"/>
  <c r="Y70" i="1"/>
  <c r="AB70" i="1" s="1"/>
  <c r="Y71" i="1"/>
  <c r="AB71" i="1" s="1"/>
  <c r="Y72" i="1"/>
  <c r="AB72" i="1" s="1"/>
  <c r="Y73" i="1"/>
  <c r="AB73" i="1" s="1"/>
  <c r="Y74" i="1"/>
  <c r="AB74" i="1" s="1"/>
  <c r="Y75" i="1"/>
  <c r="AB75" i="1" s="1"/>
  <c r="Y76" i="1"/>
  <c r="AB76" i="1" s="1"/>
  <c r="Y77" i="1"/>
  <c r="AB77" i="1" s="1"/>
  <c r="Y78" i="1"/>
  <c r="AB78" i="1" s="1"/>
  <c r="Y79" i="1"/>
  <c r="AB79" i="1" s="1"/>
  <c r="Y80" i="1"/>
  <c r="AB80" i="1" s="1"/>
  <c r="Y81" i="1"/>
  <c r="AB81" i="1" s="1"/>
  <c r="Y82" i="1"/>
  <c r="AB82" i="1" s="1"/>
  <c r="Y83" i="1"/>
  <c r="AB83" i="1" s="1"/>
  <c r="Y84" i="1"/>
  <c r="AB84" i="1" s="1"/>
  <c r="Y85" i="1"/>
  <c r="AB85" i="1" s="1"/>
  <c r="Y86" i="1"/>
  <c r="AB86" i="1" s="1"/>
  <c r="Y87" i="1"/>
  <c r="AB87" i="1" s="1"/>
  <c r="Y88" i="1"/>
  <c r="AB88" i="1" s="1"/>
  <c r="Y89" i="1"/>
  <c r="AB89" i="1" s="1"/>
  <c r="Y90" i="1"/>
  <c r="AB90" i="1" s="1"/>
  <c r="Y91" i="1"/>
  <c r="AB91" i="1" s="1"/>
  <c r="Y92" i="1"/>
  <c r="AB92" i="1" s="1"/>
  <c r="Y93" i="1"/>
  <c r="AB93" i="1" s="1"/>
  <c r="Y94" i="1"/>
  <c r="AB94" i="1" s="1"/>
  <c r="Y95" i="1"/>
  <c r="AB95" i="1" s="1"/>
  <c r="Y96" i="1"/>
  <c r="AB96" i="1" s="1"/>
  <c r="Y97" i="1"/>
  <c r="AB97" i="1" s="1"/>
  <c r="Y98" i="1"/>
  <c r="AB98" i="1" s="1"/>
  <c r="Y99" i="1"/>
  <c r="AB99" i="1" s="1"/>
  <c r="Y100" i="1"/>
  <c r="AB100" i="1" s="1"/>
  <c r="Y101" i="1"/>
  <c r="AB101" i="1" s="1"/>
  <c r="Y102" i="1"/>
  <c r="AB102" i="1" s="1"/>
  <c r="Y103" i="1"/>
  <c r="AB103" i="1" s="1"/>
  <c r="Y104" i="1"/>
  <c r="AB104" i="1" s="1"/>
  <c r="Y105" i="1"/>
  <c r="AB105" i="1" s="1"/>
  <c r="Y106" i="1"/>
  <c r="AB106" i="1" s="1"/>
  <c r="Y107" i="1"/>
  <c r="AB107" i="1" s="1"/>
  <c r="Y108" i="1"/>
  <c r="AB108" i="1" s="1"/>
  <c r="Y109" i="1"/>
  <c r="AB109" i="1" s="1"/>
  <c r="Y110" i="1"/>
  <c r="AB110" i="1" s="1"/>
  <c r="Y111" i="1"/>
  <c r="AB111" i="1" s="1"/>
  <c r="Y112" i="1"/>
  <c r="AB112" i="1" s="1"/>
  <c r="Y113" i="1"/>
  <c r="AB113" i="1" s="1"/>
  <c r="Y114" i="1"/>
  <c r="AB114" i="1" s="1"/>
  <c r="Y115" i="1"/>
  <c r="AB115" i="1" s="1"/>
  <c r="Y116" i="1"/>
  <c r="AB116" i="1" s="1"/>
  <c r="Y117" i="1"/>
  <c r="AB117" i="1" s="1"/>
  <c r="Y118" i="1"/>
  <c r="AB118" i="1" s="1"/>
  <c r="Y119" i="1"/>
  <c r="AB119" i="1" s="1"/>
  <c r="Y33" i="1"/>
  <c r="AB33" i="1" s="1"/>
  <c r="Z35" i="1" l="1"/>
  <c r="Z37" i="1"/>
  <c r="Z39" i="1"/>
  <c r="Z41" i="1"/>
  <c r="Z43" i="1"/>
  <c r="Z45" i="1"/>
  <c r="Z47" i="1"/>
  <c r="Z49" i="1"/>
  <c r="Z51" i="1"/>
  <c r="Z53" i="1"/>
  <c r="Z55" i="1"/>
  <c r="Z57" i="1"/>
  <c r="Z59" i="1"/>
  <c r="Z61" i="1"/>
  <c r="Z63" i="1"/>
  <c r="Z65" i="1"/>
  <c r="Z67" i="1"/>
  <c r="Z69" i="1"/>
  <c r="Z71" i="1"/>
  <c r="Z73" i="1"/>
  <c r="Z75" i="1"/>
  <c r="Z77" i="1"/>
  <c r="Z79" i="1"/>
  <c r="Z81" i="1"/>
  <c r="Z83" i="1"/>
  <c r="Z85" i="1"/>
  <c r="Z87" i="1"/>
  <c r="Z89" i="1"/>
  <c r="Z91" i="1"/>
  <c r="Z93" i="1"/>
  <c r="Z95" i="1"/>
  <c r="Z97" i="1"/>
  <c r="Z99" i="1"/>
  <c r="Z101" i="1"/>
  <c r="Z103" i="1"/>
  <c r="Z105" i="1"/>
  <c r="Z107" i="1"/>
  <c r="Z109" i="1"/>
  <c r="Z111" i="1"/>
  <c r="Z113" i="1"/>
  <c r="Z115" i="1"/>
  <c r="Z117" i="1"/>
  <c r="Z119" i="1"/>
  <c r="Z36" i="1"/>
  <c r="Z38" i="1"/>
  <c r="Z40" i="1"/>
  <c r="Z42" i="1"/>
  <c r="Z44" i="1"/>
  <c r="Z46" i="1"/>
  <c r="Z48" i="1"/>
  <c r="Z50" i="1"/>
  <c r="Z52" i="1"/>
  <c r="Z54" i="1"/>
  <c r="Z56" i="1"/>
  <c r="Z58" i="1"/>
  <c r="Z60" i="1"/>
  <c r="Z62" i="1"/>
  <c r="Z64" i="1"/>
  <c r="Z66" i="1"/>
  <c r="Z68" i="1"/>
  <c r="Z70" i="1"/>
  <c r="Z72" i="1"/>
  <c r="Z74" i="1"/>
  <c r="Z76" i="1"/>
  <c r="Z78" i="1"/>
  <c r="Z80" i="1"/>
  <c r="Z82" i="1"/>
  <c r="Z84" i="1"/>
  <c r="Z86" i="1"/>
  <c r="Z88" i="1"/>
  <c r="Z90" i="1"/>
  <c r="Z92" i="1"/>
  <c r="Z94" i="1"/>
  <c r="Z96" i="1"/>
  <c r="Z98" i="1"/>
  <c r="Z100" i="1"/>
  <c r="Z102" i="1"/>
  <c r="Z104" i="1"/>
  <c r="Z106" i="1"/>
  <c r="Z108" i="1"/>
  <c r="Z110" i="1"/>
  <c r="Z112" i="1"/>
  <c r="Z114" i="1"/>
  <c r="Z116" i="1"/>
  <c r="Z118" i="1"/>
  <c r="AB34" i="1"/>
  <c r="Z33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T106" i="1"/>
  <c r="S106" i="1"/>
  <c r="V216" i="4" l="1"/>
  <c r="P216" i="4"/>
  <c r="Q216" i="4" s="1"/>
  <c r="H216" i="4"/>
  <c r="S216" i="4" l="1"/>
  <c r="X148" i="6" l="1"/>
  <c r="Y148" i="6" s="1"/>
  <c r="U148" i="6"/>
  <c r="V148" i="6" s="1"/>
  <c r="Q148" i="6"/>
  <c r="R148" i="6" s="1"/>
  <c r="N148" i="6"/>
  <c r="O148" i="6" s="1"/>
  <c r="K148" i="6"/>
  <c r="H148" i="6"/>
  <c r="Y147" i="6"/>
  <c r="X147" i="6"/>
  <c r="V147" i="6"/>
  <c r="U147" i="6"/>
  <c r="Q147" i="6"/>
  <c r="N147" i="6"/>
  <c r="K147" i="6"/>
  <c r="H147" i="6"/>
  <c r="X146" i="6"/>
  <c r="Y146" i="6" s="1"/>
  <c r="U146" i="6"/>
  <c r="V146" i="6" s="1"/>
  <c r="Q146" i="6"/>
  <c r="R146" i="6" s="1"/>
  <c r="N146" i="6"/>
  <c r="O146" i="6" s="1"/>
  <c r="K146" i="6"/>
  <c r="H146" i="6"/>
  <c r="Y145" i="6"/>
  <c r="X145" i="6"/>
  <c r="U145" i="6"/>
  <c r="V145" i="6" s="1"/>
  <c r="Q145" i="6"/>
  <c r="N145" i="6"/>
  <c r="K145" i="6"/>
  <c r="H145" i="6"/>
  <c r="X144" i="6"/>
  <c r="Y144" i="6" s="1"/>
  <c r="U144" i="6"/>
  <c r="V144" i="6" s="1"/>
  <c r="Q144" i="6"/>
  <c r="R144" i="6" s="1"/>
  <c r="N144" i="6"/>
  <c r="O144" i="6"/>
  <c r="K144" i="6"/>
  <c r="H144" i="6"/>
  <c r="X143" i="6"/>
  <c r="Y143" i="6" s="1"/>
  <c r="U143" i="6"/>
  <c r="V143" i="6" s="1"/>
  <c r="Q143" i="6"/>
  <c r="N143" i="6"/>
  <c r="K143" i="6"/>
  <c r="H143" i="6"/>
  <c r="X142" i="6"/>
  <c r="Y142" i="6" s="1"/>
  <c r="U142" i="6"/>
  <c r="V142" i="6" s="1"/>
  <c r="Q142" i="6"/>
  <c r="R142" i="6" s="1"/>
  <c r="N142" i="6"/>
  <c r="O142" i="6"/>
  <c r="K142" i="6"/>
  <c r="H142" i="6"/>
  <c r="X141" i="6"/>
  <c r="Y141" i="6" s="1"/>
  <c r="U141" i="6"/>
  <c r="V141" i="6" s="1"/>
  <c r="Q141" i="6"/>
  <c r="N141" i="6"/>
  <c r="K141" i="6"/>
  <c r="H141" i="6"/>
  <c r="X140" i="6"/>
  <c r="Y140" i="6" s="1"/>
  <c r="U140" i="6"/>
  <c r="V140" i="6" s="1"/>
  <c r="Q140" i="6"/>
  <c r="R140" i="6" s="1"/>
  <c r="N140" i="6"/>
  <c r="O140" i="6" s="1"/>
  <c r="K140" i="6"/>
  <c r="H140" i="6"/>
  <c r="Y139" i="6"/>
  <c r="X139" i="6"/>
  <c r="V139" i="6"/>
  <c r="U139" i="6"/>
  <c r="Q139" i="6"/>
  <c r="N139" i="6"/>
  <c r="K139" i="6"/>
  <c r="H139" i="6"/>
  <c r="X138" i="6"/>
  <c r="Y138" i="6" s="1"/>
  <c r="U138" i="6"/>
  <c r="V138" i="6" s="1"/>
  <c r="Q138" i="6"/>
  <c r="R138" i="6" s="1"/>
  <c r="N138" i="6"/>
  <c r="O138" i="6" s="1"/>
  <c r="K138" i="6"/>
  <c r="H138" i="6"/>
  <c r="Y137" i="6"/>
  <c r="X137" i="6"/>
  <c r="U137" i="6"/>
  <c r="V137" i="6" s="1"/>
  <c r="Q137" i="6"/>
  <c r="N137" i="6"/>
  <c r="K137" i="6"/>
  <c r="H137" i="6"/>
  <c r="X136" i="6"/>
  <c r="Y136" i="6" s="1"/>
  <c r="U136" i="6"/>
  <c r="V136" i="6" s="1"/>
  <c r="Q136" i="6"/>
  <c r="R136" i="6" s="1"/>
  <c r="N136" i="6"/>
  <c r="O136" i="6"/>
  <c r="K136" i="6"/>
  <c r="H136" i="6"/>
  <c r="X135" i="6"/>
  <c r="Y135" i="6" s="1"/>
  <c r="U135" i="6"/>
  <c r="V135" i="6" s="1"/>
  <c r="Q135" i="6"/>
  <c r="N135" i="6"/>
  <c r="K135" i="6"/>
  <c r="H135" i="6"/>
  <c r="X134" i="6"/>
  <c r="Y134" i="6" s="1"/>
  <c r="U134" i="6"/>
  <c r="V134" i="6" s="1"/>
  <c r="Q134" i="6"/>
  <c r="R134" i="6" s="1"/>
  <c r="N134" i="6"/>
  <c r="O134" i="6" s="1"/>
  <c r="K134" i="6"/>
  <c r="H134" i="6"/>
  <c r="X133" i="6"/>
  <c r="Y133" i="6" s="1"/>
  <c r="U133" i="6"/>
  <c r="V133" i="6" s="1"/>
  <c r="Q133" i="6"/>
  <c r="N133" i="6"/>
  <c r="K133" i="6"/>
  <c r="H133" i="6"/>
  <c r="X132" i="6"/>
  <c r="Y132" i="6" s="1"/>
  <c r="U132" i="6"/>
  <c r="V132" i="6" s="1"/>
  <c r="Q132" i="6"/>
  <c r="R132" i="6" s="1"/>
  <c r="N132" i="6"/>
  <c r="O132" i="6" s="1"/>
  <c r="K132" i="6"/>
  <c r="H132" i="6"/>
  <c r="Y131" i="6"/>
  <c r="X131" i="6"/>
  <c r="V131" i="6"/>
  <c r="U131" i="6"/>
  <c r="Q131" i="6"/>
  <c r="N131" i="6"/>
  <c r="K131" i="6"/>
  <c r="H131" i="6"/>
  <c r="X130" i="6"/>
  <c r="Y130" i="6" s="1"/>
  <c r="U130" i="6"/>
  <c r="V130" i="6" s="1"/>
  <c r="Q130" i="6"/>
  <c r="R130" i="6" s="1"/>
  <c r="N130" i="6"/>
  <c r="O130" i="6" s="1"/>
  <c r="K130" i="6"/>
  <c r="H130" i="6"/>
  <c r="Y129" i="6"/>
  <c r="X129" i="6"/>
  <c r="U129" i="6"/>
  <c r="V129" i="6" s="1"/>
  <c r="Q129" i="6"/>
  <c r="N129" i="6"/>
  <c r="K129" i="6"/>
  <c r="H129" i="6"/>
  <c r="X128" i="6"/>
  <c r="Y128" i="6" s="1"/>
  <c r="U128" i="6"/>
  <c r="V128" i="6" s="1"/>
  <c r="Q128" i="6"/>
  <c r="R128" i="6" s="1"/>
  <c r="N128" i="6"/>
  <c r="O128" i="6" s="1"/>
  <c r="K128" i="6"/>
  <c r="H128" i="6"/>
  <c r="X127" i="6"/>
  <c r="Y127" i="6" s="1"/>
  <c r="U127" i="6"/>
  <c r="V127" i="6" s="1"/>
  <c r="Q127" i="6"/>
  <c r="N127" i="6"/>
  <c r="K127" i="6"/>
  <c r="H127" i="6"/>
  <c r="X126" i="6"/>
  <c r="Y126" i="6" s="1"/>
  <c r="U126" i="6"/>
  <c r="V126" i="6" s="1"/>
  <c r="Q126" i="6"/>
  <c r="R126" i="6" s="1"/>
  <c r="N126" i="6"/>
  <c r="O126" i="6" s="1"/>
  <c r="K126" i="6"/>
  <c r="H126" i="6"/>
  <c r="X125" i="6"/>
  <c r="Y125" i="6" s="1"/>
  <c r="U125" i="6"/>
  <c r="V125" i="6" s="1"/>
  <c r="Q125" i="6"/>
  <c r="N125" i="6"/>
  <c r="K125" i="6"/>
  <c r="H125" i="6"/>
  <c r="X124" i="6"/>
  <c r="Y124" i="6" s="1"/>
  <c r="U124" i="6"/>
  <c r="V124" i="6" s="1"/>
  <c r="Q124" i="6"/>
  <c r="R124" i="6" s="1"/>
  <c r="N124" i="6"/>
  <c r="O124" i="6" s="1"/>
  <c r="K124" i="6"/>
  <c r="H124" i="6"/>
  <c r="X123" i="6"/>
  <c r="Y123" i="6" s="1"/>
  <c r="U123" i="6"/>
  <c r="V123" i="6" s="1"/>
  <c r="Q123" i="6"/>
  <c r="N123" i="6"/>
  <c r="K123" i="6"/>
  <c r="H123" i="6"/>
  <c r="X122" i="6"/>
  <c r="Y122" i="6" s="1"/>
  <c r="U122" i="6"/>
  <c r="V122" i="6" s="1"/>
  <c r="Q122" i="6"/>
  <c r="R122" i="6" s="1"/>
  <c r="N122" i="6"/>
  <c r="O122" i="6" s="1"/>
  <c r="K122" i="6"/>
  <c r="H122" i="6"/>
  <c r="X121" i="6"/>
  <c r="Y121" i="6" s="1"/>
  <c r="U121" i="6"/>
  <c r="V121" i="6" s="1"/>
  <c r="Q121" i="6"/>
  <c r="N121" i="6"/>
  <c r="K121" i="6"/>
  <c r="H121" i="6"/>
  <c r="X120" i="6"/>
  <c r="Y120" i="6" s="1"/>
  <c r="U120" i="6"/>
  <c r="V120" i="6" s="1"/>
  <c r="Q120" i="6"/>
  <c r="N120" i="6"/>
  <c r="K120" i="6"/>
  <c r="H120" i="6"/>
  <c r="X119" i="6"/>
  <c r="Y119" i="6" s="1"/>
  <c r="U119" i="6"/>
  <c r="V119" i="6" s="1"/>
  <c r="Q119" i="6"/>
  <c r="R119" i="6" s="1"/>
  <c r="N119" i="6"/>
  <c r="O119" i="6" s="1"/>
  <c r="K119" i="6"/>
  <c r="H119" i="6"/>
  <c r="X118" i="6"/>
  <c r="Y118" i="6" s="1"/>
  <c r="U118" i="6"/>
  <c r="V118" i="6" s="1"/>
  <c r="Q118" i="6"/>
  <c r="N118" i="6"/>
  <c r="K118" i="6"/>
  <c r="H118" i="6"/>
  <c r="X117" i="6"/>
  <c r="Y117" i="6" s="1"/>
  <c r="U117" i="6"/>
  <c r="V117" i="6" s="1"/>
  <c r="Q117" i="6"/>
  <c r="N117" i="6"/>
  <c r="K117" i="6"/>
  <c r="H117" i="6"/>
  <c r="X116" i="6"/>
  <c r="Y116" i="6" s="1"/>
  <c r="U116" i="6"/>
  <c r="V116" i="6" s="1"/>
  <c r="Q116" i="6"/>
  <c r="N116" i="6"/>
  <c r="K116" i="6"/>
  <c r="H116" i="6"/>
  <c r="X115" i="6"/>
  <c r="Y115" i="6" s="1"/>
  <c r="U115" i="6"/>
  <c r="V115" i="6" s="1"/>
  <c r="Q115" i="6"/>
  <c r="N115" i="6"/>
  <c r="K115" i="6"/>
  <c r="H115" i="6"/>
  <c r="X114" i="6"/>
  <c r="Y114" i="6" s="1"/>
  <c r="U114" i="6"/>
  <c r="V114" i="6" s="1"/>
  <c r="Q114" i="6"/>
  <c r="N114" i="6"/>
  <c r="K114" i="6"/>
  <c r="H114" i="6"/>
  <c r="X113" i="6"/>
  <c r="Y113" i="6" s="1"/>
  <c r="U113" i="6"/>
  <c r="V113" i="6" s="1"/>
  <c r="Q113" i="6"/>
  <c r="N113" i="6"/>
  <c r="K113" i="6"/>
  <c r="H113" i="6"/>
  <c r="X112" i="6"/>
  <c r="Y112" i="6" s="1"/>
  <c r="U112" i="6"/>
  <c r="V112" i="6" s="1"/>
  <c r="Q112" i="6"/>
  <c r="N112" i="6"/>
  <c r="K112" i="6"/>
  <c r="H112" i="6"/>
  <c r="X111" i="6"/>
  <c r="Y111" i="6" s="1"/>
  <c r="U111" i="6"/>
  <c r="V111" i="6" s="1"/>
  <c r="Q111" i="6"/>
  <c r="N111" i="6"/>
  <c r="K111" i="6"/>
  <c r="H111" i="6"/>
  <c r="X110" i="6"/>
  <c r="Y110" i="6" s="1"/>
  <c r="U110" i="6"/>
  <c r="V110" i="6" s="1"/>
  <c r="Q110" i="6"/>
  <c r="N110" i="6"/>
  <c r="K110" i="6"/>
  <c r="H110" i="6"/>
  <c r="X109" i="6"/>
  <c r="Y109" i="6" s="1"/>
  <c r="U109" i="6"/>
  <c r="V109" i="6" s="1"/>
  <c r="Q109" i="6"/>
  <c r="N109" i="6"/>
  <c r="K109" i="6"/>
  <c r="H109" i="6"/>
  <c r="X108" i="6"/>
  <c r="Y108" i="6" s="1"/>
  <c r="U108" i="6"/>
  <c r="V108" i="6" s="1"/>
  <c r="Q108" i="6"/>
  <c r="N108" i="6"/>
  <c r="K108" i="6"/>
  <c r="H108" i="6"/>
  <c r="X107" i="6"/>
  <c r="Y107" i="6" s="1"/>
  <c r="U107" i="6"/>
  <c r="V107" i="6" s="1"/>
  <c r="Q107" i="6"/>
  <c r="R107" i="6" s="1"/>
  <c r="N107" i="6"/>
  <c r="O107" i="6" s="1"/>
  <c r="K107" i="6"/>
  <c r="H107" i="6"/>
  <c r="X106" i="6"/>
  <c r="Y106" i="6" s="1"/>
  <c r="U106" i="6"/>
  <c r="V106" i="6" s="1"/>
  <c r="Q106" i="6"/>
  <c r="N106" i="6"/>
  <c r="K106" i="6"/>
  <c r="H106" i="6"/>
  <c r="X105" i="6"/>
  <c r="Y105" i="6" s="1"/>
  <c r="U105" i="6"/>
  <c r="V105" i="6" s="1"/>
  <c r="Q105" i="6"/>
  <c r="N105" i="6"/>
  <c r="K105" i="6"/>
  <c r="H105" i="6"/>
  <c r="X104" i="6"/>
  <c r="Y104" i="6" s="1"/>
  <c r="U104" i="6"/>
  <c r="V104" i="6" s="1"/>
  <c r="Q104" i="6"/>
  <c r="N104" i="6"/>
  <c r="K104" i="6"/>
  <c r="H104" i="6"/>
  <c r="X103" i="6"/>
  <c r="Y103" i="6" s="1"/>
  <c r="U103" i="6"/>
  <c r="V103" i="6" s="1"/>
  <c r="Q103" i="6"/>
  <c r="R103" i="6" s="1"/>
  <c r="N103" i="6"/>
  <c r="O103" i="6" s="1"/>
  <c r="K103" i="6"/>
  <c r="H103" i="6"/>
  <c r="Y102" i="6"/>
  <c r="X102" i="6"/>
  <c r="V102" i="6"/>
  <c r="U102" i="6"/>
  <c r="Q102" i="6"/>
  <c r="N102" i="6"/>
  <c r="K102" i="6"/>
  <c r="H102" i="6"/>
  <c r="X101" i="6"/>
  <c r="Y101" i="6" s="1"/>
  <c r="U101" i="6"/>
  <c r="V101" i="6" s="1"/>
  <c r="Q101" i="6"/>
  <c r="N101" i="6"/>
  <c r="K101" i="6"/>
  <c r="H101" i="6"/>
  <c r="X100" i="6"/>
  <c r="Y100" i="6" s="1"/>
  <c r="U100" i="6"/>
  <c r="V100" i="6" s="1"/>
  <c r="Q100" i="6"/>
  <c r="N100" i="6"/>
  <c r="K100" i="6"/>
  <c r="H100" i="6"/>
  <c r="X99" i="6"/>
  <c r="Y99" i="6" s="1"/>
  <c r="U99" i="6"/>
  <c r="V99" i="6" s="1"/>
  <c r="Q99" i="6"/>
  <c r="N99" i="6"/>
  <c r="K99" i="6"/>
  <c r="H99" i="6"/>
  <c r="X98" i="6"/>
  <c r="Y98" i="6" s="1"/>
  <c r="U98" i="6"/>
  <c r="V98" i="6" s="1"/>
  <c r="Q98" i="6"/>
  <c r="N98" i="6"/>
  <c r="K98" i="6"/>
  <c r="H98" i="6"/>
  <c r="X97" i="6"/>
  <c r="Y97" i="6" s="1"/>
  <c r="U97" i="6"/>
  <c r="V97" i="6" s="1"/>
  <c r="Q97" i="6"/>
  <c r="N97" i="6"/>
  <c r="K97" i="6"/>
  <c r="H97" i="6"/>
  <c r="X96" i="6"/>
  <c r="Y96" i="6" s="1"/>
  <c r="U96" i="6"/>
  <c r="V96" i="6" s="1"/>
  <c r="Q96" i="6"/>
  <c r="N96" i="6"/>
  <c r="K96" i="6"/>
  <c r="H96" i="6"/>
  <c r="X95" i="6"/>
  <c r="Y95" i="6" s="1"/>
  <c r="U95" i="6"/>
  <c r="V95" i="6" s="1"/>
  <c r="Q95" i="6"/>
  <c r="R95" i="6" s="1"/>
  <c r="N95" i="6"/>
  <c r="O95" i="6" s="1"/>
  <c r="K95" i="6"/>
  <c r="H95" i="6"/>
  <c r="Y94" i="6"/>
  <c r="X94" i="6"/>
  <c r="V94" i="6"/>
  <c r="U94" i="6"/>
  <c r="Q94" i="6"/>
  <c r="N94" i="6"/>
  <c r="K94" i="6"/>
  <c r="H94" i="6"/>
  <c r="X93" i="6"/>
  <c r="Y93" i="6" s="1"/>
  <c r="U93" i="6"/>
  <c r="V93" i="6" s="1"/>
  <c r="Q93" i="6"/>
  <c r="N93" i="6"/>
  <c r="K93" i="6"/>
  <c r="H93" i="6"/>
  <c r="X92" i="6"/>
  <c r="Y92" i="6" s="1"/>
  <c r="U92" i="6"/>
  <c r="V92" i="6" s="1"/>
  <c r="Q92" i="6"/>
  <c r="N92" i="6"/>
  <c r="K92" i="6"/>
  <c r="H92" i="6"/>
  <c r="X91" i="6"/>
  <c r="Y91" i="6" s="1"/>
  <c r="U91" i="6"/>
  <c r="V91" i="6" s="1"/>
  <c r="Q91" i="6"/>
  <c r="N91" i="6"/>
  <c r="K91" i="6"/>
  <c r="H91" i="6"/>
  <c r="X90" i="6"/>
  <c r="Y90" i="6" s="1"/>
  <c r="U90" i="6"/>
  <c r="V90" i="6" s="1"/>
  <c r="Q90" i="6"/>
  <c r="N90" i="6"/>
  <c r="K90" i="6"/>
  <c r="H90" i="6"/>
  <c r="X89" i="6"/>
  <c r="Y89" i="6" s="1"/>
  <c r="U89" i="6"/>
  <c r="V89" i="6" s="1"/>
  <c r="Q89" i="6"/>
  <c r="N89" i="6"/>
  <c r="K89" i="6"/>
  <c r="H89" i="6"/>
  <c r="X88" i="6"/>
  <c r="Y88" i="6" s="1"/>
  <c r="U88" i="6"/>
  <c r="V88" i="6" s="1"/>
  <c r="Q88" i="6"/>
  <c r="N88" i="6"/>
  <c r="K88" i="6"/>
  <c r="H88" i="6"/>
  <c r="X87" i="6"/>
  <c r="Y87" i="6" s="1"/>
  <c r="U87" i="6"/>
  <c r="V87" i="6" s="1"/>
  <c r="Q87" i="6"/>
  <c r="R87" i="6" s="1"/>
  <c r="N87" i="6"/>
  <c r="O87" i="6" s="1"/>
  <c r="K87" i="6"/>
  <c r="H87" i="6"/>
  <c r="Y86" i="6"/>
  <c r="X86" i="6"/>
  <c r="V86" i="6"/>
  <c r="U86" i="6"/>
  <c r="Q86" i="6"/>
  <c r="N86" i="6"/>
  <c r="K86" i="6"/>
  <c r="H86" i="6"/>
  <c r="X85" i="6"/>
  <c r="Y85" i="6" s="1"/>
  <c r="U85" i="6"/>
  <c r="V85" i="6" s="1"/>
  <c r="Q85" i="6"/>
  <c r="N85" i="6"/>
  <c r="K85" i="6"/>
  <c r="H85" i="6"/>
  <c r="X84" i="6"/>
  <c r="Y84" i="6" s="1"/>
  <c r="U84" i="6"/>
  <c r="V84" i="6" s="1"/>
  <c r="Q84" i="6"/>
  <c r="N84" i="6"/>
  <c r="K84" i="6"/>
  <c r="H84" i="6"/>
  <c r="X83" i="6"/>
  <c r="Y83" i="6" s="1"/>
  <c r="U83" i="6"/>
  <c r="V83" i="6" s="1"/>
  <c r="Q83" i="6"/>
  <c r="N83" i="6"/>
  <c r="K83" i="6"/>
  <c r="H83" i="6"/>
  <c r="X82" i="6"/>
  <c r="Y82" i="6" s="1"/>
  <c r="U82" i="6"/>
  <c r="V82" i="6" s="1"/>
  <c r="Q82" i="6"/>
  <c r="N82" i="6"/>
  <c r="K82" i="6"/>
  <c r="H82" i="6"/>
  <c r="X81" i="6"/>
  <c r="Y81" i="6" s="1"/>
  <c r="U81" i="6"/>
  <c r="V81" i="6" s="1"/>
  <c r="Q81" i="6"/>
  <c r="N81" i="6"/>
  <c r="K81" i="6"/>
  <c r="H81" i="6"/>
  <c r="X80" i="6"/>
  <c r="Y80" i="6" s="1"/>
  <c r="U80" i="6"/>
  <c r="V80" i="6" s="1"/>
  <c r="Q80" i="6"/>
  <c r="N80" i="6"/>
  <c r="K80" i="6"/>
  <c r="H80" i="6"/>
  <c r="X79" i="6"/>
  <c r="Y79" i="6" s="1"/>
  <c r="U79" i="6"/>
  <c r="V79" i="6" s="1"/>
  <c r="Q79" i="6"/>
  <c r="N79" i="6"/>
  <c r="O79" i="6"/>
  <c r="K79" i="6"/>
  <c r="H79" i="6"/>
  <c r="X78" i="6"/>
  <c r="Y78" i="6" s="1"/>
  <c r="U78" i="6"/>
  <c r="V78" i="6" s="1"/>
  <c r="Q78" i="6"/>
  <c r="N78" i="6"/>
  <c r="K78" i="6"/>
  <c r="H78" i="6"/>
  <c r="X77" i="6"/>
  <c r="Y77" i="6" s="1"/>
  <c r="U77" i="6"/>
  <c r="V77" i="6" s="1"/>
  <c r="Q77" i="6"/>
  <c r="N77" i="6"/>
  <c r="K77" i="6"/>
  <c r="H77" i="6"/>
  <c r="X76" i="6"/>
  <c r="Y76" i="6" s="1"/>
  <c r="U76" i="6"/>
  <c r="V76" i="6" s="1"/>
  <c r="Q76" i="6"/>
  <c r="N76" i="6"/>
  <c r="K76" i="6"/>
  <c r="H76" i="6"/>
  <c r="X75" i="6"/>
  <c r="Y75" i="6" s="1"/>
  <c r="U75" i="6"/>
  <c r="V75" i="6" s="1"/>
  <c r="Q75" i="6"/>
  <c r="N75" i="6"/>
  <c r="K75" i="6"/>
  <c r="H75" i="6"/>
  <c r="X74" i="6"/>
  <c r="Y74" i="6" s="1"/>
  <c r="U74" i="6"/>
  <c r="V74" i="6" s="1"/>
  <c r="Q74" i="6"/>
  <c r="N74" i="6"/>
  <c r="K74" i="6"/>
  <c r="H74" i="6"/>
  <c r="X73" i="6"/>
  <c r="Y73" i="6" s="1"/>
  <c r="U73" i="6"/>
  <c r="V73" i="6" s="1"/>
  <c r="Q73" i="6"/>
  <c r="N73" i="6"/>
  <c r="K73" i="6"/>
  <c r="H73" i="6"/>
  <c r="X72" i="6"/>
  <c r="Y72" i="6" s="1"/>
  <c r="U72" i="6"/>
  <c r="V72" i="6" s="1"/>
  <c r="Q72" i="6"/>
  <c r="N72" i="6"/>
  <c r="K72" i="6"/>
  <c r="H72" i="6"/>
  <c r="X71" i="6"/>
  <c r="Y71" i="6" s="1"/>
  <c r="U71" i="6"/>
  <c r="V71" i="6" s="1"/>
  <c r="Q71" i="6"/>
  <c r="N71" i="6"/>
  <c r="K71" i="6"/>
  <c r="H71" i="6"/>
  <c r="X70" i="6"/>
  <c r="Y70" i="6" s="1"/>
  <c r="U70" i="6"/>
  <c r="V70" i="6" s="1"/>
  <c r="Q70" i="6"/>
  <c r="N70" i="6"/>
  <c r="K70" i="6"/>
  <c r="H70" i="6"/>
  <c r="X69" i="6"/>
  <c r="Y69" i="6" s="1"/>
  <c r="U69" i="6"/>
  <c r="V69" i="6" s="1"/>
  <c r="Q69" i="6"/>
  <c r="N69" i="6"/>
  <c r="K69" i="6"/>
  <c r="H69" i="6"/>
  <c r="X68" i="6"/>
  <c r="Y68" i="6" s="1"/>
  <c r="U68" i="6"/>
  <c r="V68" i="6" s="1"/>
  <c r="Q68" i="6"/>
  <c r="N68" i="6"/>
  <c r="K68" i="6"/>
  <c r="H68" i="6"/>
  <c r="X67" i="6"/>
  <c r="Y67" i="6" s="1"/>
  <c r="U67" i="6"/>
  <c r="V67" i="6" s="1"/>
  <c r="Q67" i="6"/>
  <c r="N67" i="6"/>
  <c r="K67" i="6"/>
  <c r="H67" i="6"/>
  <c r="X66" i="6"/>
  <c r="Y66" i="6" s="1"/>
  <c r="U66" i="6"/>
  <c r="V66" i="6" s="1"/>
  <c r="Q66" i="6"/>
  <c r="N66" i="6"/>
  <c r="K66" i="6"/>
  <c r="H66" i="6"/>
  <c r="X65" i="6"/>
  <c r="Y65" i="6" s="1"/>
  <c r="U65" i="6"/>
  <c r="V65" i="6" s="1"/>
  <c r="Q65" i="6"/>
  <c r="N65" i="6"/>
  <c r="K65" i="6"/>
  <c r="H65" i="6"/>
  <c r="AD64" i="6"/>
  <c r="P57" i="6"/>
  <c r="M57" i="6"/>
  <c r="AA56" i="6"/>
  <c r="AD93" i="6" l="1"/>
  <c r="AD94" i="6"/>
  <c r="AD113" i="6"/>
  <c r="AD117" i="6"/>
  <c r="AD118" i="6"/>
  <c r="AD129" i="6"/>
  <c r="AD133" i="6"/>
  <c r="AD137" i="6"/>
  <c r="AD141" i="6"/>
  <c r="AD148" i="6"/>
  <c r="AD65" i="6"/>
  <c r="AD66" i="6"/>
  <c r="AD67" i="6"/>
  <c r="AD85" i="6"/>
  <c r="AD86" i="6"/>
  <c r="AD101" i="6"/>
  <c r="AD102" i="6"/>
  <c r="AD106" i="6"/>
  <c r="AD142" i="6"/>
  <c r="AD143" i="6"/>
  <c r="AD146" i="6"/>
  <c r="AD147" i="6"/>
  <c r="AD139" i="6"/>
  <c r="AD77" i="6"/>
  <c r="AD78" i="6"/>
  <c r="AD145" i="6"/>
  <c r="AD121" i="6"/>
  <c r="AD123" i="6"/>
  <c r="AD125" i="6"/>
  <c r="AD127" i="6"/>
  <c r="AD130" i="6"/>
  <c r="AD131" i="6"/>
  <c r="AD134" i="6"/>
  <c r="AD135" i="6"/>
  <c r="AD138" i="6"/>
  <c r="AD74" i="6"/>
  <c r="AD81" i="6"/>
  <c r="AD82" i="6"/>
  <c r="O83" i="6"/>
  <c r="R83" i="6"/>
  <c r="AD89" i="6"/>
  <c r="AD90" i="6"/>
  <c r="O91" i="6"/>
  <c r="R91" i="6"/>
  <c r="AD97" i="6"/>
  <c r="AD98" i="6"/>
  <c r="O99" i="6"/>
  <c r="R99" i="6"/>
  <c r="AD105" i="6"/>
  <c r="AD109" i="6"/>
  <c r="AD110" i="6"/>
  <c r="O111" i="6"/>
  <c r="R111" i="6"/>
  <c r="AD114" i="6"/>
  <c r="O115" i="6"/>
  <c r="R115" i="6"/>
  <c r="O68" i="6"/>
  <c r="R68" i="6"/>
  <c r="R69" i="6"/>
  <c r="O71" i="6"/>
  <c r="R73" i="6"/>
  <c r="O75" i="6"/>
  <c r="R75" i="6"/>
  <c r="R76" i="6"/>
  <c r="R79" i="6"/>
  <c r="O80" i="6"/>
  <c r="O84" i="6"/>
  <c r="R84" i="6"/>
  <c r="O88" i="6"/>
  <c r="R88" i="6"/>
  <c r="O92" i="6"/>
  <c r="R92" i="6"/>
  <c r="O96" i="6"/>
  <c r="R96" i="6"/>
  <c r="O100" i="6"/>
  <c r="R100" i="6"/>
  <c r="O104" i="6"/>
  <c r="R104" i="6"/>
  <c r="O108" i="6"/>
  <c r="R108" i="6"/>
  <c r="O112" i="6"/>
  <c r="R112" i="6"/>
  <c r="O116" i="6"/>
  <c r="R116" i="6"/>
  <c r="O120" i="6"/>
  <c r="R120" i="6"/>
  <c r="O129" i="6"/>
  <c r="O133" i="6"/>
  <c r="O137" i="6"/>
  <c r="O141" i="6"/>
  <c r="O145" i="6"/>
  <c r="O69" i="6"/>
  <c r="R71" i="6"/>
  <c r="O73" i="6"/>
  <c r="O76" i="6"/>
  <c r="R80" i="6"/>
  <c r="O127" i="6"/>
  <c r="AD68" i="6"/>
  <c r="AD69" i="6"/>
  <c r="AD71" i="6"/>
  <c r="AD73" i="6"/>
  <c r="AD75" i="6"/>
  <c r="AD76" i="6"/>
  <c r="AD79" i="6"/>
  <c r="AD80" i="6"/>
  <c r="AD83" i="6"/>
  <c r="AD84" i="6"/>
  <c r="AD87" i="6"/>
  <c r="AD88" i="6"/>
  <c r="AD91" i="6"/>
  <c r="AD92" i="6"/>
  <c r="AD95" i="6"/>
  <c r="AD96" i="6"/>
  <c r="AD99" i="6"/>
  <c r="AD100" i="6"/>
  <c r="AD103" i="6"/>
  <c r="AD104" i="6"/>
  <c r="AD107" i="6"/>
  <c r="AD108" i="6"/>
  <c r="AD111" i="6"/>
  <c r="AD112" i="6"/>
  <c r="AD115" i="6"/>
  <c r="AD116" i="6"/>
  <c r="AD119" i="6"/>
  <c r="AD120" i="6"/>
  <c r="AD122" i="6"/>
  <c r="AD124" i="6"/>
  <c r="AD126" i="6"/>
  <c r="AD128" i="6"/>
  <c r="AD132" i="6"/>
  <c r="AD136" i="6"/>
  <c r="AD140" i="6"/>
  <c r="AD144" i="6"/>
  <c r="R129" i="6"/>
  <c r="R133" i="6"/>
  <c r="R137" i="6"/>
  <c r="R141" i="6"/>
  <c r="R145" i="6"/>
  <c r="O65" i="6"/>
  <c r="R65" i="6"/>
  <c r="O66" i="6"/>
  <c r="R66" i="6"/>
  <c r="O67" i="6"/>
  <c r="R67" i="6"/>
  <c r="O70" i="6"/>
  <c r="R70" i="6"/>
  <c r="O72" i="6"/>
  <c r="R72" i="6"/>
  <c r="O74" i="6"/>
  <c r="R74" i="6"/>
  <c r="O77" i="6"/>
  <c r="R77" i="6"/>
  <c r="O78" i="6"/>
  <c r="R78" i="6"/>
  <c r="O81" i="6"/>
  <c r="R81" i="6"/>
  <c r="O82" i="6"/>
  <c r="R82" i="6"/>
  <c r="O85" i="6"/>
  <c r="R85" i="6"/>
  <c r="O86" i="6"/>
  <c r="R86" i="6"/>
  <c r="O89" i="6"/>
  <c r="R89" i="6"/>
  <c r="O90" i="6"/>
  <c r="R90" i="6"/>
  <c r="O93" i="6"/>
  <c r="R93" i="6"/>
  <c r="O94" i="6"/>
  <c r="R94" i="6"/>
  <c r="O97" i="6"/>
  <c r="R97" i="6"/>
  <c r="O98" i="6"/>
  <c r="R98" i="6"/>
  <c r="O101" i="6"/>
  <c r="R101" i="6"/>
  <c r="O102" i="6"/>
  <c r="R102" i="6"/>
  <c r="O105" i="6"/>
  <c r="R105" i="6"/>
  <c r="O106" i="6"/>
  <c r="R106" i="6"/>
  <c r="O109" i="6"/>
  <c r="R109" i="6"/>
  <c r="O110" i="6"/>
  <c r="R110" i="6"/>
  <c r="O113" i="6"/>
  <c r="R113" i="6"/>
  <c r="O114" i="6"/>
  <c r="R114" i="6"/>
  <c r="O117" i="6"/>
  <c r="R117" i="6"/>
  <c r="O118" i="6"/>
  <c r="R118" i="6"/>
  <c r="O121" i="6"/>
  <c r="R121" i="6"/>
  <c r="O123" i="6"/>
  <c r="R123" i="6"/>
  <c r="O125" i="6"/>
  <c r="R125" i="6"/>
  <c r="R127" i="6"/>
  <c r="O131" i="6"/>
  <c r="R131" i="6"/>
  <c r="O135" i="6"/>
  <c r="R135" i="6"/>
  <c r="O139" i="6"/>
  <c r="R139" i="6"/>
  <c r="O143" i="6"/>
  <c r="R143" i="6"/>
  <c r="O147" i="6"/>
  <c r="R147" i="6"/>
  <c r="AD70" i="6"/>
  <c r="AD72" i="6"/>
  <c r="T127" i="1"/>
  <c r="S127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103" i="1"/>
  <c r="S103" i="1"/>
  <c r="AI34" i="1" l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33" i="1"/>
  <c r="AB13" i="1"/>
  <c r="AH10" i="1" l="1"/>
  <c r="AI10" i="1"/>
  <c r="AG10" i="1"/>
  <c r="AE123" i="1"/>
  <c r="AF34" i="1"/>
  <c r="AG34" i="1"/>
  <c r="AJ34" i="1"/>
  <c r="AK34" i="1"/>
  <c r="AF35" i="1"/>
  <c r="AG35" i="1"/>
  <c r="AJ35" i="1"/>
  <c r="AK35" i="1"/>
  <c r="AF36" i="1"/>
  <c r="AG36" i="1"/>
  <c r="AJ36" i="1"/>
  <c r="AK36" i="1"/>
  <c r="AF37" i="1"/>
  <c r="AG37" i="1"/>
  <c r="AJ37" i="1"/>
  <c r="AK37" i="1"/>
  <c r="AF38" i="1"/>
  <c r="AG38" i="1"/>
  <c r="AJ38" i="1"/>
  <c r="AK38" i="1"/>
  <c r="AF39" i="1"/>
  <c r="AG39" i="1"/>
  <c r="AJ39" i="1"/>
  <c r="AK39" i="1"/>
  <c r="AF40" i="1"/>
  <c r="AG40" i="1"/>
  <c r="AJ40" i="1"/>
  <c r="AK40" i="1"/>
  <c r="AF41" i="1"/>
  <c r="AG41" i="1"/>
  <c r="AJ41" i="1"/>
  <c r="AK41" i="1"/>
  <c r="AF42" i="1"/>
  <c r="AG42" i="1"/>
  <c r="AJ42" i="1"/>
  <c r="AK42" i="1"/>
  <c r="AF43" i="1"/>
  <c r="AG43" i="1"/>
  <c r="AJ43" i="1"/>
  <c r="AK43" i="1"/>
  <c r="AF44" i="1"/>
  <c r="AG44" i="1"/>
  <c r="AJ44" i="1"/>
  <c r="AK44" i="1"/>
  <c r="AF45" i="1"/>
  <c r="AG45" i="1"/>
  <c r="AJ45" i="1"/>
  <c r="AK45" i="1"/>
  <c r="AF46" i="1"/>
  <c r="AG46" i="1"/>
  <c r="AJ46" i="1"/>
  <c r="AK46" i="1"/>
  <c r="AF47" i="1"/>
  <c r="AG47" i="1"/>
  <c r="AJ47" i="1"/>
  <c r="AK47" i="1"/>
  <c r="AF48" i="1"/>
  <c r="AG48" i="1"/>
  <c r="AJ48" i="1"/>
  <c r="AK48" i="1"/>
  <c r="AF49" i="1"/>
  <c r="AG49" i="1"/>
  <c r="AJ49" i="1"/>
  <c r="AK49" i="1"/>
  <c r="AF50" i="1"/>
  <c r="AG50" i="1"/>
  <c r="AJ50" i="1"/>
  <c r="AK50" i="1"/>
  <c r="AF51" i="1"/>
  <c r="AG51" i="1"/>
  <c r="AJ51" i="1"/>
  <c r="AK51" i="1"/>
  <c r="AF52" i="1"/>
  <c r="AG52" i="1"/>
  <c r="AJ52" i="1"/>
  <c r="AK52" i="1"/>
  <c r="AF53" i="1"/>
  <c r="AG53" i="1"/>
  <c r="AJ53" i="1"/>
  <c r="AK53" i="1"/>
  <c r="AF54" i="1"/>
  <c r="AG54" i="1"/>
  <c r="AJ54" i="1"/>
  <c r="AK54" i="1"/>
  <c r="AF55" i="1"/>
  <c r="AG55" i="1"/>
  <c r="AJ55" i="1"/>
  <c r="AK55" i="1"/>
  <c r="AF56" i="1"/>
  <c r="AG56" i="1"/>
  <c r="AJ56" i="1"/>
  <c r="AK56" i="1"/>
  <c r="AF57" i="1"/>
  <c r="AG57" i="1"/>
  <c r="AJ57" i="1"/>
  <c r="AK57" i="1"/>
  <c r="AF58" i="1"/>
  <c r="AG58" i="1"/>
  <c r="AJ58" i="1"/>
  <c r="AK58" i="1"/>
  <c r="AF59" i="1"/>
  <c r="AG59" i="1"/>
  <c r="AJ59" i="1"/>
  <c r="AK59" i="1"/>
  <c r="AF60" i="1"/>
  <c r="AG60" i="1"/>
  <c r="AJ60" i="1"/>
  <c r="AK60" i="1"/>
  <c r="AF61" i="1"/>
  <c r="AG61" i="1"/>
  <c r="AJ61" i="1"/>
  <c r="AK61" i="1"/>
  <c r="AF62" i="1"/>
  <c r="AG62" i="1"/>
  <c r="AJ62" i="1"/>
  <c r="AK62" i="1"/>
  <c r="AF63" i="1"/>
  <c r="AG63" i="1"/>
  <c r="AJ63" i="1"/>
  <c r="AK63" i="1"/>
  <c r="AF64" i="1"/>
  <c r="AG64" i="1"/>
  <c r="AJ64" i="1"/>
  <c r="AK64" i="1"/>
  <c r="AF65" i="1"/>
  <c r="AG65" i="1"/>
  <c r="AJ65" i="1"/>
  <c r="AK65" i="1"/>
  <c r="AF66" i="1"/>
  <c r="AG66" i="1"/>
  <c r="AJ66" i="1"/>
  <c r="AK66" i="1"/>
  <c r="AF67" i="1"/>
  <c r="AG67" i="1"/>
  <c r="AJ67" i="1"/>
  <c r="AK67" i="1"/>
  <c r="AF68" i="1"/>
  <c r="AG68" i="1"/>
  <c r="AJ68" i="1"/>
  <c r="AK68" i="1"/>
  <c r="AF69" i="1"/>
  <c r="AG69" i="1"/>
  <c r="AJ69" i="1"/>
  <c r="AK69" i="1"/>
  <c r="AF70" i="1"/>
  <c r="AG70" i="1"/>
  <c r="AJ70" i="1"/>
  <c r="AK70" i="1"/>
  <c r="AF71" i="1"/>
  <c r="AG71" i="1"/>
  <c r="AJ71" i="1"/>
  <c r="AK71" i="1"/>
  <c r="AF72" i="1"/>
  <c r="AG72" i="1"/>
  <c r="AJ72" i="1"/>
  <c r="AK72" i="1"/>
  <c r="AF73" i="1"/>
  <c r="AG73" i="1"/>
  <c r="AJ73" i="1"/>
  <c r="AK73" i="1"/>
  <c r="AF74" i="1"/>
  <c r="AG74" i="1"/>
  <c r="AJ74" i="1"/>
  <c r="AK74" i="1"/>
  <c r="AF75" i="1"/>
  <c r="AG75" i="1"/>
  <c r="AJ75" i="1"/>
  <c r="AK75" i="1"/>
  <c r="AF76" i="1"/>
  <c r="AG76" i="1"/>
  <c r="AJ76" i="1"/>
  <c r="AK76" i="1"/>
  <c r="AF77" i="1"/>
  <c r="AG77" i="1"/>
  <c r="AJ77" i="1"/>
  <c r="AK77" i="1"/>
  <c r="AF78" i="1"/>
  <c r="AG78" i="1"/>
  <c r="AJ78" i="1"/>
  <c r="AK78" i="1"/>
  <c r="AF79" i="1"/>
  <c r="AG79" i="1"/>
  <c r="AJ79" i="1"/>
  <c r="AK79" i="1"/>
  <c r="AF80" i="1"/>
  <c r="AG80" i="1"/>
  <c r="AJ80" i="1"/>
  <c r="AK80" i="1"/>
  <c r="AF81" i="1"/>
  <c r="AG81" i="1"/>
  <c r="AJ81" i="1"/>
  <c r="AK81" i="1"/>
  <c r="AF82" i="1"/>
  <c r="AG82" i="1"/>
  <c r="AJ82" i="1"/>
  <c r="AK82" i="1"/>
  <c r="AF83" i="1"/>
  <c r="AG83" i="1"/>
  <c r="AJ83" i="1"/>
  <c r="AK83" i="1"/>
  <c r="AF84" i="1"/>
  <c r="AG84" i="1"/>
  <c r="AJ84" i="1"/>
  <c r="AK84" i="1"/>
  <c r="AF85" i="1"/>
  <c r="AG85" i="1"/>
  <c r="AJ85" i="1"/>
  <c r="AK85" i="1"/>
  <c r="AF86" i="1"/>
  <c r="AG86" i="1"/>
  <c r="AJ86" i="1"/>
  <c r="AK86" i="1"/>
  <c r="AF87" i="1"/>
  <c r="AG87" i="1"/>
  <c r="AJ87" i="1"/>
  <c r="AK87" i="1"/>
  <c r="AF88" i="1"/>
  <c r="AG88" i="1"/>
  <c r="AJ88" i="1"/>
  <c r="AK88" i="1"/>
  <c r="AF89" i="1"/>
  <c r="AG89" i="1"/>
  <c r="AJ89" i="1"/>
  <c r="AK89" i="1"/>
  <c r="AF90" i="1"/>
  <c r="AG90" i="1"/>
  <c r="AJ90" i="1"/>
  <c r="AK90" i="1"/>
  <c r="AF91" i="1"/>
  <c r="AG91" i="1"/>
  <c r="AJ91" i="1"/>
  <c r="AK91" i="1"/>
  <c r="AF92" i="1"/>
  <c r="AG92" i="1"/>
  <c r="AJ92" i="1"/>
  <c r="AK92" i="1"/>
  <c r="AF93" i="1"/>
  <c r="AG93" i="1"/>
  <c r="AJ93" i="1"/>
  <c r="AK93" i="1"/>
  <c r="AF94" i="1"/>
  <c r="AG94" i="1"/>
  <c r="AJ94" i="1"/>
  <c r="AK94" i="1"/>
  <c r="AF95" i="1"/>
  <c r="AG95" i="1"/>
  <c r="AJ95" i="1"/>
  <c r="AK95" i="1"/>
  <c r="AF96" i="1"/>
  <c r="AG96" i="1"/>
  <c r="AJ96" i="1"/>
  <c r="AK96" i="1"/>
  <c r="AF97" i="1"/>
  <c r="AG97" i="1"/>
  <c r="AJ97" i="1"/>
  <c r="AK97" i="1"/>
  <c r="AF98" i="1"/>
  <c r="AG98" i="1"/>
  <c r="AJ98" i="1"/>
  <c r="AK98" i="1"/>
  <c r="AF99" i="1"/>
  <c r="AG99" i="1"/>
  <c r="AJ99" i="1"/>
  <c r="AK99" i="1"/>
  <c r="AF100" i="1"/>
  <c r="AG100" i="1"/>
  <c r="AJ100" i="1"/>
  <c r="AK100" i="1"/>
  <c r="AF101" i="1"/>
  <c r="AG101" i="1"/>
  <c r="AJ101" i="1"/>
  <c r="AK101" i="1"/>
  <c r="AF102" i="1"/>
  <c r="AG102" i="1"/>
  <c r="AJ102" i="1"/>
  <c r="AK102" i="1"/>
  <c r="AF103" i="1"/>
  <c r="AG103" i="1"/>
  <c r="AJ103" i="1"/>
  <c r="AK103" i="1"/>
  <c r="AF104" i="1"/>
  <c r="AG104" i="1"/>
  <c r="AJ104" i="1"/>
  <c r="AK104" i="1"/>
  <c r="AF105" i="1"/>
  <c r="AG105" i="1"/>
  <c r="AJ105" i="1"/>
  <c r="AK105" i="1"/>
  <c r="AF106" i="1"/>
  <c r="AG106" i="1"/>
  <c r="AJ106" i="1"/>
  <c r="AK106" i="1"/>
  <c r="AF107" i="1"/>
  <c r="AG107" i="1"/>
  <c r="AJ107" i="1"/>
  <c r="AK107" i="1"/>
  <c r="AF108" i="1"/>
  <c r="AG108" i="1"/>
  <c r="AJ108" i="1"/>
  <c r="AK108" i="1"/>
  <c r="AF109" i="1"/>
  <c r="AG109" i="1"/>
  <c r="AJ109" i="1"/>
  <c r="AK109" i="1"/>
  <c r="AF110" i="1"/>
  <c r="AG110" i="1"/>
  <c r="AJ110" i="1"/>
  <c r="AK110" i="1"/>
  <c r="AF111" i="1"/>
  <c r="AG111" i="1"/>
  <c r="AJ111" i="1"/>
  <c r="AK111" i="1"/>
  <c r="AF112" i="1"/>
  <c r="AG112" i="1"/>
  <c r="AJ112" i="1"/>
  <c r="AK112" i="1"/>
  <c r="AF113" i="1"/>
  <c r="AG113" i="1"/>
  <c r="AJ113" i="1"/>
  <c r="AK113" i="1"/>
  <c r="AF114" i="1"/>
  <c r="AG114" i="1"/>
  <c r="AJ114" i="1"/>
  <c r="AK114" i="1"/>
  <c r="AF115" i="1"/>
  <c r="AG115" i="1"/>
  <c r="AJ115" i="1"/>
  <c r="AK115" i="1"/>
  <c r="AF116" i="1"/>
  <c r="AG116" i="1"/>
  <c r="AJ116" i="1"/>
  <c r="AK116" i="1"/>
  <c r="AF117" i="1"/>
  <c r="AG117" i="1"/>
  <c r="AJ117" i="1"/>
  <c r="AK117" i="1"/>
  <c r="AF118" i="1"/>
  <c r="AG118" i="1"/>
  <c r="AJ118" i="1"/>
  <c r="AK118" i="1"/>
  <c r="AF119" i="1"/>
  <c r="AG119" i="1"/>
  <c r="AJ119" i="1"/>
  <c r="AK119" i="1"/>
  <c r="AK33" i="1"/>
  <c r="AJ33" i="1"/>
  <c r="AG33" i="1"/>
  <c r="AF33" i="1"/>
  <c r="V119" i="1" l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104" i="1"/>
  <c r="W105" i="1"/>
  <c r="W103" i="1"/>
  <c r="AH67" i="1"/>
  <c r="AH99" i="1"/>
  <c r="AH83" i="1"/>
  <c r="AH75" i="1"/>
  <c r="AH71" i="1"/>
  <c r="AH69" i="1"/>
  <c r="AH68" i="1"/>
  <c r="AH35" i="1"/>
  <c r="AH118" i="1"/>
  <c r="AH117" i="1"/>
  <c r="AH116" i="1"/>
  <c r="AH111" i="1"/>
  <c r="AH109" i="1"/>
  <c r="AH108" i="1"/>
  <c r="AH103" i="1"/>
  <c r="AH101" i="1"/>
  <c r="AH100" i="1"/>
  <c r="AH51" i="1"/>
  <c r="AH43" i="1"/>
  <c r="AH39" i="1"/>
  <c r="AH37" i="1"/>
  <c r="AH36" i="1"/>
  <c r="AH95" i="1"/>
  <c r="AH93" i="1"/>
  <c r="AH91" i="1"/>
  <c r="AH87" i="1"/>
  <c r="AH85" i="1"/>
  <c r="AH84" i="1"/>
  <c r="AH59" i="1"/>
  <c r="AH55" i="1"/>
  <c r="AH53" i="1"/>
  <c r="AH52" i="1"/>
  <c r="AH115" i="1"/>
  <c r="AH107" i="1"/>
  <c r="AH92" i="1"/>
  <c r="AH79" i="1"/>
  <c r="AH77" i="1"/>
  <c r="AH76" i="1"/>
  <c r="AH63" i="1"/>
  <c r="AH61" i="1"/>
  <c r="AH60" i="1"/>
  <c r="AH47" i="1"/>
  <c r="AH45" i="1"/>
  <c r="AH44" i="1"/>
  <c r="AH119" i="1"/>
  <c r="AH113" i="1"/>
  <c r="AH112" i="1"/>
  <c r="AH105" i="1"/>
  <c r="AH104" i="1"/>
  <c r="AH97" i="1"/>
  <c r="AH96" i="1"/>
  <c r="AH89" i="1"/>
  <c r="AH88" i="1"/>
  <c r="AH81" i="1"/>
  <c r="AH80" i="1"/>
  <c r="AH73" i="1"/>
  <c r="AH72" i="1"/>
  <c r="AH65" i="1"/>
  <c r="AH64" i="1"/>
  <c r="AH57" i="1"/>
  <c r="AH56" i="1"/>
  <c r="AH49" i="1"/>
  <c r="AH48" i="1"/>
  <c r="AH41" i="1"/>
  <c r="AH40" i="1"/>
  <c r="AH114" i="1"/>
  <c r="AH110" i="1"/>
  <c r="AH106" i="1"/>
  <c r="AH102" i="1"/>
  <c r="AH98" i="1"/>
  <c r="AH94" i="1"/>
  <c r="AH90" i="1"/>
  <c r="AH86" i="1"/>
  <c r="AH82" i="1"/>
  <c r="AH78" i="1"/>
  <c r="AH74" i="1"/>
  <c r="AH70" i="1"/>
  <c r="AH66" i="1"/>
  <c r="AH62" i="1"/>
  <c r="AH58" i="1"/>
  <c r="AH54" i="1"/>
  <c r="AH50" i="1"/>
  <c r="AH46" i="1"/>
  <c r="AH42" i="1"/>
  <c r="AH38" i="1"/>
  <c r="AH34" i="1"/>
  <c r="AA35" i="1" l="1"/>
  <c r="AD35" i="1" s="1"/>
  <c r="AC35" i="1"/>
  <c r="U37" i="1"/>
  <c r="AA37" i="1" s="1"/>
  <c r="AD37" i="1" s="1"/>
  <c r="V37" i="1"/>
  <c r="X37" i="1" s="1"/>
  <c r="AC37" i="1" s="1"/>
  <c r="U39" i="1"/>
  <c r="AA39" i="1" s="1"/>
  <c r="AD39" i="1" s="1"/>
  <c r="V39" i="1"/>
  <c r="X39" i="1" s="1"/>
  <c r="AC39" i="1" s="1"/>
  <c r="U41" i="1"/>
  <c r="AA41" i="1" s="1"/>
  <c r="AD41" i="1" s="1"/>
  <c r="V41" i="1"/>
  <c r="X41" i="1" s="1"/>
  <c r="AC41" i="1" s="1"/>
  <c r="U43" i="1"/>
  <c r="AA43" i="1" s="1"/>
  <c r="AD43" i="1" s="1"/>
  <c r="V43" i="1"/>
  <c r="X43" i="1" s="1"/>
  <c r="AC43" i="1" s="1"/>
  <c r="U45" i="1"/>
  <c r="AA45" i="1" s="1"/>
  <c r="AD45" i="1" s="1"/>
  <c r="V45" i="1"/>
  <c r="X45" i="1" s="1"/>
  <c r="AC45" i="1" s="1"/>
  <c r="U47" i="1"/>
  <c r="AA47" i="1" s="1"/>
  <c r="AD47" i="1" s="1"/>
  <c r="V47" i="1"/>
  <c r="X47" i="1" s="1"/>
  <c r="AC47" i="1" s="1"/>
  <c r="U49" i="1"/>
  <c r="AA49" i="1" s="1"/>
  <c r="AD49" i="1" s="1"/>
  <c r="V49" i="1"/>
  <c r="X49" i="1" s="1"/>
  <c r="AC49" i="1" s="1"/>
  <c r="U51" i="1"/>
  <c r="AA51" i="1" s="1"/>
  <c r="AD51" i="1" s="1"/>
  <c r="V51" i="1"/>
  <c r="X51" i="1" s="1"/>
  <c r="AC51" i="1" s="1"/>
  <c r="U53" i="1"/>
  <c r="AA53" i="1" s="1"/>
  <c r="AD53" i="1" s="1"/>
  <c r="V53" i="1"/>
  <c r="X53" i="1" s="1"/>
  <c r="AC53" i="1" s="1"/>
  <c r="U55" i="1"/>
  <c r="AA55" i="1" s="1"/>
  <c r="AD55" i="1" s="1"/>
  <c r="V55" i="1"/>
  <c r="X55" i="1" s="1"/>
  <c r="AC55" i="1" s="1"/>
  <c r="U57" i="1"/>
  <c r="AA57" i="1" s="1"/>
  <c r="AD57" i="1" s="1"/>
  <c r="V57" i="1"/>
  <c r="X57" i="1" s="1"/>
  <c r="AC57" i="1" s="1"/>
  <c r="U59" i="1"/>
  <c r="AA59" i="1" s="1"/>
  <c r="AD59" i="1" s="1"/>
  <c r="V59" i="1"/>
  <c r="X59" i="1" s="1"/>
  <c r="AC59" i="1" s="1"/>
  <c r="U61" i="1"/>
  <c r="AA61" i="1" s="1"/>
  <c r="AD61" i="1" s="1"/>
  <c r="V61" i="1"/>
  <c r="X61" i="1" s="1"/>
  <c r="AC61" i="1" s="1"/>
  <c r="U63" i="1"/>
  <c r="AA63" i="1" s="1"/>
  <c r="AD63" i="1" s="1"/>
  <c r="V63" i="1"/>
  <c r="X63" i="1" s="1"/>
  <c r="AC63" i="1" s="1"/>
  <c r="U65" i="1"/>
  <c r="AA65" i="1" s="1"/>
  <c r="AD65" i="1" s="1"/>
  <c r="V65" i="1"/>
  <c r="X65" i="1" s="1"/>
  <c r="AC65" i="1" s="1"/>
  <c r="U67" i="1"/>
  <c r="AA67" i="1" s="1"/>
  <c r="AD67" i="1" s="1"/>
  <c r="V67" i="1"/>
  <c r="X67" i="1" s="1"/>
  <c r="AC67" i="1" s="1"/>
  <c r="U69" i="1"/>
  <c r="AA69" i="1" s="1"/>
  <c r="AD69" i="1" s="1"/>
  <c r="V69" i="1"/>
  <c r="X69" i="1" s="1"/>
  <c r="AC69" i="1" s="1"/>
  <c r="U71" i="1"/>
  <c r="AA71" i="1" s="1"/>
  <c r="AD71" i="1" s="1"/>
  <c r="V71" i="1"/>
  <c r="X71" i="1" s="1"/>
  <c r="AC71" i="1" s="1"/>
  <c r="U73" i="1"/>
  <c r="AA73" i="1" s="1"/>
  <c r="AD73" i="1" s="1"/>
  <c r="V73" i="1"/>
  <c r="X73" i="1" s="1"/>
  <c r="AC73" i="1" s="1"/>
  <c r="U75" i="1"/>
  <c r="AA75" i="1" s="1"/>
  <c r="AD75" i="1" s="1"/>
  <c r="V75" i="1"/>
  <c r="X75" i="1" s="1"/>
  <c r="AC75" i="1" s="1"/>
  <c r="U77" i="1"/>
  <c r="AA77" i="1" s="1"/>
  <c r="AD77" i="1" s="1"/>
  <c r="V77" i="1"/>
  <c r="X77" i="1" s="1"/>
  <c r="AC77" i="1" s="1"/>
  <c r="U79" i="1"/>
  <c r="AA79" i="1" s="1"/>
  <c r="AD79" i="1" s="1"/>
  <c r="V79" i="1"/>
  <c r="X79" i="1" s="1"/>
  <c r="AC79" i="1" s="1"/>
  <c r="U81" i="1"/>
  <c r="AA81" i="1" s="1"/>
  <c r="AD81" i="1" s="1"/>
  <c r="V81" i="1"/>
  <c r="X81" i="1" s="1"/>
  <c r="AC81" i="1" s="1"/>
  <c r="U83" i="1"/>
  <c r="AA83" i="1" s="1"/>
  <c r="AD83" i="1" s="1"/>
  <c r="V83" i="1"/>
  <c r="X83" i="1" s="1"/>
  <c r="AC83" i="1" s="1"/>
  <c r="U85" i="1"/>
  <c r="AA85" i="1" s="1"/>
  <c r="AD85" i="1" s="1"/>
  <c r="V85" i="1"/>
  <c r="X85" i="1" s="1"/>
  <c r="AC85" i="1" s="1"/>
  <c r="U87" i="1"/>
  <c r="AA87" i="1" s="1"/>
  <c r="AD87" i="1" s="1"/>
  <c r="V87" i="1"/>
  <c r="X87" i="1" s="1"/>
  <c r="AC87" i="1" s="1"/>
  <c r="U89" i="1"/>
  <c r="AA89" i="1" s="1"/>
  <c r="AD89" i="1" s="1"/>
  <c r="V89" i="1"/>
  <c r="X89" i="1" s="1"/>
  <c r="AC89" i="1" s="1"/>
  <c r="U91" i="1"/>
  <c r="AA91" i="1" s="1"/>
  <c r="AD91" i="1" s="1"/>
  <c r="V91" i="1"/>
  <c r="X91" i="1" s="1"/>
  <c r="AC91" i="1" s="1"/>
  <c r="U93" i="1"/>
  <c r="AA93" i="1" s="1"/>
  <c r="AD93" i="1" s="1"/>
  <c r="V93" i="1"/>
  <c r="X93" i="1" s="1"/>
  <c r="AC93" i="1" s="1"/>
  <c r="U95" i="1"/>
  <c r="AA95" i="1" s="1"/>
  <c r="AD95" i="1" s="1"/>
  <c r="V95" i="1"/>
  <c r="X95" i="1" s="1"/>
  <c r="AC95" i="1" s="1"/>
  <c r="U97" i="1"/>
  <c r="AA97" i="1" s="1"/>
  <c r="AD97" i="1" s="1"/>
  <c r="V97" i="1"/>
  <c r="X97" i="1" s="1"/>
  <c r="AC97" i="1" s="1"/>
  <c r="U99" i="1"/>
  <c r="AA99" i="1" s="1"/>
  <c r="AD99" i="1" s="1"/>
  <c r="V99" i="1"/>
  <c r="X99" i="1" s="1"/>
  <c r="AC99" i="1" s="1"/>
  <c r="U101" i="1"/>
  <c r="AA101" i="1" s="1"/>
  <c r="AD101" i="1" s="1"/>
  <c r="V101" i="1"/>
  <c r="X101" i="1" s="1"/>
  <c r="AC101" i="1" s="1"/>
  <c r="U106" i="1"/>
  <c r="AA106" i="1" s="1"/>
  <c r="AD106" i="1" s="1"/>
  <c r="V106" i="1"/>
  <c r="X106" i="1" s="1"/>
  <c r="AC106" i="1" s="1"/>
  <c r="U108" i="1"/>
  <c r="AA108" i="1" s="1"/>
  <c r="AD108" i="1" s="1"/>
  <c r="V108" i="1"/>
  <c r="X108" i="1" s="1"/>
  <c r="AC108" i="1" s="1"/>
  <c r="U110" i="1"/>
  <c r="AA110" i="1" s="1"/>
  <c r="AD110" i="1" s="1"/>
  <c r="V110" i="1"/>
  <c r="X110" i="1" s="1"/>
  <c r="AC110" i="1" s="1"/>
  <c r="U112" i="1"/>
  <c r="AA112" i="1" s="1"/>
  <c r="AD112" i="1" s="1"/>
  <c r="V112" i="1"/>
  <c r="X112" i="1" s="1"/>
  <c r="AC112" i="1" s="1"/>
  <c r="U114" i="1"/>
  <c r="AA114" i="1" s="1"/>
  <c r="AD114" i="1" s="1"/>
  <c r="V114" i="1"/>
  <c r="X114" i="1" s="1"/>
  <c r="AC114" i="1" s="1"/>
  <c r="U116" i="1"/>
  <c r="AA116" i="1" s="1"/>
  <c r="AD116" i="1" s="1"/>
  <c r="V116" i="1"/>
  <c r="X116" i="1" s="1"/>
  <c r="AC116" i="1" s="1"/>
  <c r="U118" i="1"/>
  <c r="AA118" i="1" s="1"/>
  <c r="AD118" i="1" s="1"/>
  <c r="V118" i="1"/>
  <c r="X118" i="1" s="1"/>
  <c r="AC118" i="1" s="1"/>
  <c r="V105" i="1"/>
  <c r="X105" i="1" s="1"/>
  <c r="AC105" i="1" s="1"/>
  <c r="U105" i="1"/>
  <c r="AA105" i="1" s="1"/>
  <c r="U103" i="1"/>
  <c r="AA103" i="1" s="1"/>
  <c r="AD103" i="1" s="1"/>
  <c r="V103" i="1"/>
  <c r="X103" i="1" s="1"/>
  <c r="AC103" i="1" s="1"/>
  <c r="AC34" i="1"/>
  <c r="U36" i="1"/>
  <c r="AA36" i="1" s="1"/>
  <c r="V36" i="1"/>
  <c r="X36" i="1" s="1"/>
  <c r="AC36" i="1" s="1"/>
  <c r="U38" i="1"/>
  <c r="AA38" i="1" s="1"/>
  <c r="V38" i="1"/>
  <c r="X38" i="1" s="1"/>
  <c r="AC38" i="1" s="1"/>
  <c r="U40" i="1"/>
  <c r="AA40" i="1" s="1"/>
  <c r="V40" i="1"/>
  <c r="X40" i="1" s="1"/>
  <c r="AC40" i="1" s="1"/>
  <c r="U42" i="1"/>
  <c r="AA42" i="1" s="1"/>
  <c r="V42" i="1"/>
  <c r="X42" i="1" s="1"/>
  <c r="AC42" i="1" s="1"/>
  <c r="U44" i="1"/>
  <c r="AA44" i="1" s="1"/>
  <c r="V44" i="1"/>
  <c r="X44" i="1" s="1"/>
  <c r="AC44" i="1" s="1"/>
  <c r="U46" i="1"/>
  <c r="AA46" i="1" s="1"/>
  <c r="V46" i="1"/>
  <c r="X46" i="1" s="1"/>
  <c r="AC46" i="1" s="1"/>
  <c r="U48" i="1"/>
  <c r="AA48" i="1" s="1"/>
  <c r="V48" i="1"/>
  <c r="X48" i="1" s="1"/>
  <c r="AC48" i="1" s="1"/>
  <c r="U50" i="1"/>
  <c r="AA50" i="1" s="1"/>
  <c r="V50" i="1"/>
  <c r="X50" i="1" s="1"/>
  <c r="AC50" i="1" s="1"/>
  <c r="U52" i="1"/>
  <c r="AA52" i="1" s="1"/>
  <c r="V52" i="1"/>
  <c r="X52" i="1" s="1"/>
  <c r="AC52" i="1" s="1"/>
  <c r="U54" i="1"/>
  <c r="AA54" i="1" s="1"/>
  <c r="V54" i="1"/>
  <c r="X54" i="1" s="1"/>
  <c r="AC54" i="1" s="1"/>
  <c r="U56" i="1"/>
  <c r="AA56" i="1" s="1"/>
  <c r="V56" i="1"/>
  <c r="X56" i="1" s="1"/>
  <c r="AC56" i="1" s="1"/>
  <c r="U58" i="1"/>
  <c r="AA58" i="1" s="1"/>
  <c r="V58" i="1"/>
  <c r="X58" i="1" s="1"/>
  <c r="AC58" i="1" s="1"/>
  <c r="U60" i="1"/>
  <c r="AA60" i="1" s="1"/>
  <c r="V60" i="1"/>
  <c r="X60" i="1" s="1"/>
  <c r="AC60" i="1" s="1"/>
  <c r="U62" i="1"/>
  <c r="AA62" i="1" s="1"/>
  <c r="V62" i="1"/>
  <c r="X62" i="1" s="1"/>
  <c r="AC62" i="1" s="1"/>
  <c r="U64" i="1"/>
  <c r="AA64" i="1" s="1"/>
  <c r="V64" i="1"/>
  <c r="X64" i="1" s="1"/>
  <c r="AC64" i="1" s="1"/>
  <c r="U66" i="1"/>
  <c r="AA66" i="1" s="1"/>
  <c r="V66" i="1"/>
  <c r="X66" i="1" s="1"/>
  <c r="AC66" i="1" s="1"/>
  <c r="U68" i="1"/>
  <c r="AA68" i="1" s="1"/>
  <c r="V68" i="1"/>
  <c r="X68" i="1" s="1"/>
  <c r="AC68" i="1" s="1"/>
  <c r="U70" i="1"/>
  <c r="AA70" i="1" s="1"/>
  <c r="V70" i="1"/>
  <c r="X70" i="1" s="1"/>
  <c r="AC70" i="1" s="1"/>
  <c r="U72" i="1"/>
  <c r="AA72" i="1" s="1"/>
  <c r="V72" i="1"/>
  <c r="X72" i="1" s="1"/>
  <c r="AC72" i="1" s="1"/>
  <c r="U74" i="1"/>
  <c r="AA74" i="1" s="1"/>
  <c r="V74" i="1"/>
  <c r="X74" i="1" s="1"/>
  <c r="AC74" i="1" s="1"/>
  <c r="U76" i="1"/>
  <c r="AA76" i="1" s="1"/>
  <c r="V76" i="1"/>
  <c r="X76" i="1" s="1"/>
  <c r="AC76" i="1" s="1"/>
  <c r="U78" i="1"/>
  <c r="AA78" i="1" s="1"/>
  <c r="V78" i="1"/>
  <c r="X78" i="1" s="1"/>
  <c r="AC78" i="1" s="1"/>
  <c r="U80" i="1"/>
  <c r="AA80" i="1" s="1"/>
  <c r="V80" i="1"/>
  <c r="X80" i="1" s="1"/>
  <c r="AC80" i="1" s="1"/>
  <c r="U82" i="1"/>
  <c r="AA82" i="1" s="1"/>
  <c r="V82" i="1"/>
  <c r="X82" i="1" s="1"/>
  <c r="AC82" i="1" s="1"/>
  <c r="U84" i="1"/>
  <c r="AA84" i="1" s="1"/>
  <c r="V84" i="1"/>
  <c r="X84" i="1" s="1"/>
  <c r="AC84" i="1" s="1"/>
  <c r="U86" i="1"/>
  <c r="AA86" i="1" s="1"/>
  <c r="V86" i="1"/>
  <c r="X86" i="1" s="1"/>
  <c r="AC86" i="1" s="1"/>
  <c r="U88" i="1"/>
  <c r="AA88" i="1" s="1"/>
  <c r="V88" i="1"/>
  <c r="X88" i="1" s="1"/>
  <c r="AC88" i="1" s="1"/>
  <c r="U90" i="1"/>
  <c r="AA90" i="1" s="1"/>
  <c r="V90" i="1"/>
  <c r="X90" i="1" s="1"/>
  <c r="AC90" i="1" s="1"/>
  <c r="U92" i="1"/>
  <c r="AA92" i="1" s="1"/>
  <c r="V92" i="1"/>
  <c r="X92" i="1" s="1"/>
  <c r="AC92" i="1" s="1"/>
  <c r="U94" i="1"/>
  <c r="AA94" i="1" s="1"/>
  <c r="V94" i="1"/>
  <c r="X94" i="1" s="1"/>
  <c r="AC94" i="1" s="1"/>
  <c r="U96" i="1"/>
  <c r="AA96" i="1" s="1"/>
  <c r="V96" i="1"/>
  <c r="X96" i="1" s="1"/>
  <c r="AC96" i="1" s="1"/>
  <c r="U98" i="1"/>
  <c r="AA98" i="1" s="1"/>
  <c r="V98" i="1"/>
  <c r="X98" i="1" s="1"/>
  <c r="AC98" i="1" s="1"/>
  <c r="U100" i="1"/>
  <c r="AA100" i="1" s="1"/>
  <c r="V100" i="1"/>
  <c r="X100" i="1" s="1"/>
  <c r="AC100" i="1" s="1"/>
  <c r="U102" i="1"/>
  <c r="AA102" i="1" s="1"/>
  <c r="V102" i="1"/>
  <c r="X102" i="1" s="1"/>
  <c r="AC102" i="1" s="1"/>
  <c r="U107" i="1"/>
  <c r="AA107" i="1" s="1"/>
  <c r="V107" i="1"/>
  <c r="X107" i="1" s="1"/>
  <c r="AC107" i="1" s="1"/>
  <c r="U109" i="1"/>
  <c r="AA109" i="1" s="1"/>
  <c r="V109" i="1"/>
  <c r="X109" i="1" s="1"/>
  <c r="AC109" i="1" s="1"/>
  <c r="U111" i="1"/>
  <c r="AA111" i="1" s="1"/>
  <c r="V111" i="1"/>
  <c r="X111" i="1" s="1"/>
  <c r="AC111" i="1" s="1"/>
  <c r="U113" i="1"/>
  <c r="AA113" i="1" s="1"/>
  <c r="V113" i="1"/>
  <c r="X113" i="1" s="1"/>
  <c r="AC113" i="1" s="1"/>
  <c r="U115" i="1"/>
  <c r="AA115" i="1" s="1"/>
  <c r="V115" i="1"/>
  <c r="X115" i="1" s="1"/>
  <c r="AC115" i="1" s="1"/>
  <c r="U117" i="1"/>
  <c r="AA117" i="1" s="1"/>
  <c r="V117" i="1"/>
  <c r="X117" i="1" s="1"/>
  <c r="AC117" i="1" s="1"/>
  <c r="X119" i="1"/>
  <c r="AC119" i="1" s="1"/>
  <c r="V104" i="1"/>
  <c r="X104" i="1" s="1"/>
  <c r="AC104" i="1" s="1"/>
  <c r="U104" i="1"/>
  <c r="AA104" i="1" s="1"/>
  <c r="AA33" i="1"/>
  <c r="AC33" i="1"/>
  <c r="AA34" i="1"/>
  <c r="AD34" i="1" s="1"/>
  <c r="AD104" i="1" l="1"/>
  <c r="AD117" i="1"/>
  <c r="AD115" i="1"/>
  <c r="AD113" i="1"/>
  <c r="AD111" i="1"/>
  <c r="AD109" i="1"/>
  <c r="AD107" i="1"/>
  <c r="AD102" i="1"/>
  <c r="AD100" i="1"/>
  <c r="AD98" i="1"/>
  <c r="AD96" i="1"/>
  <c r="AD94" i="1"/>
  <c r="AD92" i="1"/>
  <c r="AD90" i="1"/>
  <c r="AD88" i="1"/>
  <c r="AD86" i="1"/>
  <c r="AD84" i="1"/>
  <c r="AD82" i="1"/>
  <c r="AD80" i="1"/>
  <c r="AD78" i="1"/>
  <c r="AD76" i="1"/>
  <c r="AD74" i="1"/>
  <c r="AD72" i="1"/>
  <c r="AD70" i="1"/>
  <c r="AD68" i="1"/>
  <c r="AD66" i="1"/>
  <c r="AD64" i="1"/>
  <c r="AD62" i="1"/>
  <c r="AD60" i="1"/>
  <c r="AD58" i="1"/>
  <c r="AD56" i="1"/>
  <c r="AD54" i="1"/>
  <c r="AD52" i="1"/>
  <c r="AD50" i="1"/>
  <c r="AD48" i="1"/>
  <c r="AD46" i="1"/>
  <c r="AD44" i="1"/>
  <c r="AD42" i="1"/>
  <c r="AD40" i="1"/>
  <c r="AD38" i="1"/>
  <c r="AD36" i="1"/>
  <c r="AD105" i="1"/>
  <c r="AD33" i="1"/>
  <c r="K91" i="5"/>
  <c r="W103" i="5" l="1"/>
  <c r="S103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92" i="5"/>
  <c r="J93" i="5"/>
  <c r="J94" i="5"/>
  <c r="J95" i="5"/>
  <c r="J96" i="5"/>
  <c r="J97" i="5"/>
  <c r="J98" i="5"/>
  <c r="J99" i="5"/>
  <c r="J100" i="5"/>
  <c r="J101" i="5"/>
  <c r="J102" i="5"/>
  <c r="J103" i="5"/>
  <c r="J25" i="5"/>
  <c r="N103" i="5"/>
  <c r="U119" i="1" l="1"/>
  <c r="AA119" i="1" l="1"/>
  <c r="AH32" i="1"/>
  <c r="AE28" i="1"/>
  <c r="AD119" i="1" l="1"/>
  <c r="AP35" i="1"/>
  <c r="AP33" i="1"/>
  <c r="AP34" i="1"/>
  <c r="AE34" i="1"/>
  <c r="AE35" i="1"/>
  <c r="AE38" i="1"/>
  <c r="AE39" i="1"/>
  <c r="AE42" i="1"/>
  <c r="AE43" i="1"/>
  <c r="AE46" i="1"/>
  <c r="AE47" i="1"/>
  <c r="AE50" i="1"/>
  <c r="AE51" i="1"/>
  <c r="AE54" i="1"/>
  <c r="AE55" i="1"/>
  <c r="AE58" i="1"/>
  <c r="AE59" i="1"/>
  <c r="AE62" i="1"/>
  <c r="AE63" i="1"/>
  <c r="AE66" i="1"/>
  <c r="AE67" i="1"/>
  <c r="AE70" i="1"/>
  <c r="AE71" i="1"/>
  <c r="AE74" i="1"/>
  <c r="AE75" i="1"/>
  <c r="AE78" i="1"/>
  <c r="AE79" i="1"/>
  <c r="AE82" i="1"/>
  <c r="AE83" i="1"/>
  <c r="AE86" i="1"/>
  <c r="AE87" i="1"/>
  <c r="AE90" i="1"/>
  <c r="AE91" i="1"/>
  <c r="AE94" i="1"/>
  <c r="AE95" i="1"/>
  <c r="AE98" i="1"/>
  <c r="AE99" i="1"/>
  <c r="AE102" i="1"/>
  <c r="AE103" i="1"/>
  <c r="AE106" i="1"/>
  <c r="AE107" i="1"/>
  <c r="AE110" i="1"/>
  <c r="AE111" i="1"/>
  <c r="AE114" i="1"/>
  <c r="AE115" i="1"/>
  <c r="AE118" i="1"/>
  <c r="AE40" i="1"/>
  <c r="AE41" i="1"/>
  <c r="AE48" i="1"/>
  <c r="AE49" i="1"/>
  <c r="AE56" i="1"/>
  <c r="AE57" i="1"/>
  <c r="AE64" i="1"/>
  <c r="AE65" i="1"/>
  <c r="AE72" i="1"/>
  <c r="AE73" i="1"/>
  <c r="AE80" i="1"/>
  <c r="AE81" i="1"/>
  <c r="AE88" i="1"/>
  <c r="AE89" i="1"/>
  <c r="AE96" i="1"/>
  <c r="AE97" i="1"/>
  <c r="AE104" i="1"/>
  <c r="AE105" i="1"/>
  <c r="AE112" i="1"/>
  <c r="AE113" i="1"/>
  <c r="AE36" i="1"/>
  <c r="AE37" i="1"/>
  <c r="AE44" i="1"/>
  <c r="AE45" i="1"/>
  <c r="AE52" i="1"/>
  <c r="AE53" i="1"/>
  <c r="AE60" i="1"/>
  <c r="AE61" i="1"/>
  <c r="AE68" i="1"/>
  <c r="AE69" i="1"/>
  <c r="AE76" i="1"/>
  <c r="AE77" i="1"/>
  <c r="AE84" i="1"/>
  <c r="AE85" i="1"/>
  <c r="AE92" i="1"/>
  <c r="AE93" i="1"/>
  <c r="AE100" i="1"/>
  <c r="AE101" i="1"/>
  <c r="AE108" i="1"/>
  <c r="AE109" i="1"/>
  <c r="AE116" i="1"/>
  <c r="AE117" i="1"/>
  <c r="AE119" i="1"/>
  <c r="AE33" i="1"/>
  <c r="AH33" i="1"/>
  <c r="U44" i="5" l="1"/>
  <c r="U45" i="5"/>
  <c r="U46" i="5"/>
  <c r="U47" i="5"/>
  <c r="U48" i="5"/>
  <c r="U49" i="5"/>
  <c r="U50" i="5"/>
  <c r="U51" i="5"/>
  <c r="U52" i="5"/>
  <c r="U53" i="5"/>
  <c r="U54" i="5"/>
  <c r="U55" i="5"/>
  <c r="U43" i="5"/>
  <c r="H93" i="5"/>
  <c r="H94" i="5"/>
  <c r="H95" i="5"/>
  <c r="H8" i="5" s="1"/>
  <c r="H96" i="5"/>
  <c r="H97" i="5"/>
  <c r="H98" i="5"/>
  <c r="H99" i="5"/>
  <c r="H12" i="5" s="1"/>
  <c r="H100" i="5"/>
  <c r="H101" i="5"/>
  <c r="H102" i="5"/>
  <c r="H103" i="5"/>
  <c r="H92" i="5"/>
  <c r="H81" i="5"/>
  <c r="H82" i="5"/>
  <c r="H83" i="5"/>
  <c r="H84" i="5"/>
  <c r="H85" i="5"/>
  <c r="H86" i="5"/>
  <c r="H87" i="5"/>
  <c r="H88" i="5"/>
  <c r="H89" i="5"/>
  <c r="H90" i="5"/>
  <c r="H91" i="5"/>
  <c r="H80" i="5"/>
  <c r="H69" i="5"/>
  <c r="H70" i="5"/>
  <c r="H71" i="5"/>
  <c r="H72" i="5"/>
  <c r="H73" i="5"/>
  <c r="H74" i="5"/>
  <c r="H75" i="5"/>
  <c r="H76" i="5"/>
  <c r="H77" i="5"/>
  <c r="H78" i="5"/>
  <c r="H79" i="5"/>
  <c r="H68" i="5"/>
  <c r="H57" i="5"/>
  <c r="H58" i="5"/>
  <c r="H59" i="5"/>
  <c r="H60" i="5"/>
  <c r="H61" i="5"/>
  <c r="H62" i="5"/>
  <c r="H63" i="5"/>
  <c r="H64" i="5"/>
  <c r="H65" i="5"/>
  <c r="H66" i="5"/>
  <c r="H67" i="5"/>
  <c r="H56" i="5"/>
  <c r="H45" i="5"/>
  <c r="H46" i="5"/>
  <c r="H47" i="5"/>
  <c r="H48" i="5"/>
  <c r="H49" i="5"/>
  <c r="H50" i="5"/>
  <c r="H51" i="5"/>
  <c r="H52" i="5"/>
  <c r="H53" i="5"/>
  <c r="H54" i="5"/>
  <c r="H55" i="5"/>
  <c r="H44" i="5"/>
  <c r="H33" i="5"/>
  <c r="H34" i="5"/>
  <c r="H35" i="5"/>
  <c r="H36" i="5"/>
  <c r="H37" i="5"/>
  <c r="H38" i="5"/>
  <c r="H39" i="5"/>
  <c r="H40" i="5"/>
  <c r="H41" i="5"/>
  <c r="H42" i="5"/>
  <c r="H43" i="5"/>
  <c r="H32" i="5"/>
  <c r="H23" i="5"/>
  <c r="H24" i="5"/>
  <c r="H25" i="5"/>
  <c r="H26" i="5"/>
  <c r="H27" i="5"/>
  <c r="H28" i="5"/>
  <c r="H29" i="5"/>
  <c r="H30" i="5"/>
  <c r="H31" i="5"/>
  <c r="H21" i="5"/>
  <c r="H22" i="5"/>
  <c r="H20" i="5"/>
  <c r="H16" i="5"/>
  <c r="G103" i="5"/>
  <c r="H14" i="5"/>
  <c r="H10" i="5"/>
  <c r="G91" i="5"/>
  <c r="G79" i="5"/>
  <c r="G67" i="5"/>
  <c r="G55" i="5"/>
  <c r="G43" i="5"/>
  <c r="G31" i="5"/>
  <c r="Y69" i="5"/>
  <c r="Y70" i="5"/>
  <c r="Y71" i="5"/>
  <c r="Y72" i="5"/>
  <c r="Y73" i="5"/>
  <c r="Y74" i="5"/>
  <c r="Y75" i="5"/>
  <c r="Y76" i="5"/>
  <c r="Y77" i="5"/>
  <c r="Y78" i="5"/>
  <c r="Y79" i="5"/>
  <c r="Y68" i="5"/>
  <c r="Y57" i="5"/>
  <c r="Y58" i="5"/>
  <c r="Y59" i="5"/>
  <c r="Y60" i="5"/>
  <c r="Y61" i="5"/>
  <c r="Y62" i="5"/>
  <c r="Y63" i="5"/>
  <c r="Y64" i="5"/>
  <c r="Y65" i="5"/>
  <c r="Y66" i="5"/>
  <c r="Y67" i="5"/>
  <c r="Y56" i="5"/>
  <c r="Y45" i="5"/>
  <c r="Y46" i="5"/>
  <c r="Y47" i="5"/>
  <c r="Y48" i="5"/>
  <c r="Y49" i="5"/>
  <c r="Y50" i="5"/>
  <c r="Y51" i="5"/>
  <c r="Y52" i="5"/>
  <c r="Y53" i="5"/>
  <c r="Y54" i="5"/>
  <c r="Y55" i="5"/>
  <c r="Y44" i="5"/>
  <c r="Y33" i="5"/>
  <c r="Y34" i="5"/>
  <c r="Y35" i="5"/>
  <c r="Y36" i="5"/>
  <c r="Y37" i="5"/>
  <c r="Y38" i="5"/>
  <c r="Y39" i="5"/>
  <c r="Y40" i="5"/>
  <c r="Y41" i="5"/>
  <c r="Y42" i="5"/>
  <c r="Y43" i="5"/>
  <c r="Y32" i="5"/>
  <c r="X62" i="5"/>
  <c r="X63" i="5"/>
  <c r="X64" i="5"/>
  <c r="X65" i="5"/>
  <c r="X66" i="5"/>
  <c r="X67" i="5"/>
  <c r="X68" i="5"/>
  <c r="X69" i="5"/>
  <c r="X70" i="5"/>
  <c r="X71" i="5"/>
  <c r="X72" i="5"/>
  <c r="X61" i="5"/>
  <c r="X50" i="5"/>
  <c r="X51" i="5"/>
  <c r="X52" i="5"/>
  <c r="X53" i="5"/>
  <c r="X54" i="5"/>
  <c r="X55" i="5"/>
  <c r="X56" i="5"/>
  <c r="X57" i="5"/>
  <c r="X58" i="5"/>
  <c r="X59" i="5"/>
  <c r="X60" i="5"/>
  <c r="X49" i="5"/>
  <c r="X38" i="5"/>
  <c r="X39" i="5"/>
  <c r="X40" i="5"/>
  <c r="X41" i="5"/>
  <c r="X42" i="5"/>
  <c r="X43" i="5"/>
  <c r="X44" i="5"/>
  <c r="X45" i="5"/>
  <c r="X46" i="5"/>
  <c r="X47" i="5"/>
  <c r="X48" i="5"/>
  <c r="X37" i="5"/>
  <c r="X26" i="5"/>
  <c r="X27" i="5"/>
  <c r="X28" i="5"/>
  <c r="X29" i="5"/>
  <c r="X30" i="5"/>
  <c r="X31" i="5"/>
  <c r="X32" i="5"/>
  <c r="X33" i="5"/>
  <c r="X34" i="5"/>
  <c r="X35" i="5"/>
  <c r="X36" i="5"/>
  <c r="X25" i="5"/>
  <c r="U69" i="5"/>
  <c r="U70" i="5"/>
  <c r="U71" i="5"/>
  <c r="U72" i="5"/>
  <c r="U73" i="5"/>
  <c r="U74" i="5"/>
  <c r="U75" i="5"/>
  <c r="U76" i="5"/>
  <c r="U77" i="5"/>
  <c r="U78" i="5"/>
  <c r="U79" i="5"/>
  <c r="U68" i="5"/>
  <c r="U57" i="5"/>
  <c r="U58" i="5"/>
  <c r="U59" i="5"/>
  <c r="U60" i="5"/>
  <c r="U61" i="5"/>
  <c r="U62" i="5"/>
  <c r="U63" i="5"/>
  <c r="U64" i="5"/>
  <c r="U65" i="5"/>
  <c r="U66" i="5"/>
  <c r="U67" i="5"/>
  <c r="U56" i="5"/>
  <c r="U33" i="5"/>
  <c r="U34" i="5"/>
  <c r="U7" i="5" s="1"/>
  <c r="U35" i="5"/>
  <c r="U36" i="5"/>
  <c r="U9" i="5" s="1"/>
  <c r="U37" i="5"/>
  <c r="U38" i="5"/>
  <c r="U11" i="5" s="1"/>
  <c r="U39" i="5"/>
  <c r="U12" i="5" s="1"/>
  <c r="U40" i="5"/>
  <c r="U13" i="5" s="1"/>
  <c r="U41" i="5"/>
  <c r="U14" i="5" s="1"/>
  <c r="U42" i="5"/>
  <c r="U15" i="5" s="1"/>
  <c r="U32" i="5"/>
  <c r="T62" i="5"/>
  <c r="T63" i="5"/>
  <c r="T64" i="5"/>
  <c r="T65" i="5"/>
  <c r="T66" i="5"/>
  <c r="T67" i="5"/>
  <c r="T68" i="5"/>
  <c r="T69" i="5"/>
  <c r="T70" i="5"/>
  <c r="T71" i="5"/>
  <c r="T72" i="5"/>
  <c r="T61" i="5"/>
  <c r="T50" i="5"/>
  <c r="T51" i="5"/>
  <c r="T52" i="5"/>
  <c r="T53" i="5"/>
  <c r="T54" i="5"/>
  <c r="T55" i="5"/>
  <c r="T56" i="5"/>
  <c r="T57" i="5"/>
  <c r="T58" i="5"/>
  <c r="T59" i="5"/>
  <c r="T60" i="5"/>
  <c r="T49" i="5"/>
  <c r="T38" i="5"/>
  <c r="T39" i="5"/>
  <c r="T40" i="5"/>
  <c r="T41" i="5"/>
  <c r="T42" i="5"/>
  <c r="T43" i="5"/>
  <c r="T44" i="5"/>
  <c r="T45" i="5"/>
  <c r="T46" i="5"/>
  <c r="T47" i="5"/>
  <c r="T48" i="5"/>
  <c r="T37" i="5"/>
  <c r="T26" i="5"/>
  <c r="T27" i="5"/>
  <c r="T28" i="5"/>
  <c r="T29" i="5"/>
  <c r="T30" i="5"/>
  <c r="T31" i="5"/>
  <c r="T32" i="5"/>
  <c r="T33" i="5"/>
  <c r="T34" i="5"/>
  <c r="T35" i="5"/>
  <c r="T36" i="5"/>
  <c r="T25" i="5"/>
  <c r="W79" i="5"/>
  <c r="W72" i="5"/>
  <c r="W67" i="5"/>
  <c r="W60" i="5"/>
  <c r="W55" i="5"/>
  <c r="W48" i="5"/>
  <c r="W43" i="5"/>
  <c r="W36" i="5"/>
  <c r="S79" i="5"/>
  <c r="S72" i="5"/>
  <c r="S67" i="5"/>
  <c r="S60" i="5"/>
  <c r="S55" i="5"/>
  <c r="S48" i="5"/>
  <c r="S43" i="5"/>
  <c r="S36" i="5"/>
  <c r="P45" i="5"/>
  <c r="P46" i="5"/>
  <c r="P47" i="5"/>
  <c r="P48" i="5"/>
  <c r="P49" i="5"/>
  <c r="P50" i="5"/>
  <c r="P51" i="5"/>
  <c r="P52" i="5"/>
  <c r="P53" i="5"/>
  <c r="P54" i="5"/>
  <c r="P55" i="5"/>
  <c r="P44" i="5"/>
  <c r="P69" i="5"/>
  <c r="P70" i="5"/>
  <c r="P71" i="5"/>
  <c r="P72" i="5"/>
  <c r="P73" i="5"/>
  <c r="P74" i="5"/>
  <c r="P75" i="5"/>
  <c r="P76" i="5"/>
  <c r="P77" i="5"/>
  <c r="P78" i="5"/>
  <c r="P79" i="5"/>
  <c r="P68" i="5"/>
  <c r="P57" i="5"/>
  <c r="P58" i="5"/>
  <c r="P59" i="5"/>
  <c r="P60" i="5"/>
  <c r="P61" i="5"/>
  <c r="P62" i="5"/>
  <c r="P63" i="5"/>
  <c r="P64" i="5"/>
  <c r="P65" i="5"/>
  <c r="P66" i="5"/>
  <c r="P67" i="5"/>
  <c r="P56" i="5"/>
  <c r="O62" i="5"/>
  <c r="O63" i="5"/>
  <c r="O64" i="5"/>
  <c r="O65" i="5"/>
  <c r="O66" i="5"/>
  <c r="O67" i="5"/>
  <c r="O68" i="5"/>
  <c r="O69" i="5"/>
  <c r="O70" i="5"/>
  <c r="O71" i="5"/>
  <c r="O72" i="5"/>
  <c r="O61" i="5"/>
  <c r="O50" i="5"/>
  <c r="O51" i="5"/>
  <c r="O52" i="5"/>
  <c r="O53" i="5"/>
  <c r="O54" i="5"/>
  <c r="O55" i="5"/>
  <c r="O56" i="5"/>
  <c r="O57" i="5"/>
  <c r="O58" i="5"/>
  <c r="O59" i="5"/>
  <c r="O60" i="5"/>
  <c r="O49" i="5"/>
  <c r="O38" i="5"/>
  <c r="O39" i="5"/>
  <c r="O40" i="5"/>
  <c r="O41" i="5"/>
  <c r="O42" i="5"/>
  <c r="O43" i="5"/>
  <c r="O44" i="5"/>
  <c r="O45" i="5"/>
  <c r="O46" i="5"/>
  <c r="O47" i="5"/>
  <c r="O48" i="5"/>
  <c r="O37" i="5"/>
  <c r="P37" i="5"/>
  <c r="P38" i="5"/>
  <c r="P39" i="5"/>
  <c r="P40" i="5"/>
  <c r="P41" i="5"/>
  <c r="P42" i="5"/>
  <c r="P43" i="5"/>
  <c r="P33" i="5"/>
  <c r="P34" i="5"/>
  <c r="P35" i="5"/>
  <c r="P36" i="5"/>
  <c r="O32" i="5"/>
  <c r="O33" i="5"/>
  <c r="O34" i="5"/>
  <c r="O35" i="5"/>
  <c r="O36" i="5"/>
  <c r="P32" i="5"/>
  <c r="O26" i="5"/>
  <c r="O27" i="5"/>
  <c r="O28" i="5"/>
  <c r="O29" i="5"/>
  <c r="O30" i="5"/>
  <c r="O31" i="5"/>
  <c r="O25" i="5"/>
  <c r="N79" i="5"/>
  <c r="N67" i="5"/>
  <c r="N55" i="5"/>
  <c r="N43" i="5"/>
  <c r="N72" i="5"/>
  <c r="N60" i="5"/>
  <c r="N48" i="5"/>
  <c r="N36" i="5"/>
  <c r="E93" i="5"/>
  <c r="E94" i="5"/>
  <c r="AB94" i="5" s="1"/>
  <c r="E95" i="5"/>
  <c r="E96" i="5"/>
  <c r="AB96" i="5" s="1"/>
  <c r="E97" i="5"/>
  <c r="E98" i="5"/>
  <c r="AB98" i="5" s="1"/>
  <c r="E99" i="5"/>
  <c r="E100" i="5"/>
  <c r="AB100" i="5" s="1"/>
  <c r="E101" i="5"/>
  <c r="E102" i="5"/>
  <c r="AB102" i="5" s="1"/>
  <c r="E103" i="5"/>
  <c r="E92" i="5"/>
  <c r="AB92" i="5" s="1"/>
  <c r="E81" i="5"/>
  <c r="E82" i="5"/>
  <c r="AB82" i="5" s="1"/>
  <c r="E83" i="5"/>
  <c r="E84" i="5"/>
  <c r="AB84" i="5" s="1"/>
  <c r="E85" i="5"/>
  <c r="E86" i="5"/>
  <c r="AB86" i="5" s="1"/>
  <c r="E87" i="5"/>
  <c r="E88" i="5"/>
  <c r="AB88" i="5" s="1"/>
  <c r="E89" i="5"/>
  <c r="E90" i="5"/>
  <c r="AB90" i="5" s="1"/>
  <c r="E91" i="5"/>
  <c r="E80" i="5"/>
  <c r="AB80" i="5" s="1"/>
  <c r="E69" i="5"/>
  <c r="E70" i="5"/>
  <c r="AB70" i="5" s="1"/>
  <c r="E71" i="5"/>
  <c r="E72" i="5"/>
  <c r="AB72" i="5" s="1"/>
  <c r="E73" i="5"/>
  <c r="E74" i="5"/>
  <c r="AB74" i="5" s="1"/>
  <c r="E75" i="5"/>
  <c r="E76" i="5"/>
  <c r="AB76" i="5" s="1"/>
  <c r="E77" i="5"/>
  <c r="E78" i="5"/>
  <c r="AB78" i="5" s="1"/>
  <c r="E79" i="5"/>
  <c r="E68" i="5"/>
  <c r="AB68" i="5" s="1"/>
  <c r="E57" i="5"/>
  <c r="E58" i="5"/>
  <c r="AB58" i="5" s="1"/>
  <c r="E59" i="5"/>
  <c r="E60" i="5"/>
  <c r="AB60" i="5" s="1"/>
  <c r="E61" i="5"/>
  <c r="E62" i="5"/>
  <c r="AB62" i="5" s="1"/>
  <c r="E63" i="5"/>
  <c r="E64" i="5"/>
  <c r="AB64" i="5" s="1"/>
  <c r="E65" i="5"/>
  <c r="E66" i="5"/>
  <c r="AB66" i="5" s="1"/>
  <c r="E67" i="5"/>
  <c r="E56" i="5"/>
  <c r="AB56" i="5" s="1"/>
  <c r="E45" i="5"/>
  <c r="E46" i="5"/>
  <c r="AB46" i="5" s="1"/>
  <c r="E47" i="5"/>
  <c r="E48" i="5"/>
  <c r="AB48" i="5" s="1"/>
  <c r="E49" i="5"/>
  <c r="E50" i="5"/>
  <c r="AB50" i="5" s="1"/>
  <c r="E51" i="5"/>
  <c r="E52" i="5"/>
  <c r="AB52" i="5" s="1"/>
  <c r="E53" i="5"/>
  <c r="E54" i="5"/>
  <c r="AB54" i="5" s="1"/>
  <c r="E55" i="5"/>
  <c r="E44" i="5"/>
  <c r="AB44" i="5" s="1"/>
  <c r="E33" i="5"/>
  <c r="E34" i="5"/>
  <c r="AB34" i="5" s="1"/>
  <c r="E35" i="5"/>
  <c r="E36" i="5"/>
  <c r="AB36" i="5" s="1"/>
  <c r="E37" i="5"/>
  <c r="E38" i="5"/>
  <c r="AB38" i="5" s="1"/>
  <c r="E39" i="5"/>
  <c r="E40" i="5"/>
  <c r="AB40" i="5" s="1"/>
  <c r="E41" i="5"/>
  <c r="E42" i="5"/>
  <c r="AB42" i="5" s="1"/>
  <c r="E43" i="5"/>
  <c r="E32" i="5"/>
  <c r="AB32" i="5" s="1"/>
  <c r="E21" i="5"/>
  <c r="E22" i="5"/>
  <c r="E23" i="5"/>
  <c r="E24" i="5"/>
  <c r="E25" i="5"/>
  <c r="E26" i="5"/>
  <c r="AB26" i="5" s="1"/>
  <c r="E27" i="5"/>
  <c r="E28" i="5"/>
  <c r="AB28" i="5" s="1"/>
  <c r="E29" i="5"/>
  <c r="E30" i="5"/>
  <c r="AB30" i="5" s="1"/>
  <c r="E31" i="5"/>
  <c r="E20" i="5"/>
  <c r="D103" i="5"/>
  <c r="D91" i="5"/>
  <c r="D79" i="5"/>
  <c r="D67" i="5"/>
  <c r="D55" i="5"/>
  <c r="D43" i="5"/>
  <c r="D31" i="5"/>
  <c r="AB31" i="5" l="1"/>
  <c r="AB29" i="5"/>
  <c r="AB27" i="5"/>
  <c r="AB25" i="5"/>
  <c r="AB43" i="5"/>
  <c r="AB41" i="5"/>
  <c r="AB39" i="5"/>
  <c r="AB37" i="5"/>
  <c r="AB35" i="5"/>
  <c r="AB33" i="5"/>
  <c r="AB55" i="5"/>
  <c r="AB53" i="5"/>
  <c r="AB51" i="5"/>
  <c r="AB49" i="5"/>
  <c r="AB47" i="5"/>
  <c r="AB45" i="5"/>
  <c r="AB67" i="5"/>
  <c r="AB65" i="5"/>
  <c r="AB63" i="5"/>
  <c r="AB61" i="5"/>
  <c r="AB59" i="5"/>
  <c r="AB57" i="5"/>
  <c r="AB79" i="5"/>
  <c r="AB77" i="5"/>
  <c r="AB75" i="5"/>
  <c r="AB73" i="5"/>
  <c r="AB71" i="5"/>
  <c r="AB69" i="5"/>
  <c r="AB91" i="5"/>
  <c r="AB89" i="5"/>
  <c r="V89" i="5" s="1"/>
  <c r="AB87" i="5"/>
  <c r="AB85" i="5"/>
  <c r="V85" i="5" s="1"/>
  <c r="AB83" i="5"/>
  <c r="AB81" i="5"/>
  <c r="V81" i="5" s="1"/>
  <c r="AB103" i="5"/>
  <c r="AB101" i="5"/>
  <c r="AB14" i="5" s="1"/>
  <c r="AB99" i="5"/>
  <c r="AB97" i="5"/>
  <c r="AB10" i="5" s="1"/>
  <c r="AB95" i="5"/>
  <c r="AB93" i="5"/>
  <c r="AB6" i="5" s="1"/>
  <c r="H6" i="5"/>
  <c r="V91" i="5"/>
  <c r="R91" i="5"/>
  <c r="M91" i="5"/>
  <c r="R89" i="5"/>
  <c r="V87" i="5"/>
  <c r="R87" i="5"/>
  <c r="M87" i="5"/>
  <c r="R85" i="5"/>
  <c r="V83" i="5"/>
  <c r="R83" i="5"/>
  <c r="M83" i="5"/>
  <c r="R81" i="5"/>
  <c r="AB16" i="5"/>
  <c r="AB12" i="5"/>
  <c r="AB8" i="5"/>
  <c r="V80" i="5"/>
  <c r="R80" i="5"/>
  <c r="M80" i="5"/>
  <c r="V90" i="5"/>
  <c r="R90" i="5"/>
  <c r="M90" i="5"/>
  <c r="V88" i="5"/>
  <c r="R88" i="5"/>
  <c r="M88" i="5"/>
  <c r="V86" i="5"/>
  <c r="R86" i="5"/>
  <c r="M86" i="5"/>
  <c r="V84" i="5"/>
  <c r="R84" i="5"/>
  <c r="M84" i="5"/>
  <c r="V82" i="5"/>
  <c r="R82" i="5"/>
  <c r="M82" i="5"/>
  <c r="AB5" i="5"/>
  <c r="AB15" i="5"/>
  <c r="AB13" i="5"/>
  <c r="AB11" i="5"/>
  <c r="AB9" i="5"/>
  <c r="AB7" i="5"/>
  <c r="H5" i="5"/>
  <c r="H15" i="5"/>
  <c r="H13" i="5"/>
  <c r="H11" i="5"/>
  <c r="H9" i="5"/>
  <c r="H7" i="5"/>
  <c r="E16" i="5"/>
  <c r="E14" i="5"/>
  <c r="E12" i="5"/>
  <c r="E10" i="5"/>
  <c r="E8" i="5"/>
  <c r="E6" i="5"/>
  <c r="O9" i="5"/>
  <c r="O7" i="5"/>
  <c r="O5" i="5"/>
  <c r="O17" i="5" s="1"/>
  <c r="O15" i="5"/>
  <c r="O13" i="5"/>
  <c r="O11" i="5"/>
  <c r="P16" i="5"/>
  <c r="P14" i="5"/>
  <c r="P12" i="5"/>
  <c r="P10" i="5"/>
  <c r="P8" i="5"/>
  <c r="P6" i="5"/>
  <c r="T9" i="5"/>
  <c r="T7" i="5"/>
  <c r="T5" i="5"/>
  <c r="T15" i="5"/>
  <c r="T13" i="5"/>
  <c r="T11" i="5"/>
  <c r="U5" i="5"/>
  <c r="X10" i="5"/>
  <c r="X8" i="5"/>
  <c r="X6" i="5"/>
  <c r="X16" i="5"/>
  <c r="X14" i="5"/>
  <c r="X12" i="5"/>
  <c r="Y5" i="5"/>
  <c r="Y15" i="5"/>
  <c r="Y13" i="5"/>
  <c r="Y11" i="5"/>
  <c r="Y9" i="5"/>
  <c r="Y7" i="5"/>
  <c r="E5" i="5"/>
  <c r="E15" i="5"/>
  <c r="E13" i="5"/>
  <c r="E11" i="5"/>
  <c r="E9" i="5"/>
  <c r="E7" i="5"/>
  <c r="O10" i="5"/>
  <c r="O8" i="5"/>
  <c r="O6" i="5"/>
  <c r="O16" i="5"/>
  <c r="O14" i="5"/>
  <c r="O12" i="5"/>
  <c r="P5" i="5"/>
  <c r="P15" i="5"/>
  <c r="P13" i="5"/>
  <c r="P11" i="5"/>
  <c r="P9" i="5"/>
  <c r="P7" i="5"/>
  <c r="T10" i="5"/>
  <c r="T8" i="5"/>
  <c r="T6" i="5"/>
  <c r="T16" i="5"/>
  <c r="T14" i="5"/>
  <c r="T12" i="5"/>
  <c r="X9" i="5"/>
  <c r="X7" i="5"/>
  <c r="X5" i="5"/>
  <c r="X15" i="5"/>
  <c r="X13" i="5"/>
  <c r="X11" i="5"/>
  <c r="Y16" i="5"/>
  <c r="Y14" i="5"/>
  <c r="Y12" i="5"/>
  <c r="Y10" i="5"/>
  <c r="Y8" i="5"/>
  <c r="Y6" i="5"/>
  <c r="U10" i="5"/>
  <c r="U8" i="5"/>
  <c r="U6" i="5"/>
  <c r="E17" i="5"/>
  <c r="P17" i="5"/>
  <c r="U16" i="5"/>
  <c r="H17" i="5"/>
  <c r="M81" i="5" l="1"/>
  <c r="M85" i="5"/>
  <c r="J85" i="5" s="1"/>
  <c r="M89" i="5"/>
  <c r="X17" i="5"/>
  <c r="T17" i="5"/>
  <c r="J12" i="5"/>
  <c r="J16" i="5"/>
  <c r="J8" i="5"/>
  <c r="J13" i="5"/>
  <c r="J5" i="5"/>
  <c r="J9" i="5"/>
  <c r="J14" i="5"/>
  <c r="J6" i="5"/>
  <c r="J10" i="5"/>
  <c r="J11" i="5"/>
  <c r="J15" i="5"/>
  <c r="J7" i="5"/>
  <c r="J82" i="5"/>
  <c r="J86" i="5"/>
  <c r="J90" i="5"/>
  <c r="J81" i="5"/>
  <c r="J89" i="5"/>
  <c r="AB17" i="5"/>
  <c r="J84" i="5"/>
  <c r="J88" i="5"/>
  <c r="J80" i="5"/>
  <c r="J83" i="5"/>
  <c r="J87" i="5"/>
  <c r="J91" i="5"/>
  <c r="Y17" i="5"/>
  <c r="U17" i="5"/>
  <c r="L53" i="1" l="1"/>
  <c r="J17" i="5"/>
</calcChain>
</file>

<file path=xl/sharedStrings.xml><?xml version="1.0" encoding="utf-8"?>
<sst xmlns="http://schemas.openxmlformats.org/spreadsheetml/2006/main" count="8459" uniqueCount="546">
  <si>
    <t>合計</t>
  </si>
  <si>
    <t>h24</t>
  </si>
  <si>
    <t>h25</t>
  </si>
  <si>
    <t>h26</t>
  </si>
  <si>
    <t>h27</t>
  </si>
  <si>
    <t>h28</t>
  </si>
  <si>
    <t>h29</t>
  </si>
  <si>
    <t>h30</t>
  </si>
  <si>
    <t>放流水</t>
  </si>
  <si>
    <t>名取クリーンセンター</t>
  </si>
  <si>
    <t>浄化センター</t>
  </si>
  <si>
    <t>焼却灰(主灰)</t>
  </si>
  <si>
    <t>岩沼東部環境センター</t>
  </si>
  <si>
    <t>※測定方法：ゲルマニウム半導体検出器によるガンマ線スベクトリーＧｅ半導体検出器による。</t>
  </si>
  <si>
    <t>ばいじん(飛灰)</t>
  </si>
  <si>
    <t>ぱいじん(飛灰)</t>
  </si>
  <si>
    <t>焼却灰(混合灰)</t>
  </si>
  <si>
    <t>焼却灰て主灰)</t>
  </si>
  <si>
    <t>Cs134</t>
  </si>
  <si>
    <t>Cs137</t>
  </si>
  <si>
    <t>亘理清掃センター</t>
  </si>
  <si>
    <t>岩沼一般廃棄物最終処分場</t>
  </si>
  <si>
    <t>1/31</t>
  </si>
  <si>
    <t>3/9</t>
  </si>
  <si>
    <t>4/25</t>
  </si>
  <si>
    <t>5/16</t>
  </si>
  <si>
    <t>6/29</t>
  </si>
  <si>
    <t>8/31</t>
  </si>
  <si>
    <t>9/24</t>
  </si>
  <si>
    <t>10/12</t>
  </si>
  <si>
    <t>12/13</t>
  </si>
  <si>
    <t>1/29</t>
  </si>
  <si>
    <t>2/6</t>
  </si>
  <si>
    <t>3/15</t>
  </si>
  <si>
    <t>8/23</t>
  </si>
  <si>
    <t>9/5</t>
  </si>
  <si>
    <t>10/17</t>
  </si>
  <si>
    <t>12/4</t>
  </si>
  <si>
    <t>3/8</t>
  </si>
  <si>
    <t>4/24</t>
  </si>
  <si>
    <t>5/14</t>
  </si>
  <si>
    <t>6/18</t>
  </si>
  <si>
    <t>8/20</t>
  </si>
  <si>
    <t>12/3</t>
  </si>
  <si>
    <t>1/24</t>
  </si>
  <si>
    <t>2/18</t>
  </si>
  <si>
    <t>3/4</t>
  </si>
  <si>
    <t>4/11</t>
  </si>
  <si>
    <t>6/11</t>
  </si>
  <si>
    <t>9/26</t>
  </si>
  <si>
    <t>10/2</t>
  </si>
  <si>
    <t>11/12</t>
  </si>
  <si>
    <t>12/25</t>
  </si>
  <si>
    <t>1/8</t>
  </si>
  <si>
    <t>2/5</t>
  </si>
  <si>
    <t>3/19</t>
  </si>
  <si>
    <t>4/19</t>
  </si>
  <si>
    <t>5/23</t>
  </si>
  <si>
    <t>6/14</t>
  </si>
  <si>
    <t>8/8</t>
  </si>
  <si>
    <t>9/10</t>
  </si>
  <si>
    <t>10/29</t>
  </si>
  <si>
    <t>11/22</t>
  </si>
  <si>
    <t>12/19</t>
  </si>
  <si>
    <t>1/9</t>
  </si>
  <si>
    <t>2/14</t>
  </si>
  <si>
    <t>3/12</t>
  </si>
  <si>
    <t>4/26</t>
  </si>
  <si>
    <t>5/24</t>
  </si>
  <si>
    <t>6/21</t>
  </si>
  <si>
    <t>8/25</t>
  </si>
  <si>
    <t>9/20</t>
  </si>
  <si>
    <t>10/11</t>
  </si>
  <si>
    <t>11/14</t>
  </si>
  <si>
    <t>12/26</t>
  </si>
  <si>
    <t>3/14</t>
  </si>
  <si>
    <t>4/16</t>
  </si>
  <si>
    <t>5/21</t>
  </si>
  <si>
    <t>9/19</t>
  </si>
  <si>
    <t>10/24</t>
  </si>
  <si>
    <t>11/13</t>
  </si>
  <si>
    <t>1/23</t>
  </si>
  <si>
    <t>2/20</t>
  </si>
  <si>
    <t>3/13</t>
  </si>
  <si>
    <t>5/15</t>
  </si>
  <si>
    <t>6/5</t>
  </si>
  <si>
    <t>9/4</t>
  </si>
  <si>
    <t>1/22</t>
  </si>
  <si>
    <t>2/4</t>
  </si>
  <si>
    <t>3/5</t>
  </si>
  <si>
    <t>4/15</t>
  </si>
  <si>
    <t>8/6</t>
  </si>
  <si>
    <t>9/3</t>
  </si>
  <si>
    <t>4/17</t>
  </si>
  <si>
    <t>5/13</t>
  </si>
  <si>
    <t>8/5</t>
  </si>
  <si>
    <t>9/2</t>
  </si>
  <si>
    <t>12/2</t>
  </si>
  <si>
    <t>2/26</t>
  </si>
  <si>
    <t>7/10</t>
  </si>
  <si>
    <t>8/21</t>
  </si>
  <si>
    <t>9/9</t>
  </si>
  <si>
    <t>1/6</t>
  </si>
  <si>
    <t>7/9</t>
  </si>
  <si>
    <t>8/7</t>
  </si>
  <si>
    <t>1/7</t>
  </si>
  <si>
    <t>3/17</t>
  </si>
  <si>
    <t>3/26</t>
  </si>
  <si>
    <t>1/28</t>
  </si>
  <si>
    <t>2/27</t>
  </si>
  <si>
    <t>5/12</t>
  </si>
  <si>
    <t>6/16</t>
  </si>
  <si>
    <t>7/8</t>
  </si>
  <si>
    <t>9/17</t>
  </si>
  <si>
    <t>12/9</t>
  </si>
  <si>
    <t>1/21</t>
  </si>
  <si>
    <t>2/17</t>
  </si>
  <si>
    <t>3/25</t>
  </si>
  <si>
    <t>9/16</t>
  </si>
  <si>
    <t>1/19</t>
  </si>
  <si>
    <t>3/2</t>
  </si>
  <si>
    <t>7/12</t>
  </si>
  <si>
    <t>7/25</t>
  </si>
  <si>
    <t>7/23</t>
  </si>
  <si>
    <t>7/18</t>
  </si>
  <si>
    <t>7/26</t>
  </si>
  <si>
    <t>7/24</t>
  </si>
  <si>
    <t>7/2</t>
  </si>
  <si>
    <t>7/1</t>
  </si>
  <si>
    <t>刻0</t>
  </si>
  <si>
    <t>ND</t>
  </si>
  <si>
    <t>※NDとは：検出下限値以下で不検出となります。</t>
  </si>
  <si>
    <t>h23</t>
  </si>
  <si>
    <t>10/9</t>
  </si>
  <si>
    <t>10/8</t>
  </si>
  <si>
    <t>11/26</t>
  </si>
  <si>
    <t>6/10</t>
  </si>
  <si>
    <t>10/7</t>
  </si>
  <si>
    <t>11/11</t>
  </si>
  <si>
    <t>11/7</t>
  </si>
  <si>
    <t>10/16</t>
  </si>
  <si>
    <t>11/4</t>
  </si>
  <si>
    <t>10/15</t>
  </si>
  <si>
    <t>11/5</t>
  </si>
  <si>
    <t>12/10</t>
  </si>
  <si>
    <t>10/14</t>
  </si>
  <si>
    <t>10/13</t>
  </si>
  <si>
    <t>11/6</t>
  </si>
  <si>
    <t>2/29</t>
  </si>
  <si>
    <t>2/29</t>
    <phoneticPr fontId="2"/>
  </si>
  <si>
    <t>11/11</t>
    <phoneticPr fontId="2"/>
  </si>
  <si>
    <t>2/5</t>
    <phoneticPr fontId="2"/>
  </si>
  <si>
    <t>【単位：Bq/kg】</t>
    <phoneticPr fontId="2"/>
  </si>
  <si>
    <t>廃棄物等の放射性物質測定結果一覧</t>
    <phoneticPr fontId="2"/>
  </si>
  <si>
    <t>4/22</t>
  </si>
  <si>
    <t>4/28</t>
  </si>
  <si>
    <t>4/13</t>
  </si>
  <si>
    <t>5/19</t>
  </si>
  <si>
    <t>5/11</t>
  </si>
  <si>
    <t>6/9</t>
  </si>
  <si>
    <t>6/23</t>
  </si>
  <si>
    <t>6/28</t>
  </si>
  <si>
    <t>6/15</t>
  </si>
  <si>
    <t>6/13</t>
  </si>
  <si>
    <t>7/14</t>
  </si>
  <si>
    <t>7/27</t>
  </si>
  <si>
    <t>7/28</t>
  </si>
  <si>
    <t>7/19</t>
  </si>
  <si>
    <t>8/17</t>
  </si>
  <si>
    <t>8/26</t>
  </si>
  <si>
    <t>8/24</t>
  </si>
  <si>
    <t>8/22</t>
  </si>
  <si>
    <t>9/8</t>
  </si>
  <si>
    <t>9/6</t>
  </si>
  <si>
    <t>9/13</t>
  </si>
  <si>
    <t>9/12</t>
  </si>
  <si>
    <t>10/19</t>
  </si>
  <si>
    <t>10/10</t>
  </si>
  <si>
    <t>11/4</t>
    <phoneticPr fontId="2"/>
  </si>
  <si>
    <t>11/6</t>
    <phoneticPr fontId="2"/>
  </si>
  <si>
    <t>11/8</t>
  </si>
  <si>
    <t>11/8</t>
    <phoneticPr fontId="2"/>
  </si>
  <si>
    <t>11/9</t>
  </si>
  <si>
    <t>11/9</t>
    <phoneticPr fontId="2"/>
  </si>
  <si>
    <t>11/2</t>
  </si>
  <si>
    <t>11/15</t>
  </si>
  <si>
    <t>11/28</t>
  </si>
  <si>
    <t>12/16</t>
  </si>
  <si>
    <t>12/15</t>
  </si>
  <si>
    <t>12/12</t>
  </si>
  <si>
    <t>12/20</t>
  </si>
  <si>
    <t>12/17</t>
  </si>
  <si>
    <t>1/11</t>
  </si>
  <si>
    <t>1/17</t>
  </si>
  <si>
    <t>1/10</t>
  </si>
  <si>
    <t>1/15</t>
  </si>
  <si>
    <t>2/28</t>
  </si>
  <si>
    <t>2/8</t>
  </si>
  <si>
    <t>2/7</t>
  </si>
  <si>
    <t>3/7</t>
  </si>
  <si>
    <t>焼却灰(主灰)1号</t>
    <rPh sb="8" eb="9">
      <t>ゴウ</t>
    </rPh>
    <phoneticPr fontId="5"/>
  </si>
  <si>
    <t>焼却灰(主灰)2号</t>
    <rPh sb="8" eb="9">
      <t>ゴウ</t>
    </rPh>
    <phoneticPr fontId="5"/>
  </si>
  <si>
    <t>焼却灰(主灰)※</t>
    <phoneticPr fontId="5"/>
  </si>
  <si>
    <t>年度</t>
    <rPh sb="0" eb="2">
      <t>ネンド</t>
    </rPh>
    <phoneticPr fontId="9"/>
  </si>
  <si>
    <t>年度
(H17以降)</t>
    <rPh sb="0" eb="2">
      <t>ネンド</t>
    </rPh>
    <phoneticPr fontId="5"/>
  </si>
  <si>
    <t>市町村コード</t>
    <rPh sb="0" eb="3">
      <t>シチョウソン</t>
    </rPh>
    <phoneticPr fontId="5"/>
  </si>
  <si>
    <t>市町村</t>
    <rPh sb="0" eb="3">
      <t>シチョウソン</t>
    </rPh>
    <phoneticPr fontId="5"/>
  </si>
  <si>
    <t>総人口
A</t>
    <rPh sb="0" eb="3">
      <t>ソウジンコウ</t>
    </rPh>
    <phoneticPr fontId="5"/>
  </si>
  <si>
    <t>計画収集人口
Ｂ</t>
    <rPh sb="0" eb="2">
      <t>ケイカク</t>
    </rPh>
    <rPh sb="2" eb="4">
      <t>シュウシュウ</t>
    </rPh>
    <rPh sb="4" eb="6">
      <t>ジンコウ</t>
    </rPh>
    <phoneticPr fontId="5"/>
  </si>
  <si>
    <t>計画収集量  D</t>
    <rPh sb="0" eb="2">
      <t>ケイカク</t>
    </rPh>
    <rPh sb="2" eb="4">
      <t>シュウシュウ</t>
    </rPh>
    <rPh sb="4" eb="5">
      <t>リョウ</t>
    </rPh>
    <phoneticPr fontId="5"/>
  </si>
  <si>
    <t>焼却以外の中間処理量 H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5"/>
  </si>
  <si>
    <t>直接資源化量  I</t>
    <rPh sb="0" eb="2">
      <t>チョクセツ</t>
    </rPh>
    <rPh sb="2" eb="4">
      <t>シゲン</t>
    </rPh>
    <rPh sb="4" eb="5">
      <t>カ</t>
    </rPh>
    <rPh sb="5" eb="6">
      <t>リョウ</t>
    </rPh>
    <phoneticPr fontId="5"/>
  </si>
  <si>
    <t>ごみ処理量 X=F+G+H+I</t>
    <rPh sb="2" eb="4">
      <t>ショリ</t>
    </rPh>
    <rPh sb="4" eb="5">
      <t>リョウ</t>
    </rPh>
    <phoneticPr fontId="5"/>
  </si>
  <si>
    <t>減量処理率 N=(F+H+I)/X</t>
    <rPh sb="0" eb="2">
      <t>ショリ</t>
    </rPh>
    <rPh sb="2" eb="3">
      <t>リツ</t>
    </rPh>
    <phoneticPr fontId="5"/>
  </si>
  <si>
    <t>リサイクル率 R=(I+J+E)/(X+E)</t>
    <rPh sb="3" eb="4">
      <t>リツ</t>
    </rPh>
    <phoneticPr fontId="5"/>
  </si>
  <si>
    <t>焼却残渣量 K</t>
    <rPh sb="0" eb="2">
      <t>ショウキャク</t>
    </rPh>
    <rPh sb="2" eb="4">
      <t>ザンサ</t>
    </rPh>
    <rPh sb="4" eb="5">
      <t>リョウ</t>
    </rPh>
    <phoneticPr fontId="5"/>
  </si>
  <si>
    <t>処理残渣量 L</t>
    <rPh sb="0" eb="2">
      <t>ショリ</t>
    </rPh>
    <rPh sb="2" eb="4">
      <t>ザンサ</t>
    </rPh>
    <rPh sb="4" eb="5">
      <t>リョウ</t>
    </rPh>
    <phoneticPr fontId="5"/>
  </si>
  <si>
    <t>最終処分量 M=G+K+L</t>
    <rPh sb="0" eb="2">
      <t>サイシュウ</t>
    </rPh>
    <rPh sb="2" eb="4">
      <t>ショブン</t>
    </rPh>
    <rPh sb="4" eb="5">
      <t>リョウ</t>
    </rPh>
    <phoneticPr fontId="5"/>
  </si>
  <si>
    <t>備考</t>
    <rPh sb="0" eb="2">
      <t>ビコウ</t>
    </rPh>
    <phoneticPr fontId="5"/>
  </si>
  <si>
    <t>平成10年度</t>
  </si>
  <si>
    <t>平成11年度</t>
  </si>
  <si>
    <t>平成12年度</t>
  </si>
  <si>
    <t>平成13年度</t>
  </si>
  <si>
    <t>平成14年度</t>
  </si>
  <si>
    <t>平成15年度</t>
  </si>
  <si>
    <t>平成16年度</t>
  </si>
  <si>
    <t>平成17年度</t>
  </si>
  <si>
    <t>平成18年度</t>
  </si>
  <si>
    <t>平成19年度</t>
  </si>
  <si>
    <t>平成20年度</t>
  </si>
  <si>
    <t>平成21年度</t>
  </si>
  <si>
    <t>平成22年度</t>
  </si>
  <si>
    <t>平成23年度</t>
  </si>
  <si>
    <t>平成26年度</t>
  </si>
  <si>
    <t>平成27年度</t>
  </si>
  <si>
    <t>平成28年度</t>
  </si>
  <si>
    <t>ごみ総排出量  C=D+直接搬入量+E</t>
    <rPh sb="2" eb="3">
      <t>ソウ</t>
    </rPh>
    <rPh sb="3" eb="5">
      <t>ハイシュツ</t>
    </rPh>
    <rPh sb="5" eb="6">
      <t>リョウ</t>
    </rPh>
    <rPh sb="12" eb="14">
      <t>チョクセツ</t>
    </rPh>
    <rPh sb="14" eb="16">
      <t>ハンニュウ</t>
    </rPh>
    <rPh sb="16" eb="17">
      <t>リョウ</t>
    </rPh>
    <phoneticPr fontId="5"/>
  </si>
  <si>
    <t>230(115tx2炉〉</t>
  </si>
  <si>
    <t>宮城東部</t>
    <rPh sb="0" eb="2">
      <t>ミヤギ</t>
    </rPh>
    <rPh sb="2" eb="4">
      <t>トウブ</t>
    </rPh>
    <phoneticPr fontId="5"/>
  </si>
  <si>
    <t>180(90tx2炉〉</t>
  </si>
  <si>
    <t>今泉</t>
    <rPh sb="0" eb="2">
      <t>イマイズミ</t>
    </rPh>
    <phoneticPr fontId="5"/>
  </si>
  <si>
    <t>葛岡</t>
    <rPh sb="0" eb="2">
      <t>クズオカ</t>
    </rPh>
    <phoneticPr fontId="5"/>
  </si>
  <si>
    <t>松森</t>
    <rPh sb="0" eb="2">
      <t>マツモリ</t>
    </rPh>
    <phoneticPr fontId="5"/>
  </si>
  <si>
    <t>600(200tx3炉)</t>
  </si>
  <si>
    <t>600(300tx2炉〉</t>
  </si>
  <si>
    <t>600(200tx3炉〉</t>
  </si>
  <si>
    <t>石巻広域クリセ</t>
    <rPh sb="0" eb="2">
      <t>イシノマキ</t>
    </rPh>
    <rPh sb="2" eb="4">
      <t>コウイキ</t>
    </rPh>
    <phoneticPr fontId="14"/>
  </si>
  <si>
    <t>年間</t>
    <rPh sb="0" eb="2">
      <t>ネンカン</t>
    </rPh>
    <phoneticPr fontId="5"/>
  </si>
  <si>
    <t>割合</t>
    <rPh sb="0" eb="2">
      <t>ワリアイ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</si>
  <si>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</si>
  <si>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</si>
  <si>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</si>
  <si>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</si>
  <si>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</si>
  <si>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</si>
  <si>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</si>
  <si>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</si>
  <si>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</si>
  <si>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</si>
  <si>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</si>
  <si>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</si>
  <si>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5"/>
  </si>
  <si>
    <t>年間焼却量を月別に割り当てる係数</t>
    <rPh sb="0" eb="2">
      <t>ネンカン</t>
    </rPh>
    <rPh sb="2" eb="5">
      <t>ショウキャクリョウ</t>
    </rPh>
    <rPh sb="6" eb="8">
      <t>ツキベツ</t>
    </rPh>
    <rPh sb="9" eb="10">
      <t>ワ</t>
    </rPh>
    <rPh sb="11" eb="12">
      <t>ア</t>
    </rPh>
    <rPh sb="14" eb="16">
      <t>ケイスウ</t>
    </rPh>
    <phoneticPr fontId="5"/>
  </si>
  <si>
    <t>年間計</t>
    <rPh sb="0" eb="2">
      <t>ネンカン</t>
    </rPh>
    <rPh sb="2" eb="3">
      <t>ケイ</t>
    </rPh>
    <phoneticPr fontId="5"/>
  </si>
  <si>
    <t>一般廃棄物処理事業実態調査(環境省)</t>
    <rPh sb="0" eb="2">
      <t>イッパン</t>
    </rPh>
    <rPh sb="2" eb="5">
      <t>ハイキブツ</t>
    </rPh>
    <rPh sb="5" eb="7">
      <t>ショリ</t>
    </rPh>
    <rPh sb="7" eb="9">
      <t>ジギョウ</t>
    </rPh>
    <rPh sb="9" eb="11">
      <t>ジッタイ</t>
    </rPh>
    <rPh sb="11" eb="13">
      <t>チョウサ</t>
    </rPh>
    <rPh sb="14" eb="17">
      <t>カンキョウショウ</t>
    </rPh>
    <phoneticPr fontId="5"/>
  </si>
  <si>
    <t>焼却残さ量</t>
    <rPh sb="4" eb="5">
      <t>リョウ</t>
    </rPh>
    <phoneticPr fontId="2"/>
  </si>
  <si>
    <t>：淡緑色セルは計算式含む</t>
    <rPh sb="1" eb="2">
      <t>タン</t>
    </rPh>
    <rPh sb="7" eb="10">
      <t>ケイサンシキ</t>
    </rPh>
    <rPh sb="10" eb="11">
      <t>フク</t>
    </rPh>
    <phoneticPr fontId="14"/>
  </si>
  <si>
    <t>年月日</t>
    <rPh sb="0" eb="3">
      <t>ネンガッピ</t>
    </rPh>
    <phoneticPr fontId="2"/>
  </si>
  <si>
    <t>←半減期(年)</t>
    <rPh sb="1" eb="4">
      <t>ハンゲンキ</t>
    </rPh>
    <rPh sb="5" eb="6">
      <t>ネン</t>
    </rPh>
    <phoneticPr fontId="14"/>
  </si>
  <si>
    <t>I-131当日1から減衰</t>
    <rPh sb="5" eb="7">
      <t>トウジツ</t>
    </rPh>
    <rPh sb="10" eb="12">
      <t>ゲンスイ</t>
    </rPh>
    <phoneticPr fontId="2"/>
  </si>
  <si>
    <r>
      <rPr>
        <sz val="6.5"/>
        <color theme="1"/>
        <rFont val="Meiryo UI"/>
        <family val="3"/>
        <charset val="128"/>
      </rPr>
      <t>Cs134</t>
    </r>
    <r>
      <rPr>
        <sz val="8"/>
        <color theme="1"/>
        <rFont val="Meiryo UI"/>
        <family val="3"/>
        <charset val="128"/>
      </rPr>
      <t>当日1から減衰</t>
    </r>
    <phoneticPr fontId="2"/>
  </si>
  <si>
    <r>
      <rPr>
        <sz val="6.5"/>
        <color theme="1"/>
        <rFont val="Meiryo UI"/>
        <family val="3"/>
        <charset val="128"/>
      </rPr>
      <t>Cs137</t>
    </r>
    <r>
      <rPr>
        <sz val="8"/>
        <color theme="1"/>
        <rFont val="Meiryo UI"/>
        <family val="3"/>
        <charset val="128"/>
      </rPr>
      <t>当日1から減衰</t>
    </r>
    <phoneticPr fontId="2"/>
  </si>
  <si>
    <t xml:space="preserve">両Cs当日各1から減衰  </t>
    <rPh sb="0" eb="1">
      <t>リョウ</t>
    </rPh>
    <rPh sb="3" eb="5">
      <t>トウジツ</t>
    </rPh>
    <rPh sb="5" eb="6">
      <t>カク</t>
    </rPh>
    <rPh sb="9" eb="11">
      <t>ゲンスイ</t>
    </rPh>
    <phoneticPr fontId="2"/>
  </si>
  <si>
    <t>両Cs 1万から理論減衰</t>
    <rPh sb="0" eb="1">
      <t>リョウ</t>
    </rPh>
    <rPh sb="5" eb="6">
      <t>マン</t>
    </rPh>
    <rPh sb="8" eb="10">
      <t>リロン</t>
    </rPh>
    <rPh sb="10" eb="12">
      <t>ゲンスイ</t>
    </rPh>
    <phoneticPr fontId="2"/>
  </si>
  <si>
    <r>
      <rPr>
        <sz val="6.5"/>
        <color theme="1"/>
        <rFont val="Meiryo UI"/>
        <family val="3"/>
        <charset val="128"/>
      </rPr>
      <t>Cs134</t>
    </r>
    <r>
      <rPr>
        <sz val="8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2"/>
  </si>
  <si>
    <r>
      <rPr>
        <sz val="6.5"/>
        <color theme="1"/>
        <rFont val="Meiryo UI"/>
        <family val="3"/>
        <charset val="128"/>
      </rPr>
      <t>Cs137</t>
    </r>
    <r>
      <rPr>
        <sz val="8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2"/>
  </si>
  <si>
    <t>ND</t>
    <phoneticPr fontId="5"/>
  </si>
  <si>
    <t>2/27</t>
    <phoneticPr fontId="5"/>
  </si>
  <si>
    <t>2/22</t>
    <phoneticPr fontId="5"/>
  </si>
  <si>
    <t>2/13</t>
    <phoneticPr fontId="5"/>
  </si>
  <si>
    <t>2/21</t>
    <phoneticPr fontId="5"/>
  </si>
  <si>
    <t>3/8</t>
    <phoneticPr fontId="5"/>
  </si>
  <si>
    <t>ND</t>
    <phoneticPr fontId="5"/>
  </si>
  <si>
    <t>Cs月間量MBq(飛灰)</t>
    <rPh sb="2" eb="4">
      <t>ゲッカン</t>
    </rPh>
    <rPh sb="4" eb="5">
      <t>リョウ</t>
    </rPh>
    <rPh sb="9" eb="11">
      <t>ヒバイ</t>
    </rPh>
    <phoneticPr fontId="2"/>
  </si>
  <si>
    <t>Cs月間量MBq(主灰)</t>
    <rPh sb="2" eb="4">
      <t>ゲッカン</t>
    </rPh>
    <rPh sb="4" eb="5">
      <t>リョウ</t>
    </rPh>
    <rPh sb="9" eb="10">
      <t>シュ</t>
    </rPh>
    <rPh sb="10" eb="11">
      <t>ハイ</t>
    </rPh>
    <phoneticPr fontId="2"/>
  </si>
  <si>
    <t>主灰と飛灰中の月間Cs集積量(MBq)</t>
    <rPh sb="0" eb="1">
      <t>シュ</t>
    </rPh>
    <rPh sb="1" eb="2">
      <t>ハイ</t>
    </rPh>
    <rPh sb="3" eb="5">
      <t>ヒバイ</t>
    </rPh>
    <rPh sb="5" eb="6">
      <t>チュウ</t>
    </rPh>
    <rPh sb="7" eb="9">
      <t>ゲッカン</t>
    </rPh>
    <rPh sb="11" eb="13">
      <t>シュウセキ</t>
    </rPh>
    <rPh sb="13" eb="14">
      <t>リョウ</t>
    </rPh>
    <phoneticPr fontId="2"/>
  </si>
  <si>
    <t>ごみ焼却量 (t/月)</t>
    <rPh sb="2" eb="5">
      <t>ショウキャクリョウ</t>
    </rPh>
    <rPh sb="9" eb="10">
      <t>ツキ</t>
    </rPh>
    <phoneticPr fontId="2"/>
  </si>
  <si>
    <t>両Cs濃度 (Bq/kg)</t>
    <rPh sb="0" eb="1">
      <t>リョウ</t>
    </rPh>
    <rPh sb="3" eb="5">
      <t>ノウド</t>
    </rPh>
    <phoneticPr fontId="2"/>
  </si>
  <si>
    <t>GBq</t>
    <phoneticPr fontId="2"/>
  </si>
  <si>
    <t>(一般廃棄物と震災がれきの焼却に由来する分で､直接埋立や瓦礫分別土砂などは含まない)</t>
    <rPh sb="1" eb="3">
      <t>イッパン</t>
    </rPh>
    <rPh sb="3" eb="6">
      <t>ハイキブツ</t>
    </rPh>
    <rPh sb="7" eb="9">
      <t>シンサイ</t>
    </rPh>
    <rPh sb="13" eb="15">
      <t>ショウキャク</t>
    </rPh>
    <rPh sb="16" eb="18">
      <t>ユライ</t>
    </rPh>
    <rPh sb="20" eb="21">
      <t>ブン</t>
    </rPh>
    <rPh sb="23" eb="25">
      <t>チョクセツ</t>
    </rPh>
    <rPh sb="25" eb="27">
      <t>ウメタテ</t>
    </rPh>
    <rPh sb="28" eb="30">
      <t>ガレキ</t>
    </rPh>
    <rPh sb="30" eb="32">
      <t>ブンベツ</t>
    </rPh>
    <rPh sb="32" eb="34">
      <t>ドシャ</t>
    </rPh>
    <rPh sb="37" eb="38">
      <t>フク</t>
    </rPh>
    <phoneticPr fontId="2"/>
  </si>
  <si>
    <t>←　最終処分場での両Cs現在ストック量(MBq)</t>
    <phoneticPr fontId="2"/>
  </si>
  <si>
    <t>区分</t>
  </si>
  <si>
    <t>H30年度末まで最終処分された放射性セシウムの総量は今日現在､</t>
    <rPh sb="3" eb="6">
      <t>ネンドマツ</t>
    </rPh>
    <rPh sb="8" eb="10">
      <t>サイシュウ</t>
    </rPh>
    <rPh sb="10" eb="12">
      <t>ショブン</t>
    </rPh>
    <rPh sb="15" eb="18">
      <t>ホウシャセイ</t>
    </rPh>
    <rPh sb="23" eb="25">
      <t>ソウリョウ</t>
    </rPh>
    <phoneticPr fontId="2"/>
  </si>
  <si>
    <t>上表の宮城東部採用↓</t>
    <rPh sb="0" eb="2">
      <t>ジョウヒョウ</t>
    </rPh>
    <rPh sb="3" eb="5">
      <t>ミヤギ</t>
    </rPh>
    <rPh sb="5" eb="7">
      <t>トウブ</t>
    </rPh>
    <rPh sb="7" eb="9">
      <t>サイヨウ</t>
    </rPh>
    <phoneticPr fontId="2"/>
  </si>
  <si>
    <t>↓上表23列の比率採用</t>
    <rPh sb="1" eb="3">
      <t>ジョウヒョウ</t>
    </rPh>
    <rPh sb="5" eb="6">
      <t>レツ</t>
    </rPh>
    <rPh sb="7" eb="9">
      <t>ヒリツ</t>
    </rPh>
    <rPh sb="9" eb="11">
      <t>サイヨウ</t>
    </rPh>
    <phoneticPr fontId="2"/>
  </si>
  <si>
    <t>◇ 焼却灰中放射性Csの月間集積量推移と最終処分場での現存量</t>
    <rPh sb="2" eb="4">
      <t>ショウキャク</t>
    </rPh>
    <rPh sb="4" eb="5">
      <t>ハイ</t>
    </rPh>
    <rPh sb="5" eb="6">
      <t>チュウ</t>
    </rPh>
    <rPh sb="6" eb="9">
      <t>ホウシャセイ</t>
    </rPh>
    <rPh sb="12" eb="14">
      <t>ゲッカン</t>
    </rPh>
    <rPh sb="14" eb="16">
      <t>シュウセキ</t>
    </rPh>
    <rPh sb="16" eb="17">
      <t>リョウ</t>
    </rPh>
    <rPh sb="17" eb="19">
      <t>スイイ</t>
    </rPh>
    <rPh sb="20" eb="22">
      <t>サイシュウ</t>
    </rPh>
    <rPh sb="22" eb="25">
      <t>ショブンジョウ</t>
    </rPh>
    <rPh sb="27" eb="29">
      <t>ゲンゾン</t>
    </rPh>
    <rPh sb="29" eb="30">
      <t>リョウ</t>
    </rPh>
    <phoneticPr fontId="14"/>
  </si>
  <si>
    <t>昭和58年度</t>
  </si>
  <si>
    <t>04541</t>
  </si>
  <si>
    <t>迫町</t>
  </si>
  <si>
    <t>分類なし</t>
  </si>
  <si>
    <t>04542</t>
  </si>
  <si>
    <t>登米町</t>
  </si>
  <si>
    <t>04543</t>
  </si>
  <si>
    <t>東和町</t>
  </si>
  <si>
    <t>04544</t>
  </si>
  <si>
    <t>中田町</t>
  </si>
  <si>
    <t>04545</t>
  </si>
  <si>
    <t>豊里町</t>
  </si>
  <si>
    <t>04546</t>
  </si>
  <si>
    <t>米山町</t>
  </si>
  <si>
    <t>04547</t>
  </si>
  <si>
    <t>石越町</t>
  </si>
  <si>
    <t>04548</t>
  </si>
  <si>
    <t>南方町</t>
  </si>
  <si>
    <t>04602</t>
  </si>
  <si>
    <t>津山町</t>
  </si>
  <si>
    <t>昭和59年度</t>
  </si>
  <si>
    <t>昭和60年度</t>
  </si>
  <si>
    <t>昭和61年度</t>
  </si>
  <si>
    <t>昭和62年度</t>
  </si>
  <si>
    <t>昭和63年度</t>
  </si>
  <si>
    <t>平成01年度</t>
  </si>
  <si>
    <t>平成02年度</t>
  </si>
  <si>
    <t>平成03年度</t>
  </si>
  <si>
    <t>平成04年度</t>
  </si>
  <si>
    <t>平成05年度</t>
  </si>
  <si>
    <t>平成06年度</t>
  </si>
  <si>
    <t>平成07年度</t>
  </si>
  <si>
    <t>平成08年度</t>
  </si>
  <si>
    <t>平成09年度</t>
  </si>
  <si>
    <t>04212</t>
  </si>
  <si>
    <t>登米市</t>
  </si>
  <si>
    <t>平成24年度</t>
  </si>
  <si>
    <t>平成25年度</t>
  </si>
  <si>
    <t>H10以降？集団回収量が新設されたが､ごみ総排出量に含まない､自家処理量はごみ総排出量に含む､ごみ総排出量 &lt; &gt; ごみ処理量</t>
    <rPh sb="3" eb="5">
      <t>イコウ</t>
    </rPh>
    <phoneticPr fontId="4"/>
  </si>
  <si>
    <t>H17以降：集団回収量が､ごみ総排出量に含む､自家処理量はごみ総排出量に含まない､単位：(人)､(t)､(％)､環境省の元値X,N,R,M欄</t>
    <rPh sb="3" eb="5">
      <t>イコウ</t>
    </rPh>
    <phoneticPr fontId="4"/>
  </si>
  <si>
    <t>一般廃棄物焼却施設における焼却灰の放射性物質</t>
  </si>
  <si>
    <t>平成29年12月12日および平成30年1月９日に採取したクリーンセンターの焼却飛灰について放射能測定を行いました。その結果は基準値を下回りました。</t>
  </si>
  <si>
    <t>【測定分析機関・方法】自主検査</t>
  </si>
  <si>
    <t>核種</t>
  </si>
  <si>
    <t>不検出</t>
  </si>
  <si>
    <t>-</t>
  </si>
  <si>
    <t>8,000以下</t>
  </si>
  <si>
    <t>【問い合わせ】環境事業所クリーンセンター電話：0225-76-0102</t>
  </si>
  <si>
    <t>汚泥肥料の原料汚泥について農林水産省が定めた基準</t>
  </si>
  <si>
    <t>200以下</t>
  </si>
  <si>
    <t>登米市建設部下水道課</t>
  </si>
  <si>
    <t>〒987-0602 登米市中田町上沼字西桜場18番地</t>
  </si>
  <si>
    <t>電話番号：0220-34-2359</t>
  </si>
  <si>
    <t>ファクス番号：0220-34-3448</t>
  </si>
  <si>
    <t>メールアドレス：gesuido@city.tome.miyagi.jp</t>
  </si>
  <si>
    <t>平成29年度</t>
  </si>
  <si>
    <t>資料：登米市環境事業所衛生センター</t>
  </si>
  <si>
    <t>※搬入量より終末処理量が上回っている理由は、次のようなものが考えられる。</t>
  </si>
  <si>
    <t>し尿収集</t>
  </si>
  <si>
    <t>資料：登米市市民生活部環境課</t>
  </si>
  <si>
    <t>有価物</t>
  </si>
  <si>
    <t>農集排汚泥</t>
  </si>
  <si>
    <t>事業所</t>
  </si>
  <si>
    <t>計</t>
  </si>
  <si>
    <t>・ごみ収集処理実績状況</t>
  </si>
  <si>
    <t>委託業者</t>
  </si>
  <si>
    <t>一般搬入</t>
  </si>
  <si>
    <t>許可業者</t>
  </si>
  <si>
    <t>平成25年</t>
  </si>
  <si>
    <t>平成26年</t>
  </si>
  <si>
    <t>平成27年</t>
  </si>
  <si>
    <t>平成28年</t>
  </si>
  <si>
    <t>平成29年</t>
  </si>
  <si>
    <t>平成30年</t>
  </si>
  <si>
    <t>15歳未満</t>
  </si>
  <si>
    <t xml:space="preserve">
-</t>
  </si>
  <si>
    <t>浄化槽汚泥</t>
  </si>
  <si>
    <t>15歳以上</t>
  </si>
  <si>
    <t>死産児</t>
  </si>
  <si>
    <t>うち他
市町村</t>
  </si>
  <si>
    <t>・し尿収集処理実績状況</t>
  </si>
  <si>
    <t>・火葬場利用状況</t>
  </si>
  <si>
    <t>平成23年</t>
    <phoneticPr fontId="2"/>
  </si>
  <si>
    <t>平成24年</t>
    <phoneticPr fontId="2"/>
  </si>
  <si>
    <t>平成22年度</t>
    <phoneticPr fontId="2"/>
  </si>
  <si>
    <t>平成23年度</t>
    <phoneticPr fontId="2"/>
  </si>
  <si>
    <t>搬入量</t>
  </si>
  <si>
    <t>終末処理量</t>
  </si>
  <si>
    <t>総量</t>
  </si>
  <si>
    <t>焼却</t>
  </si>
  <si>
    <t>埋立</t>
  </si>
  <si>
    <t>①搬入受付時の計量誤差②焼却量の計量誤差③搬入車輛の洗車等の使用水の加算</t>
  </si>
  <si>
    <t>一般</t>
  </si>
  <si>
    <t>公共</t>
  </si>
  <si>
    <t>※1681</t>
  </si>
  <si>
    <t>※21，885</t>
  </si>
  <si>
    <t>(単位:件)各年3月末現在</t>
  </si>
  <si>
    <t xml:space="preserve">
区分</t>
  </si>
  <si>
    <t>改葬</t>
  </si>
  <si>
    <t>汚物</t>
  </si>
  <si>
    <t>基準値：(Bq/kg)</t>
  </si>
  <si>
    <t>放射能測定結果(平成30年2月16日更新)</t>
  </si>
  <si>
    <t>(肥料として制限なく流通できる濃度)</t>
  </si>
  <si>
    <t>放射性セシウム(Cs-134,Cs-137の合計)</t>
  </si>
  <si>
    <t>NaIシンチエーレーショスペクトロメーター(ベルトール製LB2045)</t>
  </si>
  <si>
    <t>測定結果(Bq/kg)</t>
  </si>
  <si>
    <t>基準値(Bq/kg)</t>
  </si>
  <si>
    <t>(12月12日採取分)</t>
  </si>
  <si>
    <t>(1月9日採取分)</t>
  </si>
  <si>
    <t>(埋立処分を可能とする目安)</t>
  </si>
  <si>
    <t>放射性ヨウ素(I-131)</t>
  </si>
  <si>
    <t>放射性セシウム(Cs-134)</t>
  </si>
  <si>
    <t>放射性セシウム(Cs-137)</t>
  </si>
  <si>
    <t>放射性セシウム(合計)</t>
  </si>
  <si>
    <t>(単位:t)各年12月末現在</t>
  </si>
  <si>
    <t>(少量の誤差でも、年間何万回の積み重ねにより、上記の量になる)</t>
  </si>
  <si>
    <t>(単位:kl)各年3月末現在</t>
  </si>
  <si>
    <t>※１内訳(官公庁分132、避難所等549)</t>
  </si>
  <si>
    <t>※2内訳(官公庁分118、避難所等1,767)</t>
  </si>
  <si>
    <t>平成24年度</t>
    <phoneticPr fontId="2"/>
  </si>
  <si>
    <t>平成25年度</t>
    <phoneticPr fontId="2"/>
  </si>
  <si>
    <t>※平成25年の(4,004)は沿岸部焼却灰受入量。</t>
    <phoneticPr fontId="2"/>
  </si>
  <si>
    <t>仙台市合計</t>
    <rPh sb="0" eb="3">
      <t>センダイシ</t>
    </rPh>
    <rPh sb="3" eb="5">
      <t>ゴウケイ</t>
    </rPh>
    <phoneticPr fontId="5"/>
  </si>
  <si>
    <t>1800(200*6+300*2)</t>
  </si>
  <si>
    <t>1800(200*6+300*2)</t>
    <phoneticPr fontId="5"/>
  </si>
  <si>
    <t>3事業体平均</t>
    <rPh sb="1" eb="4">
      <t>ジギョウタイ</t>
    </rPh>
    <rPh sb="4" eb="6">
      <t>ヘイキン</t>
    </rPh>
    <phoneticPr fontId="5"/>
  </si>
  <si>
    <t>仙台市平均</t>
    <rPh sb="0" eb="3">
      <t>センダイシ</t>
    </rPh>
    <rPh sb="3" eb="5">
      <t>ヘイキン</t>
    </rPh>
    <phoneticPr fontId="5"/>
  </si>
  <si>
    <t>月別割合※</t>
    <rPh sb="0" eb="2">
      <t>ツキベツ</t>
    </rPh>
    <rPh sb="2" eb="4">
      <t>ワリアイ</t>
    </rPh>
    <phoneticPr fontId="14"/>
  </si>
  <si>
    <t>↓ シート"月値予測"から転記</t>
    <rPh sb="6" eb="7">
      <t>ツキ</t>
    </rPh>
    <rPh sb="7" eb="8">
      <t>チ</t>
    </rPh>
    <rPh sb="8" eb="10">
      <t>ヨソク</t>
    </rPh>
    <rPh sb="13" eb="15">
      <t>テンキ</t>
    </rPh>
    <phoneticPr fontId="2"/>
  </si>
  <si>
    <t>https://www.city.tome.miyagi.jp/koho/shisetsuannai/ese/eis_002.html</t>
    <phoneticPr fontId="2"/>
  </si>
  <si>
    <t>80(40tx2炉〉</t>
    <phoneticPr fontId="2"/>
  </si>
  <si>
    <t>登米市クリーセンター</t>
    <rPh sb="0" eb="3">
      <t>トメシ</t>
    </rPh>
    <phoneticPr fontId="2"/>
  </si>
  <si>
    <t>資料：登米市環境事業所クリーンセンター</t>
    <phoneticPr fontId="2"/>
  </si>
  <si>
    <t>登米市環境事業所クリーンセンター</t>
    <phoneticPr fontId="2"/>
  </si>
  <si>
    <t>焼却 t/年</t>
    <rPh sb="5" eb="6">
      <t>ネン</t>
    </rPh>
    <phoneticPr fontId="2"/>
  </si>
  <si>
    <t>I-131</t>
  </si>
  <si>
    <t>I-131</t>
    <phoneticPr fontId="2"/>
  </si>
  <si>
    <t>Cs-134</t>
  </si>
  <si>
    <t>Cs-134</t>
    <phoneticPr fontId="2"/>
  </si>
  <si>
    <t>Cs-137</t>
  </si>
  <si>
    <t>Cs計</t>
    <rPh sb="2" eb="3">
      <t>ケイ</t>
    </rPh>
    <phoneticPr fontId="2"/>
  </si>
  <si>
    <t>ND</t>
    <phoneticPr fontId="2"/>
  </si>
  <si>
    <t>焼却飛灰の放射能測定結果</t>
    <rPh sb="2" eb="4">
      <t>ヒバイ</t>
    </rPh>
    <phoneticPr fontId="2"/>
  </si>
  <si>
    <t>平均</t>
    <rPh sb="0" eb="2">
      <t>ヘイキン</t>
    </rPh>
    <phoneticPr fontId="2"/>
  </si>
  <si>
    <t>ND</t>
    <phoneticPr fontId="2"/>
  </si>
  <si>
    <t>月</t>
    <rPh sb="0" eb="1">
      <t>ツキ</t>
    </rPh>
    <phoneticPr fontId="2"/>
  </si>
  <si>
    <t>年度</t>
    <rPh sb="0" eb="2">
      <t>ネンド</t>
    </rPh>
    <phoneticPr fontId="2"/>
  </si>
  <si>
    <t>：飛灰発生率</t>
    <rPh sb="1" eb="2">
      <t>ヒ</t>
    </rPh>
    <rPh sb="2" eb="3">
      <t>バイ</t>
    </rPh>
    <rPh sb="3" eb="5">
      <t>ハッセイ</t>
    </rPh>
    <rPh sb="5" eb="6">
      <t>リツ</t>
    </rPh>
    <phoneticPr fontId="2"/>
  </si>
  <si>
    <t>：主灰発生率</t>
    <rPh sb="1" eb="2">
      <t>シュ</t>
    </rPh>
    <rPh sb="2" eb="3">
      <t>バイ</t>
    </rPh>
    <rPh sb="3" eb="5">
      <t>ハッセイ</t>
    </rPh>
    <rPh sb="5" eb="6">
      <t>リツ</t>
    </rPh>
    <phoneticPr fontId="2"/>
  </si>
  <si>
    <t>飛灰の量</t>
    <rPh sb="0" eb="2">
      <t>ヒバイ</t>
    </rPh>
    <rPh sb="3" eb="4">
      <t>リョウ</t>
    </rPh>
    <phoneticPr fontId="2"/>
  </si>
  <si>
    <t>濃度比(飛灰/主灰)</t>
    <rPh sb="0" eb="2">
      <t>ノウド</t>
    </rPh>
    <rPh sb="2" eb="3">
      <t>ヒ</t>
    </rPh>
    <rPh sb="4" eb="6">
      <t>ヒバイ</t>
    </rPh>
    <rPh sb="7" eb="8">
      <t>シュ</t>
    </rPh>
    <rPh sb="8" eb="9">
      <t>バイ</t>
    </rPh>
    <phoneticPr fontId="2"/>
  </si>
  <si>
    <t>宮城東部</t>
    <rPh sb="0" eb="2">
      <t>ミヤギ</t>
    </rPh>
    <rPh sb="2" eb="4">
      <t>トウブ</t>
    </rPh>
    <phoneticPr fontId="2"/>
  </si>
  <si>
    <t>黒川組</t>
    <rPh sb="0" eb="2">
      <t>クロカワ</t>
    </rPh>
    <rPh sb="2" eb="3">
      <t>クミ</t>
    </rPh>
    <phoneticPr fontId="2"/>
  </si>
  <si>
    <t>名取クリンセ</t>
    <rPh sb="0" eb="2">
      <t>ナトリ</t>
    </rPh>
    <phoneticPr fontId="2"/>
  </si>
  <si>
    <t>亘理清掃セ</t>
    <rPh sb="0" eb="2">
      <t>ワタリ</t>
    </rPh>
    <rPh sb="2" eb="4">
      <t>セイソウ</t>
    </rPh>
    <phoneticPr fontId="2"/>
  </si>
  <si>
    <t>気仙沼</t>
    <rPh sb="0" eb="3">
      <t>ケセンヌマ</t>
    </rPh>
    <phoneticPr fontId="2"/>
  </si>
  <si>
    <t>塩竃市</t>
    <rPh sb="0" eb="2">
      <t>シオガマ</t>
    </rPh>
    <rPh sb="2" eb="3">
      <t>シ</t>
    </rPh>
    <phoneticPr fontId="2"/>
  </si>
  <si>
    <t>※ 石巻広域､宮城東部､仙台3工場の月間焼却量の平均</t>
    <rPh sb="15" eb="17">
      <t>コウジョウ</t>
    </rPh>
    <phoneticPr fontId="2"/>
  </si>
  <si>
    <t>←飛灰/主灰の濃度比から推定</t>
    <rPh sb="1" eb="3">
      <t>ヒバイ</t>
    </rPh>
    <rPh sb="4" eb="5">
      <t>シュ</t>
    </rPh>
    <rPh sb="5" eb="6">
      <t>バイ</t>
    </rPh>
    <rPh sb="7" eb="9">
      <t>ノウド</t>
    </rPh>
    <rPh sb="9" eb="10">
      <t>ヒ</t>
    </rPh>
    <rPh sb="12" eb="14">
      <t>スイテイ</t>
    </rPh>
    <phoneticPr fontId="2"/>
  </si>
  <si>
    <t>←年度焼却量に月別割合を掛けて推定</t>
    <rPh sb="1" eb="3">
      <t>ネンド</t>
    </rPh>
    <rPh sb="3" eb="5">
      <t>ショウキャク</t>
    </rPh>
    <rPh sb="5" eb="6">
      <t>リョウ</t>
    </rPh>
    <rPh sb="7" eb="9">
      <t>ツキベツ</t>
    </rPh>
    <rPh sb="9" eb="11">
      <t>ワリアイ</t>
    </rPh>
    <rPh sb="12" eb="13">
      <t>カ</t>
    </rPh>
    <rPh sb="15" eb="17">
      <t>スイテイ</t>
    </rPh>
    <phoneticPr fontId="2"/>
  </si>
  <si>
    <t>←左欄の飛灰の量ｘ両Cs濃度</t>
    <rPh sb="1" eb="3">
      <t>サラン</t>
    </rPh>
    <rPh sb="4" eb="6">
      <t>ヒバイ</t>
    </rPh>
    <rPh sb="7" eb="8">
      <t>リョウ</t>
    </rPh>
    <rPh sb="9" eb="10">
      <t>リョウ</t>
    </rPh>
    <rPh sb="12" eb="14">
      <t>ノウド</t>
    </rPh>
    <phoneticPr fontId="2"/>
  </si>
  <si>
    <t>主灰の量</t>
    <rPh sb="0" eb="1">
      <t>シュ</t>
    </rPh>
    <rPh sb="1" eb="2">
      <t>バイ</t>
    </rPh>
    <rPh sb="3" eb="4">
      <t>リョウ</t>
    </rPh>
    <phoneticPr fontId="2"/>
  </si>
  <si>
    <t>←月間焼却量ｘ飛灰発生率</t>
    <rPh sb="1" eb="3">
      <t>ゲッカン</t>
    </rPh>
    <rPh sb="3" eb="5">
      <t>ショウキャク</t>
    </rPh>
    <rPh sb="5" eb="6">
      <t>リョウ</t>
    </rPh>
    <rPh sb="7" eb="9">
      <t>ヒバイ</t>
    </rPh>
    <rPh sb="9" eb="11">
      <t>ハッセイ</t>
    </rPh>
    <rPh sb="11" eb="12">
      <t>リツ</t>
    </rPh>
    <phoneticPr fontId="2"/>
  </si>
  <si>
    <t>←月間焼却量ｘ主灰発生率</t>
    <rPh sb="1" eb="3">
      <t>ゲッカン</t>
    </rPh>
    <rPh sb="3" eb="5">
      <t>ショウキャク</t>
    </rPh>
    <rPh sb="5" eb="6">
      <t>リョウ</t>
    </rPh>
    <rPh sb="7" eb="8">
      <t>シュ</t>
    </rPh>
    <rPh sb="8" eb="9">
      <t>バイ</t>
    </rPh>
    <rPh sb="9" eb="11">
      <t>ハッセイ</t>
    </rPh>
    <rPh sb="11" eb="12">
      <t>リツ</t>
    </rPh>
    <phoneticPr fontId="2"/>
  </si>
  <si>
    <t>焼却量に対する灰の生成割合</t>
    <rPh sb="0" eb="2">
      <t>ショウキャク</t>
    </rPh>
    <rPh sb="2" eb="3">
      <t>リョウ</t>
    </rPh>
    <rPh sb="4" eb="5">
      <t>タイ</t>
    </rPh>
    <rPh sb="7" eb="8">
      <t>ハイ</t>
    </rPh>
    <rPh sb="9" eb="11">
      <t>セイセイ</t>
    </rPh>
    <rPh sb="11" eb="13">
      <t>ワリアイ</t>
    </rPh>
    <phoneticPr fontId="2"/>
  </si>
  <si>
    <t>年度別焼却量</t>
    <rPh sb="0" eb="2">
      <t>ネンド</t>
    </rPh>
    <rPh sb="2" eb="3">
      <t>ベツ</t>
    </rPh>
    <rPh sb="3" eb="5">
      <t>ショウキャク</t>
    </rPh>
    <rPh sb="5" eb="6">
      <t>リョウ</t>
    </rPh>
    <phoneticPr fontId="2"/>
  </si>
  <si>
    <t>=Cs134Av*2.71828^(-0.69315/半Cs134*(RC[-1]-採取日1)/365.25)</t>
    <phoneticPr fontId="2"/>
  </si>
  <si>
    <t>=事故日の濃度1*2.71828^(-0.69315/半1*(RC[-8]-事故日)/365.25)</t>
    <phoneticPr fontId="2"/>
  </si>
  <si>
    <t>=下駄1-(RC[-8]-40999)/除数11</t>
    <phoneticPr fontId="2"/>
  </si>
  <si>
    <t>=Cs137Av*2.71828^(-0.69315/半Cs134*(RC[-2]-採取日1)/365.25)</t>
    <phoneticPr fontId="2"/>
  </si>
  <si>
    <t>←石巻広域の回帰式：Cs-134</t>
    <rPh sb="1" eb="3">
      <t>イシノマキ</t>
    </rPh>
    <rPh sb="3" eb="5">
      <t>コウイキ</t>
    </rPh>
    <rPh sb="6" eb="8">
      <t>カイキ</t>
    </rPh>
    <rPh sb="8" eb="9">
      <t>シキ</t>
    </rPh>
    <phoneticPr fontId="2"/>
  </si>
  <si>
    <t>←石巻広域の回帰式：Cs-137</t>
    <rPh sb="1" eb="3">
      <t>イシノマキ</t>
    </rPh>
    <rPh sb="3" eb="5">
      <t>コウイキ</t>
    </rPh>
    <rPh sb="6" eb="8">
      <t>カイキ</t>
    </rPh>
    <rPh sb="8" eb="9">
      <t>シキ</t>
    </rPh>
    <phoneticPr fontId="2"/>
  </si>
  <si>
    <t>平均</t>
    <rPh sb="0" eb="2">
      <t>ヘイキン</t>
    </rPh>
    <phoneticPr fontId="2"/>
  </si>
  <si>
    <t>ファイル"ごみ灰Cs_石巻広域.xlsx"のシート”濃度回帰”参照</t>
    <rPh sb="7" eb="8">
      <t>ハイ</t>
    </rPh>
    <rPh sb="11" eb="13">
      <t>イシノマキ</t>
    </rPh>
    <rPh sb="13" eb="15">
      <t>コウイキ</t>
    </rPh>
    <rPh sb="26" eb="28">
      <t>ノウド</t>
    </rPh>
    <rPh sb="28" eb="30">
      <t>カイキ</t>
    </rPh>
    <rPh sb="31" eb="33">
      <t>サンショウ</t>
    </rPh>
    <phoneticPr fontId="2"/>
  </si>
  <si>
    <t>5･6月をピークとする周期変動していると判断し､回帰式から推定した｡</t>
    <rPh sb="20" eb="22">
      <t>ハンダン</t>
    </rPh>
    <rPh sb="24" eb="26">
      <t>カイキ</t>
    </rPh>
    <rPh sb="26" eb="27">
      <t>シキ</t>
    </rPh>
    <rPh sb="29" eb="31">
      <t>スイテイ</t>
    </rPh>
    <phoneticPr fontId="2"/>
  </si>
  <si>
    <t>から求めた回帰式を用い､h29.12とh30.1の平均値から推算した</t>
    <rPh sb="2" eb="3">
      <t>モト</t>
    </rPh>
    <rPh sb="5" eb="7">
      <t>カイキ</t>
    </rPh>
    <rPh sb="7" eb="8">
      <t>シキ</t>
    </rPh>
    <rPh sb="9" eb="10">
      <t>モチ</t>
    </rPh>
    <rPh sb="25" eb="28">
      <t>ヘイキンチ</t>
    </rPh>
    <rPh sb="30" eb="32">
      <t>スイサン</t>
    </rPh>
    <phoneticPr fontId="2"/>
  </si>
  <si>
    <t>焼却量はシート”月値予測”の月毎割合を掛けた｡濃度は､石巻広域の実測値</t>
    <rPh sb="0" eb="2">
      <t>ショウキャク</t>
    </rPh>
    <rPh sb="2" eb="3">
      <t>リョウ</t>
    </rPh>
    <rPh sb="8" eb="9">
      <t>ツキ</t>
    </rPh>
    <rPh sb="9" eb="10">
      <t>チ</t>
    </rPh>
    <rPh sb="10" eb="12">
      <t>ヨソク</t>
    </rPh>
    <rPh sb="14" eb="16">
      <t>ツキゴト</t>
    </rPh>
    <rPh sb="16" eb="18">
      <t>ワリアイ</t>
    </rPh>
    <rPh sb="19" eb="20">
      <t>カ</t>
    </rPh>
    <rPh sb="23" eb="25">
      <t>ノウド</t>
    </rPh>
    <phoneticPr fontId="2"/>
  </si>
  <si>
    <t>Cs-134用</t>
    <rPh sb="6" eb="7">
      <t>ヨウ</t>
    </rPh>
    <phoneticPr fontId="14"/>
  </si>
  <si>
    <t>Cs-137用</t>
    <rPh sb="6" eb="7">
      <t>ヨウ</t>
    </rPh>
    <phoneticPr fontId="14"/>
  </si>
  <si>
    <t>任意の半減期1:</t>
    <rPh sb="0" eb="2">
      <t>ニンイ</t>
    </rPh>
    <rPh sb="3" eb="6">
      <t>ハンゲンキ</t>
    </rPh>
    <phoneticPr fontId="14"/>
  </si>
  <si>
    <t>15,19列の計算式=事故日の濃度1*2.71828^(-0.69315/半1*(RC[-8]-事故日)/365.25)</t>
    <rPh sb="4" eb="5">
      <t>レツ</t>
    </rPh>
    <rPh sb="6" eb="9">
      <t>ケイサンシキ</t>
    </rPh>
    <phoneticPr fontId="14"/>
  </si>
  <si>
    <t>除数11:</t>
    <rPh sb="0" eb="2">
      <t>ジョスウ</t>
    </rPh>
    <phoneticPr fontId="14"/>
  </si>
  <si>
    <t>16,20列の計算式=下駄1-(RC[-8]-40999)/除数11</t>
    <rPh sb="4" eb="5">
      <t>レツ</t>
    </rPh>
    <rPh sb="6" eb="9">
      <t>ケイサンシキ</t>
    </rPh>
    <phoneticPr fontId="14"/>
  </si>
  <si>
    <t>下駄1:</t>
    <rPh sb="0" eb="2">
      <t>ゲタ</t>
    </rPh>
    <phoneticPr fontId="14"/>
  </si>
  <si>
    <t>17,21列の計算式=(RC[-2]+RC[-1])*(1-RC[9]/除数12)</t>
    <rPh sb="4" eb="5">
      <t>レツ</t>
    </rPh>
    <rPh sb="6" eb="9">
      <t>ケイサンシキ</t>
    </rPh>
    <phoneticPr fontId="14"/>
  </si>
  <si>
    <t>事故日の濃度1:</t>
    <rPh sb="0" eb="2">
      <t>ジコ</t>
    </rPh>
    <rPh sb="2" eb="3">
      <t>ビ</t>
    </rPh>
    <rPh sb="4" eb="6">
      <t>ノウド</t>
    </rPh>
    <phoneticPr fontId="14"/>
  </si>
  <si>
    <t>除数12:</t>
    <rPh sb="0" eb="2">
      <t>ジョスウ</t>
    </rPh>
    <phoneticPr fontId="14"/>
  </si>
  <si>
    <t>放射性3物質の減衰曲線</t>
    <rPh sb="0" eb="3">
      <t>ホウシャセイ</t>
    </rPh>
    <rPh sb="4" eb="6">
      <t>ブッシツ</t>
    </rPh>
    <rPh sb="7" eb="9">
      <t>ゲンスイ</t>
    </rPh>
    <rPh sb="9" eb="11">
      <t>キョクセン</t>
    </rPh>
    <phoneticPr fontId="14"/>
  </si>
  <si>
    <t>焼却灰中の濃度</t>
    <rPh sb="0" eb="2">
      <t>ショウキャク</t>
    </rPh>
    <rPh sb="2" eb="3">
      <t>ハイ</t>
    </rPh>
    <rPh sb="3" eb="4">
      <t>チュウ</t>
    </rPh>
    <rPh sb="5" eb="7">
      <t>ノウド</t>
    </rPh>
    <phoneticPr fontId="14"/>
  </si>
  <si>
    <t>熔融スラグ中の濃度</t>
    <rPh sb="0" eb="2">
      <t>ヨウユウ</t>
    </rPh>
    <rPh sb="5" eb="6">
      <t>チュウ</t>
    </rPh>
    <rPh sb="7" eb="9">
      <t>ノウド</t>
    </rPh>
    <phoneticPr fontId="14"/>
  </si>
  <si>
    <t>連番</t>
    <phoneticPr fontId="14"/>
  </si>
  <si>
    <t>事故日と採取日</t>
    <phoneticPr fontId="14"/>
  </si>
  <si>
    <t>ごみ焼却量 t/月</t>
    <phoneticPr fontId="14"/>
  </si>
  <si>
    <t>Cs-134</t>
    <phoneticPr fontId="14"/>
  </si>
  <si>
    <t>Cs-137</t>
    <phoneticPr fontId="14"/>
  </si>
  <si>
    <t>焼却灰中両Cs濃度</t>
    <rPh sb="4" eb="5">
      <t>リョウ</t>
    </rPh>
    <rPh sb="7" eb="9">
      <t>ノウド</t>
    </rPh>
    <phoneticPr fontId="14"/>
  </si>
  <si>
    <t>Cs-134</t>
    <phoneticPr fontId="14"/>
  </si>
  <si>
    <t>Cs-137</t>
    <phoneticPr fontId="14"/>
  </si>
  <si>
    <t>熔融スラグ中両Cs濃度</t>
    <rPh sb="6" eb="7">
      <t>リョウ</t>
    </rPh>
    <rPh sb="9" eb="11">
      <t>ノウド</t>
    </rPh>
    <phoneticPr fontId="14"/>
  </si>
  <si>
    <t>下駄+(採取日-40999)/除数11</t>
    <rPh sb="4" eb="6">
      <t>サイシュ</t>
    </rPh>
    <rPh sb="6" eb="7">
      <t>ビ</t>
    </rPh>
    <rPh sb="15" eb="16">
      <t>ジョ</t>
    </rPh>
    <phoneticPr fontId="14"/>
  </si>
  <si>
    <t>回帰式_Cs-134</t>
    <rPh sb="0" eb="2">
      <t>カイキ</t>
    </rPh>
    <rPh sb="2" eb="3">
      <t>シキ</t>
    </rPh>
    <phoneticPr fontId="14"/>
  </si>
  <si>
    <t>下駄+(採取日-41000)/除数1</t>
    <rPh sb="4" eb="6">
      <t>サイシュ</t>
    </rPh>
    <rPh sb="6" eb="7">
      <t>ビ</t>
    </rPh>
    <rPh sb="15" eb="16">
      <t>ジョ</t>
    </rPh>
    <phoneticPr fontId="14"/>
  </si>
  <si>
    <t>回帰式_Cs-137</t>
    <rPh sb="0" eb="2">
      <t>カイキ</t>
    </rPh>
    <rPh sb="2" eb="3">
      <t>シキ</t>
    </rPh>
    <phoneticPr fontId="14"/>
  </si>
  <si>
    <t>度(等間隔でないことに注意)</t>
    <rPh sb="0" eb="1">
      <t>ド</t>
    </rPh>
    <rPh sb="2" eb="5">
      <t>トウカンカク</t>
    </rPh>
    <rPh sb="11" eb="13">
      <t>チュウイ</t>
    </rPh>
    <phoneticPr fontId="14"/>
  </si>
  <si>
    <t>ラジアン</t>
    <phoneticPr fontId="14"/>
  </si>
  <si>
    <t>30°(360度/12ヶ月)等間隔</t>
    <rPh sb="7" eb="8">
      <t>ド</t>
    </rPh>
    <rPh sb="12" eb="13">
      <t>ゲツ</t>
    </rPh>
    <rPh sb="14" eb="17">
      <t>トウカンカク</t>
    </rPh>
    <phoneticPr fontId="14"/>
  </si>
  <si>
    <t>ラジアン</t>
    <phoneticPr fontId="14"/>
  </si>
  <si>
    <t>I-131当日1から減衰</t>
    <rPh sb="5" eb="7">
      <t>トウジツ</t>
    </rPh>
    <rPh sb="10" eb="12">
      <t>ゲンスイ</t>
    </rPh>
    <phoneticPr fontId="14"/>
  </si>
  <si>
    <r>
      <rPr>
        <sz val="6"/>
        <color theme="1"/>
        <rFont val="Meiryo UI"/>
        <family val="3"/>
        <charset val="128"/>
      </rPr>
      <t>Cs134</t>
    </r>
    <r>
      <rPr>
        <sz val="7"/>
        <color theme="1"/>
        <rFont val="Meiryo UI"/>
        <family val="3"/>
        <charset val="128"/>
      </rPr>
      <t>当日1から減衰</t>
    </r>
    <phoneticPr fontId="14"/>
  </si>
  <si>
    <r>
      <rPr>
        <sz val="6"/>
        <color theme="1"/>
        <rFont val="Meiryo UI"/>
        <family val="3"/>
        <charset val="128"/>
      </rPr>
      <t>Cs137</t>
    </r>
    <r>
      <rPr>
        <sz val="7"/>
        <color theme="1"/>
        <rFont val="Meiryo UI"/>
        <family val="3"/>
        <charset val="128"/>
      </rPr>
      <t>当日1から減衰</t>
    </r>
    <phoneticPr fontId="14"/>
  </si>
  <si>
    <t xml:space="preserve">両Cs当日各1から減衰  </t>
    <rPh sb="0" eb="1">
      <t>リョウ</t>
    </rPh>
    <rPh sb="3" eb="5">
      <t>トウジツ</t>
    </rPh>
    <rPh sb="5" eb="6">
      <t>カク</t>
    </rPh>
    <rPh sb="9" eb="11">
      <t>ゲンスイ</t>
    </rPh>
    <phoneticPr fontId="14"/>
  </si>
  <si>
    <t>両Cs1万から理論減衰</t>
    <rPh sb="0" eb="1">
      <t>リョウ</t>
    </rPh>
    <rPh sb="4" eb="5">
      <t>マン</t>
    </rPh>
    <rPh sb="7" eb="9">
      <t>リロン</t>
    </rPh>
    <rPh sb="9" eb="11">
      <t>ゲンスイ</t>
    </rPh>
    <phoneticPr fontId="14"/>
  </si>
  <si>
    <r>
      <rPr>
        <sz val="6"/>
        <color theme="1"/>
        <rFont val="Meiryo UI"/>
        <family val="3"/>
        <charset val="128"/>
      </rPr>
      <t>Cs134</t>
    </r>
    <r>
      <rPr>
        <sz val="7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14"/>
  </si>
  <si>
    <r>
      <rPr>
        <sz val="6"/>
        <color theme="1"/>
        <rFont val="Meiryo UI"/>
        <family val="3"/>
        <charset val="128"/>
      </rPr>
      <t>Cs137</t>
    </r>
    <r>
      <rPr>
        <sz val="7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14"/>
  </si>
  <si>
    <t>Bq/kg</t>
  </si>
  <si>
    <t>Bq/kg</t>
    <phoneticPr fontId="14"/>
  </si>
  <si>
    <t>Bq/kg</t>
    <phoneticPr fontId="14"/>
  </si>
  <si>
    <t>角度間隔ゆらぎCOS()</t>
    <rPh sb="0" eb="2">
      <t>カクド</t>
    </rPh>
    <rPh sb="2" eb="4">
      <t>カンカク</t>
    </rPh>
    <phoneticPr fontId="14"/>
  </si>
  <si>
    <t>30°等間隔COS()</t>
    <rPh sb="3" eb="4">
      <t>トウ</t>
    </rPh>
    <rPh sb="4" eb="6">
      <t>カンカク</t>
    </rPh>
    <phoneticPr fontId="14"/>
  </si>
  <si>
    <t>濃度データ推定法</t>
    <rPh sb="0" eb="2">
      <t>ノウド</t>
    </rPh>
    <rPh sb="5" eb="8">
      <t>スイテイホウ</t>
    </rPh>
    <phoneticPr fontId="5"/>
  </si>
  <si>
    <t>(毎月濃度データ不足の場合､減衰曲線と年間周期振動から推定)</t>
    <rPh sb="14" eb="16">
      <t>ゲンスイ</t>
    </rPh>
    <rPh sb="16" eb="18">
      <t>キョクセン</t>
    </rPh>
    <rPh sb="19" eb="21">
      <t>ネンカン</t>
    </rPh>
    <rPh sb="21" eb="23">
      <t>シュウキ</t>
    </rPh>
    <rPh sb="23" eb="25">
      <t>シンドウ</t>
    </rPh>
    <rPh sb="27" eb="29">
      <t>スイテイ</t>
    </rPh>
    <phoneticPr fontId="5"/>
  </si>
  <si>
    <t>年度
(H10以降？)</t>
    <rPh sb="0" eb="2">
      <t>ネンド</t>
    </rPh>
    <rPh sb="7" eb="9">
      <t>イコウ</t>
    </rPh>
    <phoneticPr fontId="5"/>
  </si>
  <si>
    <r>
      <t xml:space="preserve">ごみ総排出量
</t>
    </r>
    <r>
      <rPr>
        <sz val="7"/>
        <rFont val="Meiryo UI"/>
        <family val="3"/>
        <charset val="128"/>
      </rPr>
      <t>C=D+直接搬入量+Y</t>
    </r>
    <rPh sb="2" eb="3">
      <t>ソウ</t>
    </rPh>
    <rPh sb="3" eb="5">
      <t>ハイシュツ</t>
    </rPh>
    <rPh sb="5" eb="6">
      <t>リョウ</t>
    </rPh>
    <phoneticPr fontId="5"/>
  </si>
  <si>
    <t>計画収集量
D</t>
    <rPh sb="0" eb="2">
      <t>ケイカク</t>
    </rPh>
    <rPh sb="2" eb="4">
      <t>シュウシュウ</t>
    </rPh>
    <rPh sb="4" eb="5">
      <t>リョウ</t>
    </rPh>
    <phoneticPr fontId="5"/>
  </si>
  <si>
    <t>自家処理量
Y</t>
    <phoneticPr fontId="5"/>
  </si>
  <si>
    <t>集団回収量
E</t>
    <phoneticPr fontId="5"/>
  </si>
  <si>
    <t>直接焼却量
F</t>
    <phoneticPr fontId="5"/>
  </si>
  <si>
    <t>直接最終処分量
G</t>
    <phoneticPr fontId="5"/>
  </si>
  <si>
    <t>焼却以外の中間処理量
H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5"/>
  </si>
  <si>
    <t>直接資源化量
I</t>
    <rPh sb="0" eb="2">
      <t>チョクセツ</t>
    </rPh>
    <rPh sb="2" eb="4">
      <t>シゲン</t>
    </rPh>
    <rPh sb="4" eb="5">
      <t>カ</t>
    </rPh>
    <rPh sb="5" eb="6">
      <t>リョウ</t>
    </rPh>
    <phoneticPr fontId="5"/>
  </si>
  <si>
    <t>減量処理率N=(F+H+I)/X</t>
    <rPh sb="0" eb="2">
      <t>ショリ</t>
    </rPh>
    <rPh sb="2" eb="3">
      <t>リツ</t>
    </rPh>
    <phoneticPr fontId="5"/>
  </si>
  <si>
    <t>中間処理後再生利用量 J</t>
    <phoneticPr fontId="5"/>
  </si>
  <si>
    <t>焼却残渣量
K</t>
    <rPh sb="0" eb="2">
      <t>ショウキャク</t>
    </rPh>
    <rPh sb="2" eb="4">
      <t>ザンサ</t>
    </rPh>
    <rPh sb="4" eb="5">
      <t>リョウ</t>
    </rPh>
    <phoneticPr fontId="5"/>
  </si>
  <si>
    <t>処理残渣量
L</t>
    <rPh sb="0" eb="2">
      <t>ショリ</t>
    </rPh>
    <rPh sb="2" eb="4">
      <t>ザンサ</t>
    </rPh>
    <rPh sb="4" eb="5">
      <t>リョウ</t>
    </rPh>
    <phoneticPr fontId="5"/>
  </si>
  <si>
    <t>最終処分量
M=G+K+L</t>
    <rPh sb="0" eb="2">
      <t>サイシュウ</t>
    </rPh>
    <rPh sb="2" eb="4">
      <t>ショブン</t>
    </rPh>
    <rPh sb="4" eb="5">
      <t>リョウ</t>
    </rPh>
    <phoneticPr fontId="5"/>
  </si>
  <si>
    <t>H10以降？</t>
    <rPh sb="3" eb="5">
      <t>イコウ</t>
    </rPh>
    <phoneticPr fontId="5"/>
  </si>
  <si>
    <t>集団回収量が新設されたが､ごみ総排出量に含まない
自家処理量はごみ総排出量に含む
ごみ総排出量 &lt; &gt; ごみ処理量</t>
    <rPh sb="0" eb="2">
      <t>シュウダン</t>
    </rPh>
    <rPh sb="2" eb="4">
      <t>カイシュウ</t>
    </rPh>
    <rPh sb="4" eb="5">
      <t>リョウ</t>
    </rPh>
    <rPh sb="6" eb="8">
      <t>シンセツ</t>
    </rPh>
    <rPh sb="25" eb="27">
      <t>ジカ</t>
    </rPh>
    <rPh sb="27" eb="29">
      <t>ショリ</t>
    </rPh>
    <rPh sb="29" eb="30">
      <t>リョウ</t>
    </rPh>
    <rPh sb="33" eb="34">
      <t>ソウ</t>
    </rPh>
    <rPh sb="34" eb="36">
      <t>ハイシュツ</t>
    </rPh>
    <rPh sb="36" eb="37">
      <t>リョウ</t>
    </rPh>
    <rPh sb="38" eb="39">
      <t>フク</t>
    </rPh>
    <rPh sb="43" eb="44">
      <t>ソウ</t>
    </rPh>
    <rPh sb="44" eb="46">
      <t>ハイシュツ</t>
    </rPh>
    <rPh sb="46" eb="47">
      <t>リョウ</t>
    </rPh>
    <rPh sb="54" eb="56">
      <t>ショリ</t>
    </rPh>
    <rPh sb="56" eb="57">
      <t>リョウ</t>
    </rPh>
    <phoneticPr fontId="5"/>
  </si>
  <si>
    <t>計画収集人口 Ｂ</t>
    <rPh sb="0" eb="2">
      <t>ケイカク</t>
    </rPh>
    <rPh sb="2" eb="4">
      <t>シュウシュウ</t>
    </rPh>
    <rPh sb="4" eb="6">
      <t>ジンコウ</t>
    </rPh>
    <phoneticPr fontId="5"/>
  </si>
  <si>
    <t>自家処理量  Y</t>
    <phoneticPr fontId="5"/>
  </si>
  <si>
    <t>集団回収量  E</t>
    <phoneticPr fontId="5"/>
  </si>
  <si>
    <t>直接焼却量 F</t>
    <phoneticPr fontId="5"/>
  </si>
  <si>
    <t>直接最終処分量 G</t>
    <phoneticPr fontId="5"/>
  </si>
  <si>
    <t>H17以降</t>
    <rPh sb="3" eb="5">
      <t>イコウ</t>
    </rPh>
    <phoneticPr fontId="5"/>
  </si>
  <si>
    <t>集団回収量が､ごみ総排出量に含む
自家処理量はごみ総排出量に含まない
単位：(人)､(t)､(％)
環境省の元値X,N,R,M欄</t>
    <rPh sb="0" eb="2">
      <t>シュウダン</t>
    </rPh>
    <rPh sb="2" eb="4">
      <t>カイシュウ</t>
    </rPh>
    <rPh sb="4" eb="5">
      <t>リョウ</t>
    </rPh>
    <rPh sb="17" eb="19">
      <t>ジカ</t>
    </rPh>
    <rPh sb="19" eb="21">
      <t>ショリ</t>
    </rPh>
    <rPh sb="21" eb="22">
      <t>リョウ</t>
    </rPh>
    <rPh sb="25" eb="26">
      <t>ソウ</t>
    </rPh>
    <rPh sb="26" eb="28">
      <t>ハイシュツ</t>
    </rPh>
    <rPh sb="28" eb="29">
      <t>リョウ</t>
    </rPh>
    <rPh sb="35" eb="37">
      <t>タンイ</t>
    </rPh>
    <rPh sb="39" eb="40">
      <t>ニン</t>
    </rPh>
    <rPh sb="50" eb="53">
      <t>カンキョウショウ</t>
    </rPh>
    <rPh sb="54" eb="56">
      <t>モトネ</t>
    </rPh>
    <rPh sb="63" eb="64">
      <t>ラン</t>
    </rPh>
    <phoneticPr fontId="5"/>
  </si>
  <si>
    <t>直接搬入量</t>
  </si>
  <si>
    <t>平成29年度</t>
    <rPh sb="0" eb="2">
      <t>ヘイセイ</t>
    </rPh>
    <rPh sb="4" eb="6">
      <t>ネンド</t>
    </rPh>
    <phoneticPr fontId="38"/>
  </si>
  <si>
    <t>毎月のデータが揃う石巻広域･宮城東部･仙台市･･から、焼却量と濃度が2･3月を底とし､</t>
    <rPh sb="0" eb="2">
      <t>マイツキ</t>
    </rPh>
    <rPh sb="7" eb="8">
      <t>ソロ</t>
    </rPh>
    <rPh sb="9" eb="11">
      <t>イシノマキ</t>
    </rPh>
    <rPh sb="11" eb="13">
      <t>コウイキ</t>
    </rPh>
    <rPh sb="14" eb="16">
      <t>ミヤギ</t>
    </rPh>
    <rPh sb="16" eb="18">
      <t>トウブ</t>
    </rPh>
    <rPh sb="19" eb="22">
      <t>センダイシ</t>
    </rPh>
    <rPh sb="27" eb="29">
      <t>ショウキャク</t>
    </rPh>
    <rPh sb="29" eb="30">
      <t>リョウ</t>
    </rPh>
    <rPh sb="31" eb="33">
      <t>ノウド</t>
    </rPh>
    <rPh sb="37" eb="38">
      <t>ガツ</t>
    </rPh>
    <rPh sb="39" eb="40">
      <t>ソコ</t>
    </rPh>
    <phoneticPr fontId="2"/>
  </si>
  <si>
    <t>←石巻広域と同じパターン変動するとして、H29実測値平均から推定</t>
    <rPh sb="23" eb="26">
      <t>ジッソクチ</t>
    </rPh>
    <rPh sb="26" eb="28">
      <t>ヘイキン</t>
    </rPh>
    <rPh sb="30" eb="32">
      <t>スイテイ</t>
    </rPh>
    <phoneticPr fontId="2"/>
  </si>
  <si>
    <t>主灰と飛灰中の月間Cs集積量(x0.1MBq)</t>
    <rPh sb="0" eb="1">
      <t>シュ</t>
    </rPh>
    <rPh sb="1" eb="2">
      <t>ハイ</t>
    </rPh>
    <rPh sb="3" eb="5">
      <t>ヒバイ</t>
    </rPh>
    <rPh sb="5" eb="6">
      <t>チュウ</t>
    </rPh>
    <rPh sb="7" eb="9">
      <t>ゲッカン</t>
    </rPh>
    <rPh sb="11" eb="13">
      <t>シュウセキ</t>
    </rPh>
    <rPh sb="13" eb="14">
      <t>リョウ</t>
    </rPh>
    <phoneticPr fontId="2"/>
  </si>
  <si>
    <t>最終処分場での両Cs現存量(x0.1MBq)</t>
    <rPh sb="0" eb="2">
      <t>サイシュウ</t>
    </rPh>
    <rPh sb="2" eb="5">
      <t>ショブンジョウ</t>
    </rPh>
    <rPh sb="10" eb="12">
      <t>ゲンゾン</t>
    </rPh>
    <rPh sb="12" eb="13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</si>
</sst>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 "/>
    <numFmt numFmtId="177" formatCode="0.0_ "/>
    <numFmt numFmtId="178" formatCode="[$-411]ge\.m"/>
    <numFmt numFmtId="179" formatCode="0.000"/>
    <numFmt numFmtId="180" formatCode="0.0"/>
    <numFmt numFmtId="181" formatCode="0.E+00"/>
  </numFmts>
  <fonts count="40" x14ac:knownFonts="1">
    <font>
      <sz val="11"/>
      <name val="ＭＳ Ｐゴシック"/>
      <family val="3"/>
      <charset val="128"/>
    </font>
    <font>
      <sz val="9"/>
      <color theme="1"/>
      <name val="Meiryo UI"/>
      <family val="2"/>
      <charset val="128"/>
    </font>
    <font>
      <sz val="10"/>
      <color indexed="40"/>
      <name val="ＭＳ ゴシック"/>
      <family val="3"/>
      <charset val="128"/>
    </font>
    <font>
      <sz val="9"/>
      <name val="Meiryo UI"/>
      <family val="3"/>
      <charset val="128"/>
    </font>
    <font>
      <sz val="9"/>
      <color indexed="40"/>
      <name val="Meiryo UI"/>
      <family val="3"/>
      <charset val="128"/>
    </font>
    <font>
      <sz val="6"/>
      <name val="ＭＳ Ｐゴシック"/>
      <family val="3"/>
      <charset val="128"/>
    </font>
    <font>
      <sz val="8"/>
      <color indexed="40"/>
      <name val="Meiryo UI"/>
      <family val="3"/>
      <charset val="128"/>
    </font>
    <font>
      <sz val="8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7"/>
      <name val="Meiryo UI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Meiryo UI"/>
      <family val="3"/>
      <charset val="128"/>
    </font>
    <font>
      <sz val="6"/>
      <name val="Meiryo UI"/>
      <family val="2"/>
      <charset val="128"/>
    </font>
    <font>
      <sz val="8"/>
      <color theme="1"/>
      <name val="Meiryo UI"/>
      <family val="3"/>
      <charset val="128"/>
    </font>
    <font>
      <sz val="9"/>
      <color rgb="FF333333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u/>
      <sz val="9"/>
      <color theme="10"/>
      <name val="Meiryo UI"/>
      <family val="2"/>
      <charset val="128"/>
    </font>
    <font>
      <sz val="7"/>
      <name val="ＭＳ Ｐゴシック"/>
      <family val="3"/>
      <charset val="128"/>
    </font>
    <font>
      <sz val="6"/>
      <name val="Meiryo UI"/>
      <family val="3"/>
      <charset val="128"/>
    </font>
    <font>
      <sz val="8.5"/>
      <color theme="1"/>
      <name val="Meiryo UI"/>
      <family val="3"/>
      <charset val="128"/>
    </font>
    <font>
      <sz val="6.5"/>
      <color theme="1"/>
      <name val="Meiryo UI"/>
      <family val="3"/>
      <charset val="128"/>
    </font>
    <font>
      <sz val="10"/>
      <name val="Meiryo UI"/>
      <family val="3"/>
      <charset val="128"/>
    </font>
    <font>
      <sz val="6.5"/>
      <name val="Meiryo UI"/>
      <family val="3"/>
      <charset val="128"/>
    </font>
    <font>
      <sz val="6.5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7.5"/>
      <color theme="1"/>
      <name val="Meiryo UI"/>
      <family val="3"/>
      <charset val="128"/>
    </font>
    <font>
      <u/>
      <sz val="11"/>
      <color theme="10"/>
      <name val="Meiryo UI"/>
      <family val="2"/>
      <charset val="128"/>
    </font>
    <font>
      <b/>
      <sz val="9"/>
      <color theme="9" tint="-0.249977111117893"/>
      <name val="Meiryo UI"/>
      <family val="3"/>
      <charset val="128"/>
    </font>
    <font>
      <sz val="7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7.5"/>
      <color rgb="FF333333"/>
      <name val="Meiryo UI"/>
      <family val="3"/>
      <charset val="128"/>
    </font>
    <font>
      <sz val="14"/>
      <name val="Meiryo UI"/>
      <family val="3"/>
      <charset val="128"/>
    </font>
    <font>
      <sz val="6"/>
      <name val="ＭＳ ゴシック"/>
      <family val="3"/>
      <charset val="128"/>
    </font>
    <font>
      <sz val="7.5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9"/>
      </left>
      <right/>
      <top style="thin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</borders>
  <cellStyleXfs count="6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1" fillId="0" borderId="0"/>
    <xf numFmtId="0" fontId="12" fillId="0" borderId="0"/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42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0" fontId="3" fillId="0" borderId="6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vertical="center"/>
    </xf>
    <xf numFmtId="56" fontId="3" fillId="0" borderId="2" xfId="0" quotePrefix="1" applyNumberFormat="1" applyFont="1" applyFill="1" applyBorder="1" applyAlignment="1">
      <alignment vertical="center"/>
    </xf>
    <xf numFmtId="56" fontId="4" fillId="0" borderId="2" xfId="0" quotePrefix="1" applyNumberFormat="1" applyFont="1" applyFill="1" applyBorder="1" applyAlignment="1">
      <alignment vertical="center"/>
    </xf>
    <xf numFmtId="0" fontId="3" fillId="0" borderId="2" xfId="0" quotePrefix="1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vertical="center"/>
    </xf>
    <xf numFmtId="0" fontId="3" fillId="3" borderId="2" xfId="0" quotePrefix="1" applyNumberFormat="1" applyFont="1" applyFill="1" applyBorder="1" applyAlignment="1">
      <alignment vertical="center"/>
    </xf>
    <xf numFmtId="56" fontId="3" fillId="2" borderId="4" xfId="0" applyNumberFormat="1" applyFont="1" applyFill="1" applyBorder="1" applyAlignment="1">
      <alignment vertical="center"/>
    </xf>
    <xf numFmtId="56" fontId="3" fillId="2" borderId="1" xfId="0" applyNumberFormat="1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vertical="center" shrinkToFit="1"/>
    </xf>
    <xf numFmtId="0" fontId="3" fillId="0" borderId="2" xfId="0" applyNumberFormat="1" applyFont="1" applyFill="1" applyBorder="1" applyAlignment="1">
      <alignment vertical="center" shrinkToFit="1"/>
    </xf>
    <xf numFmtId="2" fontId="3" fillId="0" borderId="1" xfId="0" applyNumberFormat="1" applyFont="1" applyFill="1" applyBorder="1" applyAlignment="1">
      <alignment vertical="center" shrinkToFit="1"/>
    </xf>
    <xf numFmtId="0" fontId="3" fillId="0" borderId="1" xfId="0" applyNumberFormat="1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 shrinkToFit="1"/>
    </xf>
    <xf numFmtId="56" fontId="3" fillId="2" borderId="4" xfId="0" applyNumberFormat="1" applyFont="1" applyFill="1" applyBorder="1" applyAlignment="1">
      <alignment vertical="center" shrinkToFit="1"/>
    </xf>
    <xf numFmtId="56" fontId="3" fillId="2" borderId="1" xfId="0" applyNumberFormat="1" applyFont="1" applyFill="1" applyBorder="1" applyAlignment="1">
      <alignment vertical="center" shrinkToFit="1"/>
    </xf>
    <xf numFmtId="0" fontId="3" fillId="3" borderId="1" xfId="0" applyNumberFormat="1" applyFont="1" applyFill="1" applyBorder="1" applyAlignment="1">
      <alignment vertical="center" shrinkToFit="1"/>
    </xf>
    <xf numFmtId="2" fontId="3" fillId="3" borderId="1" xfId="0" applyNumberFormat="1" applyFont="1" applyFill="1" applyBorder="1" applyAlignment="1">
      <alignment vertical="center" shrinkToFit="1"/>
    </xf>
    <xf numFmtId="0" fontId="4" fillId="3" borderId="1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3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0" fontId="3" fillId="0" borderId="12" xfId="0" applyFont="1" applyFill="1" applyBorder="1" applyAlignment="1">
      <alignment vertical="center"/>
    </xf>
    <xf numFmtId="0" fontId="3" fillId="0" borderId="12" xfId="0" applyNumberFormat="1" applyFont="1" applyFill="1" applyBorder="1" applyAlignment="1">
      <alignment vertical="center" shrinkToFit="1"/>
    </xf>
    <xf numFmtId="0" fontId="4" fillId="0" borderId="1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57" fontId="3" fillId="0" borderId="0" xfId="0" applyNumberFormat="1" applyFont="1" applyFill="1" applyBorder="1" applyAlignment="1">
      <alignment vertical="center" shrinkToFit="1"/>
    </xf>
    <xf numFmtId="177" fontId="3" fillId="0" borderId="0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57" fontId="3" fillId="5" borderId="12" xfId="0" applyNumberFormat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vertical="center"/>
    </xf>
    <xf numFmtId="57" fontId="3" fillId="5" borderId="13" xfId="0" applyNumberFormat="1" applyFont="1" applyFill="1" applyBorder="1" applyAlignment="1">
      <alignment horizontal="left" vertical="center" indent="1"/>
    </xf>
    <xf numFmtId="0" fontId="3" fillId="5" borderId="14" xfId="0" applyFont="1" applyFill="1" applyBorder="1" applyAlignment="1">
      <alignment horizontal="left" vertical="center" indent="1"/>
    </xf>
    <xf numFmtId="57" fontId="7" fillId="5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/>
    <xf numFmtId="0" fontId="3" fillId="0" borderId="0" xfId="0" applyFont="1" applyAlignment="1"/>
    <xf numFmtId="0" fontId="3" fillId="0" borderId="12" xfId="0" applyFont="1" applyBorder="1" applyAlignment="1">
      <alignment vertical="center"/>
    </xf>
    <xf numFmtId="49" fontId="3" fillId="0" borderId="12" xfId="2" applyNumberFormat="1" applyFont="1" applyBorder="1" applyAlignment="1">
      <alignment horizontal="left" vertical="center"/>
    </xf>
    <xf numFmtId="0" fontId="3" fillId="0" borderId="12" xfId="3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vertical="center" shrinkToFit="1"/>
    </xf>
    <xf numFmtId="0" fontId="3" fillId="5" borderId="12" xfId="0" applyFont="1" applyFill="1" applyBorder="1" applyAlignment="1"/>
    <xf numFmtId="0" fontId="3" fillId="8" borderId="12" xfId="0" applyFont="1" applyFill="1" applyBorder="1" applyAlignment="1"/>
    <xf numFmtId="0" fontId="3" fillId="9" borderId="12" xfId="0" applyFont="1" applyFill="1" applyBorder="1" applyAlignment="1">
      <alignment vertical="center"/>
    </xf>
    <xf numFmtId="0" fontId="3" fillId="9" borderId="12" xfId="0" applyFont="1" applyFill="1" applyBorder="1" applyAlignment="1"/>
    <xf numFmtId="0" fontId="3" fillId="9" borderId="12" xfId="0" applyFont="1" applyFill="1" applyBorder="1" applyAlignment="1">
      <alignment horizontal="center" vertical="center"/>
    </xf>
    <xf numFmtId="1" fontId="3" fillId="9" borderId="12" xfId="0" applyNumberFormat="1" applyFont="1" applyFill="1" applyBorder="1" applyAlignment="1">
      <alignment vertical="center" shrinkToFit="1"/>
    </xf>
    <xf numFmtId="0" fontId="3" fillId="0" borderId="12" xfId="0" applyNumberFormat="1" applyFont="1" applyBorder="1" applyAlignment="1">
      <alignment vertical="center" shrinkToFit="1"/>
    </xf>
    <xf numFmtId="0" fontId="3" fillId="0" borderId="12" xfId="0" applyFont="1" applyBorder="1" applyAlignment="1">
      <alignment vertical="center" shrinkToFit="1"/>
    </xf>
    <xf numFmtId="0" fontId="3" fillId="5" borderId="12" xfId="0" applyFont="1" applyFill="1" applyBorder="1" applyAlignment="1">
      <alignment vertical="center" shrinkToFit="1"/>
    </xf>
    <xf numFmtId="0" fontId="3" fillId="8" borderId="12" xfId="0" applyFont="1" applyFill="1" applyBorder="1" applyAlignment="1">
      <alignment vertical="center" shrinkToFit="1"/>
    </xf>
    <xf numFmtId="0" fontId="13" fillId="0" borderId="12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4" fillId="0" borderId="12" xfId="0" applyNumberFormat="1" applyFont="1" applyFill="1" applyBorder="1" applyAlignment="1">
      <alignment vertical="center" shrinkToFit="1"/>
    </xf>
    <xf numFmtId="1" fontId="3" fillId="0" borderId="12" xfId="0" applyNumberFormat="1" applyFont="1" applyFill="1" applyBorder="1" applyAlignment="1">
      <alignment vertical="center" shrinkToFit="1"/>
    </xf>
    <xf numFmtId="0" fontId="16" fillId="0" borderId="13" xfId="0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178" fontId="3" fillId="0" borderId="12" xfId="0" applyNumberFormat="1" applyFont="1" applyFill="1" applyBorder="1" applyAlignment="1">
      <alignment vertical="center" shrinkToFit="1"/>
    </xf>
    <xf numFmtId="176" fontId="3" fillId="0" borderId="19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 shrinkToFit="1"/>
    </xf>
    <xf numFmtId="1" fontId="13" fillId="0" borderId="12" xfId="0" applyNumberFormat="1" applyFont="1" applyFill="1" applyBorder="1" applyAlignment="1">
      <alignment vertical="center" shrinkToFit="1"/>
    </xf>
    <xf numFmtId="57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" fontId="13" fillId="2" borderId="12" xfId="0" applyNumberFormat="1" applyFont="1" applyFill="1" applyBorder="1" applyAlignment="1">
      <alignment vertical="center" shrinkToFit="1"/>
    </xf>
    <xf numFmtId="179" fontId="13" fillId="2" borderId="12" xfId="0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vertical="center"/>
    </xf>
    <xf numFmtId="176" fontId="3" fillId="0" borderId="12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vertical="center"/>
    </xf>
    <xf numFmtId="179" fontId="13" fillId="2" borderId="20" xfId="0" applyNumberFormat="1" applyFont="1" applyFill="1" applyBorder="1" applyAlignment="1">
      <alignment vertical="center" shrinkToFit="1"/>
    </xf>
    <xf numFmtId="0" fontId="3" fillId="0" borderId="20" xfId="0" applyFont="1" applyFill="1" applyBorder="1" applyAlignment="1">
      <alignment vertical="center"/>
    </xf>
    <xf numFmtId="1" fontId="3" fillId="2" borderId="12" xfId="0" applyNumberFormat="1" applyFont="1" applyFill="1" applyBorder="1" applyAlignment="1">
      <alignment vertical="center" shrinkToFit="1"/>
    </xf>
    <xf numFmtId="0" fontId="18" fillId="0" borderId="0" xfId="0" applyFont="1">
      <alignment vertical="center"/>
    </xf>
    <xf numFmtId="0" fontId="15" fillId="0" borderId="0" xfId="0" applyFont="1" applyBorder="1" applyAlignment="1">
      <alignment horizontal="left" vertical="center" indent="1"/>
    </xf>
    <xf numFmtId="0" fontId="3" fillId="0" borderId="13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180" fontId="13" fillId="2" borderId="12" xfId="0" applyNumberFormat="1" applyFont="1" applyFill="1" applyBorder="1" applyAlignment="1">
      <alignment horizontal="center" shrinkToFit="1"/>
    </xf>
    <xf numFmtId="0" fontId="15" fillId="0" borderId="0" xfId="0" applyFont="1" applyBorder="1" applyAlignment="1"/>
    <xf numFmtId="178" fontId="3" fillId="5" borderId="12" xfId="0" applyNumberFormat="1" applyFont="1" applyFill="1" applyBorder="1" applyAlignment="1">
      <alignment vertical="center" shrinkToFit="1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179" fontId="13" fillId="0" borderId="0" xfId="0" applyNumberFormat="1" applyFont="1" applyBorder="1" applyAlignment="1">
      <alignment vertical="center" shrinkToFit="1"/>
    </xf>
    <xf numFmtId="2" fontId="13" fillId="0" borderId="0" xfId="0" applyNumberFormat="1" applyFont="1" applyBorder="1" applyAlignment="1">
      <alignment vertical="center" shrinkToFit="1"/>
    </xf>
    <xf numFmtId="179" fontId="13" fillId="8" borderId="15" xfId="0" applyNumberFormat="1" applyFont="1" applyFill="1" applyBorder="1" applyAlignment="1">
      <alignment vertical="center" shrinkToFit="1"/>
    </xf>
    <xf numFmtId="179" fontId="13" fillId="8" borderId="12" xfId="0" applyNumberFormat="1" applyFont="1" applyFill="1" applyBorder="1" applyAlignment="1">
      <alignment vertical="center" shrinkToFit="1"/>
    </xf>
    <xf numFmtId="181" fontId="13" fillId="2" borderId="15" xfId="0" applyNumberFormat="1" applyFont="1" applyFill="1" applyBorder="1" applyAlignment="1">
      <alignment horizontal="center" vertical="center" shrinkToFit="1"/>
    </xf>
    <xf numFmtId="0" fontId="5" fillId="2" borderId="18" xfId="0" applyFont="1" applyFill="1" applyBorder="1" applyAlignment="1">
      <alignment horizontal="center" vertical="center" wrapText="1"/>
    </xf>
    <xf numFmtId="57" fontId="23" fillId="0" borderId="0" xfId="0" applyNumberFormat="1" applyFont="1" applyBorder="1" applyAlignment="1">
      <alignment horizontal="left" vertical="center" indent="1"/>
    </xf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top"/>
    </xf>
    <xf numFmtId="1" fontId="13" fillId="8" borderId="12" xfId="0" applyNumberFormat="1" applyFont="1" applyFill="1" applyBorder="1" applyAlignment="1">
      <alignment vertical="center" shrinkToFit="1"/>
    </xf>
    <xf numFmtId="0" fontId="3" fillId="0" borderId="15" xfId="0" applyFont="1" applyFill="1" applyBorder="1" applyAlignment="1">
      <alignment vertical="center"/>
    </xf>
    <xf numFmtId="0" fontId="5" fillId="2" borderId="23" xfId="0" applyFont="1" applyFill="1" applyBorder="1" applyAlignment="1">
      <alignment horizontal="center" vertical="center" wrapText="1"/>
    </xf>
    <xf numFmtId="1" fontId="3" fillId="2" borderId="24" xfId="0" applyNumberFormat="1" applyFont="1" applyFill="1" applyBorder="1" applyAlignment="1">
      <alignment vertical="center" shrinkToFit="1"/>
    </xf>
    <xf numFmtId="0" fontId="3" fillId="0" borderId="2" xfId="0" quotePrefix="1" applyFont="1" applyFill="1" applyBorder="1" applyAlignment="1">
      <alignment vertical="center" shrinkToFit="1"/>
    </xf>
    <xf numFmtId="56" fontId="3" fillId="0" borderId="2" xfId="0" quotePrefix="1" applyNumberFormat="1" applyFont="1" applyFill="1" applyBorder="1" applyAlignment="1">
      <alignment vertical="center" shrinkToFit="1"/>
    </xf>
    <xf numFmtId="0" fontId="3" fillId="0" borderId="25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179" fontId="13" fillId="0" borderId="12" xfId="0" applyNumberFormat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vertical="center" shrinkToFit="1"/>
    </xf>
    <xf numFmtId="0" fontId="4" fillId="0" borderId="32" xfId="0" applyNumberFormat="1" applyFont="1" applyFill="1" applyBorder="1" applyAlignment="1">
      <alignment vertical="center" shrinkToFit="1"/>
    </xf>
    <xf numFmtId="0" fontId="4" fillId="0" borderId="34" xfId="0" applyNumberFormat="1" applyFont="1" applyFill="1" applyBorder="1" applyAlignment="1">
      <alignment vertical="center" shrinkToFit="1"/>
    </xf>
    <xf numFmtId="0" fontId="4" fillId="0" borderId="35" xfId="0" applyNumberFormat="1" applyFont="1" applyFill="1" applyBorder="1" applyAlignment="1">
      <alignment vertical="center" shrinkToFit="1"/>
    </xf>
    <xf numFmtId="0" fontId="4" fillId="0" borderId="19" xfId="0" applyNumberFormat="1" applyFont="1" applyFill="1" applyBorder="1" applyAlignment="1">
      <alignment vertical="center"/>
    </xf>
    <xf numFmtId="0" fontId="3" fillId="0" borderId="34" xfId="0" applyFont="1" applyFill="1" applyBorder="1" applyAlignment="1">
      <alignment vertical="center"/>
    </xf>
    <xf numFmtId="0" fontId="4" fillId="0" borderId="32" xfId="0" applyNumberFormat="1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vertical="center"/>
    </xf>
    <xf numFmtId="0" fontId="4" fillId="0" borderId="12" xfId="0" applyNumberFormat="1" applyFont="1" applyFill="1" applyBorder="1" applyAlignment="1">
      <alignment vertical="center" wrapText="1"/>
    </xf>
    <xf numFmtId="1" fontId="3" fillId="3" borderId="12" xfId="0" applyNumberFormat="1" applyFont="1" applyFill="1" applyBorder="1" applyAlignment="1">
      <alignment vertical="center" shrinkToFit="1"/>
    </xf>
    <xf numFmtId="1" fontId="3" fillId="10" borderId="12" xfId="0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20" fillId="0" borderId="0" xfId="4" applyFill="1" applyBorder="1" applyAlignment="1">
      <alignment vertical="center"/>
    </xf>
    <xf numFmtId="0" fontId="7" fillId="0" borderId="12" xfId="0" applyNumberFormat="1" applyFont="1" applyFill="1" applyBorder="1" applyAlignment="1">
      <alignment vertical="center"/>
    </xf>
    <xf numFmtId="0" fontId="3" fillId="0" borderId="12" xfId="0" applyFont="1" applyBorder="1">
      <alignment vertical="center"/>
    </xf>
    <xf numFmtId="0" fontId="3" fillId="0" borderId="12" xfId="0" quotePrefix="1" applyFont="1" applyBorder="1" applyAlignment="1">
      <alignment vertical="top"/>
    </xf>
    <xf numFmtId="178" fontId="3" fillId="0" borderId="12" xfId="0" applyNumberFormat="1" applyFont="1" applyFill="1" applyBorder="1" applyAlignment="1">
      <alignment horizontal="center" vertical="center" shrinkToFit="1"/>
    </xf>
    <xf numFmtId="178" fontId="3" fillId="0" borderId="12" xfId="0" applyNumberFormat="1" applyFont="1" applyBorder="1" applyAlignment="1">
      <alignment horizontal="center" vertical="center" shrinkToFit="1"/>
    </xf>
    <xf numFmtId="178" fontId="3" fillId="9" borderId="12" xfId="0" applyNumberFormat="1" applyFont="1" applyFill="1" applyBorder="1" applyAlignment="1">
      <alignment horizontal="center" vertical="center" shrinkToFit="1"/>
    </xf>
    <xf numFmtId="178" fontId="3" fillId="0" borderId="12" xfId="0" applyNumberFormat="1" applyFont="1" applyBorder="1" applyAlignment="1">
      <alignment vertical="center" shrinkToFit="1"/>
    </xf>
    <xf numFmtId="0" fontId="3" fillId="7" borderId="12" xfId="0" applyNumberFormat="1" applyFont="1" applyFill="1" applyBorder="1" applyAlignment="1">
      <alignment vertical="center" shrinkToFit="1"/>
    </xf>
    <xf numFmtId="177" fontId="3" fillId="7" borderId="12" xfId="0" applyNumberFormat="1" applyFont="1" applyFill="1" applyBorder="1" applyAlignment="1">
      <alignment vertical="center" shrinkToFit="1"/>
    </xf>
    <xf numFmtId="1" fontId="3" fillId="0" borderId="12" xfId="1" applyNumberFormat="1" applyFont="1" applyBorder="1" applyAlignment="1">
      <alignment vertical="center" shrinkToFit="1"/>
    </xf>
    <xf numFmtId="0" fontId="3" fillId="0" borderId="12" xfId="1" applyNumberFormat="1" applyFont="1" applyBorder="1" applyAlignment="1">
      <alignment vertical="center" shrinkToFit="1"/>
    </xf>
    <xf numFmtId="1" fontId="3" fillId="0" borderId="12" xfId="2" applyNumberFormat="1" applyFont="1" applyBorder="1" applyAlignment="1">
      <alignment vertical="center" shrinkToFit="1"/>
    </xf>
    <xf numFmtId="0" fontId="3" fillId="0" borderId="12" xfId="2" applyNumberFormat="1" applyFont="1" applyBorder="1" applyAlignment="1">
      <alignment vertical="center" shrinkToFit="1"/>
    </xf>
    <xf numFmtId="0" fontId="3" fillId="9" borderId="12" xfId="0" applyNumberFormat="1" applyFont="1" applyFill="1" applyBorder="1" applyAlignment="1">
      <alignment vertical="center" shrinkToFit="1"/>
    </xf>
    <xf numFmtId="0" fontId="3" fillId="9" borderId="12" xfId="0" applyFont="1" applyFill="1" applyBorder="1" applyAlignment="1">
      <alignment vertical="center" shrinkToFit="1"/>
    </xf>
    <xf numFmtId="2" fontId="3" fillId="0" borderId="12" xfId="0" applyNumberFormat="1" applyFont="1" applyBorder="1" applyAlignment="1">
      <alignment vertical="center" shrinkToFit="1"/>
    </xf>
    <xf numFmtId="0" fontId="7" fillId="0" borderId="0" xfId="0" applyFont="1" applyAlignment="1"/>
    <xf numFmtId="0" fontId="3" fillId="0" borderId="12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57" fontId="3" fillId="0" borderId="12" xfId="0" applyNumberFormat="1" applyFont="1" applyBorder="1" applyAlignment="1">
      <alignment vertical="center" shrinkToFit="1"/>
    </xf>
    <xf numFmtId="2" fontId="3" fillId="0" borderId="12" xfId="0" applyNumberFormat="1" applyFont="1" applyFill="1" applyBorder="1" applyAlignment="1">
      <alignment vertical="center" shrinkToFit="1"/>
    </xf>
    <xf numFmtId="2" fontId="3" fillId="2" borderId="12" xfId="0" applyNumberFormat="1" applyFont="1" applyFill="1" applyBorder="1" applyAlignment="1">
      <alignment vertical="center" shrinkToFit="1"/>
    </xf>
    <xf numFmtId="180" fontId="4" fillId="2" borderId="12" xfId="0" applyNumberFormat="1" applyFont="1" applyFill="1" applyBorder="1" applyAlignment="1">
      <alignment vertical="center" shrinkToFit="1"/>
    </xf>
    <xf numFmtId="57" fontId="3" fillId="0" borderId="15" xfId="0" applyNumberFormat="1" applyFont="1" applyFill="1" applyBorder="1" applyAlignment="1">
      <alignment vertical="center" shrinkToFit="1"/>
    </xf>
    <xf numFmtId="0" fontId="3" fillId="2" borderId="15" xfId="0" applyFont="1" applyFill="1" applyBorder="1" applyAlignment="1">
      <alignment vertical="center"/>
    </xf>
    <xf numFmtId="57" fontId="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176" fontId="25" fillId="0" borderId="0" xfId="0" applyNumberFormat="1" applyFont="1" applyFill="1" applyBorder="1" applyAlignment="1">
      <alignment vertical="center"/>
    </xf>
    <xf numFmtId="0" fontId="30" fillId="0" borderId="0" xfId="4" applyNumberFormat="1" applyFont="1" applyFill="1" applyBorder="1" applyAlignment="1">
      <alignment vertical="center"/>
    </xf>
    <xf numFmtId="0" fontId="13" fillId="0" borderId="0" xfId="0" quotePrefix="1" applyFont="1" applyFill="1" applyBorder="1" applyAlignment="1">
      <alignment vertical="center"/>
    </xf>
    <xf numFmtId="2" fontId="13" fillId="3" borderId="12" xfId="0" applyNumberFormat="1" applyFont="1" applyFill="1" applyBorder="1" applyAlignment="1">
      <alignment vertical="center" shrinkToFit="1"/>
    </xf>
    <xf numFmtId="2" fontId="13" fillId="2" borderId="12" xfId="0" quotePrefix="1" applyNumberFormat="1" applyFont="1" applyFill="1" applyBorder="1" applyAlignment="1">
      <alignment vertical="center"/>
    </xf>
    <xf numFmtId="2" fontId="13" fillId="11" borderId="12" xfId="0" applyNumberFormat="1" applyFont="1" applyFill="1" applyBorder="1" applyAlignment="1">
      <alignment vertical="center" shrinkToFit="1"/>
    </xf>
    <xf numFmtId="0" fontId="3" fillId="3" borderId="12" xfId="0" applyFont="1" applyFill="1" applyBorder="1" applyAlignment="1">
      <alignment vertical="center"/>
    </xf>
    <xf numFmtId="2" fontId="13" fillId="2" borderId="18" xfId="0" quotePrefix="1" applyNumberFormat="1" applyFont="1" applyFill="1" applyBorder="1" applyAlignment="1">
      <alignment vertical="center"/>
    </xf>
    <xf numFmtId="0" fontId="13" fillId="0" borderId="0" xfId="5" applyFont="1" applyBorder="1" applyAlignment="1">
      <alignment vertical="center"/>
    </xf>
    <xf numFmtId="0" fontId="1" fillId="0" borderId="0" xfId="5">
      <alignment vertical="center"/>
    </xf>
    <xf numFmtId="0" fontId="15" fillId="0" borderId="0" xfId="5" applyFont="1" applyBorder="1" applyAlignment="1">
      <alignment vertical="center"/>
    </xf>
    <xf numFmtId="0" fontId="15" fillId="0" borderId="0" xfId="5" applyFont="1" applyFill="1" applyBorder="1" applyAlignment="1">
      <alignment vertical="center"/>
    </xf>
    <xf numFmtId="0" fontId="1" fillId="0" borderId="0" xfId="5" applyBorder="1">
      <alignment vertical="center"/>
    </xf>
    <xf numFmtId="0" fontId="13" fillId="0" borderId="0" xfId="5" quotePrefix="1" applyFont="1" applyFill="1" applyBorder="1" applyAlignment="1">
      <alignment vertical="center"/>
    </xf>
    <xf numFmtId="0" fontId="13" fillId="0" borderId="0" xfId="5" applyFont="1" applyBorder="1">
      <alignment vertical="center"/>
    </xf>
    <xf numFmtId="0" fontId="31" fillId="0" borderId="0" xfId="5" applyFont="1" applyFill="1" applyBorder="1" applyAlignment="1">
      <alignment vertical="center"/>
    </xf>
    <xf numFmtId="0" fontId="1" fillId="0" borderId="0" xfId="5" applyFill="1" applyBorder="1" applyAlignment="1">
      <alignment horizontal="distributed" vertical="center"/>
    </xf>
    <xf numFmtId="0" fontId="13" fillId="0" borderId="0" xfId="5" applyFont="1" applyFill="1" applyBorder="1" applyAlignment="1">
      <alignment horizontal="right" vertical="center"/>
    </xf>
    <xf numFmtId="0" fontId="13" fillId="0" borderId="0" xfId="5" applyFont="1" applyFill="1" applyBorder="1" applyAlignment="1">
      <alignment vertical="center"/>
    </xf>
    <xf numFmtId="0" fontId="13" fillId="0" borderId="0" xfId="5" applyFont="1" applyBorder="1" applyAlignment="1">
      <alignment horizontal="center" vertical="center"/>
    </xf>
    <xf numFmtId="0" fontId="1" fillId="0" borderId="0" xfId="5" applyBorder="1" applyAlignment="1">
      <alignment horizontal="distributed" vertical="center"/>
    </xf>
    <xf numFmtId="57" fontId="23" fillId="0" borderId="0" xfId="5" applyNumberFormat="1" applyFont="1" applyBorder="1" applyAlignment="1">
      <alignment horizontal="left" vertical="center" indent="1"/>
    </xf>
    <xf numFmtId="0" fontId="23" fillId="0" borderId="0" xfId="5" applyFont="1" applyFill="1" applyBorder="1" applyAlignment="1">
      <alignment vertical="center"/>
    </xf>
    <xf numFmtId="0" fontId="1" fillId="0" borderId="0" xfId="5" applyBorder="1" applyAlignment="1">
      <alignment horizontal="center" vertical="center"/>
    </xf>
    <xf numFmtId="0" fontId="23" fillId="0" borderId="0" xfId="5" applyFont="1" applyBorder="1" applyAlignment="1">
      <alignment vertical="center"/>
    </xf>
    <xf numFmtId="0" fontId="1" fillId="0" borderId="0" xfId="5" applyFont="1" applyBorder="1" applyAlignment="1">
      <alignment vertical="center"/>
    </xf>
    <xf numFmtId="179" fontId="13" fillId="0" borderId="0" xfId="5" applyNumberFormat="1" applyFont="1" applyBorder="1" applyAlignment="1">
      <alignment vertical="center" shrinkToFit="1"/>
    </xf>
    <xf numFmtId="2" fontId="13" fillId="0" borderId="0" xfId="5" applyNumberFormat="1" applyFont="1" applyBorder="1" applyAlignment="1">
      <alignment vertical="center" shrinkToFit="1"/>
    </xf>
    <xf numFmtId="180" fontId="13" fillId="2" borderId="12" xfId="5" applyNumberFormat="1" applyFont="1" applyFill="1" applyBorder="1" applyAlignment="1">
      <alignment horizontal="center" shrinkToFit="1"/>
    </xf>
    <xf numFmtId="0" fontId="15" fillId="0" borderId="37" xfId="5" applyFont="1" applyBorder="1" applyAlignment="1">
      <alignment horizontal="right" vertical="center"/>
    </xf>
    <xf numFmtId="0" fontId="15" fillId="0" borderId="0" xfId="5" applyFont="1" applyBorder="1" applyAlignment="1">
      <alignment horizontal="right" vertical="center"/>
    </xf>
    <xf numFmtId="179" fontId="1" fillId="0" borderId="30" xfId="5" applyNumberFormat="1" applyBorder="1" applyAlignment="1">
      <alignment vertical="center" shrinkToFit="1"/>
    </xf>
    <xf numFmtId="179" fontId="13" fillId="0" borderId="30" xfId="5" applyNumberFormat="1" applyFont="1" applyBorder="1" applyAlignment="1">
      <alignment vertical="center" shrinkToFit="1"/>
    </xf>
    <xf numFmtId="2" fontId="13" fillId="0" borderId="30" xfId="5" applyNumberFormat="1" applyFont="1" applyBorder="1" applyAlignment="1">
      <alignment vertical="center" shrinkToFit="1"/>
    </xf>
    <xf numFmtId="0" fontId="32" fillId="0" borderId="30" xfId="5" applyFont="1" applyBorder="1" applyAlignment="1">
      <alignment vertical="center"/>
    </xf>
    <xf numFmtId="0" fontId="23" fillId="0" borderId="39" xfId="5" applyFont="1" applyFill="1" applyBorder="1" applyAlignment="1">
      <alignment horizontal="center" vertical="center" wrapText="1"/>
    </xf>
    <xf numFmtId="0" fontId="23" fillId="0" borderId="43" xfId="5" applyFont="1" applyFill="1" applyBorder="1" applyAlignment="1">
      <alignment horizontal="center" vertical="center" wrapText="1"/>
    </xf>
    <xf numFmtId="0" fontId="23" fillId="0" borderId="45" xfId="5" applyFont="1" applyFill="1" applyBorder="1" applyAlignment="1">
      <alignment horizontal="center" vertical="center" wrapText="1"/>
    </xf>
    <xf numFmtId="0" fontId="1" fillId="0" borderId="17" xfId="5" applyBorder="1" applyAlignment="1">
      <alignment horizontal="center" vertical="center"/>
    </xf>
    <xf numFmtId="1" fontId="1" fillId="0" borderId="17" xfId="5" applyNumberFormat="1" applyBorder="1" applyAlignment="1">
      <alignment horizontal="center" vertical="center"/>
    </xf>
    <xf numFmtId="0" fontId="1" fillId="0" borderId="12" xfId="5" applyBorder="1">
      <alignment vertical="center"/>
    </xf>
    <xf numFmtId="0" fontId="1" fillId="0" borderId="47" xfId="5" applyBorder="1">
      <alignment vertical="center"/>
    </xf>
    <xf numFmtId="0" fontId="1" fillId="0" borderId="43" xfId="5" applyBorder="1" applyAlignment="1">
      <alignment horizontal="center" vertical="center"/>
    </xf>
    <xf numFmtId="0" fontId="15" fillId="0" borderId="17" xfId="5" applyFont="1" applyFill="1" applyBorder="1" applyAlignment="1">
      <alignment horizontal="center" vertical="center" shrinkToFit="1"/>
    </xf>
    <xf numFmtId="0" fontId="15" fillId="0" borderId="42" xfId="5" applyFont="1" applyFill="1" applyBorder="1" applyAlignment="1">
      <alignment horizontal="center" vertical="center" shrinkToFit="1"/>
    </xf>
    <xf numFmtId="0" fontId="15" fillId="0" borderId="43" xfId="5" applyFont="1" applyFill="1" applyBorder="1" applyAlignment="1">
      <alignment horizontal="center" vertical="center" shrinkToFit="1"/>
    </xf>
    <xf numFmtId="0" fontId="13" fillId="0" borderId="17" xfId="5" applyFont="1" applyBorder="1" applyAlignment="1">
      <alignment horizontal="center" vertical="center" shrinkToFit="1"/>
    </xf>
    <xf numFmtId="0" fontId="1" fillId="0" borderId="17" xfId="5" applyBorder="1">
      <alignment vertical="center"/>
    </xf>
    <xf numFmtId="0" fontId="1" fillId="0" borderId="42" xfId="5" applyBorder="1">
      <alignment vertical="center"/>
    </xf>
    <xf numFmtId="0" fontId="13" fillId="0" borderId="43" xfId="5" applyFont="1" applyBorder="1" applyAlignment="1">
      <alignment horizontal="center" vertical="center" shrinkToFit="1"/>
    </xf>
    <xf numFmtId="2" fontId="1" fillId="0" borderId="12" xfId="5" applyNumberFormat="1" applyBorder="1" applyAlignment="1">
      <alignment vertical="center" shrinkToFit="1"/>
    </xf>
    <xf numFmtId="2" fontId="1" fillId="0" borderId="47" xfId="5" applyNumberFormat="1" applyBorder="1" applyAlignment="1">
      <alignment vertical="center" shrinkToFit="1"/>
    </xf>
    <xf numFmtId="0" fontId="1" fillId="0" borderId="15" xfId="5" applyBorder="1">
      <alignment vertical="center"/>
    </xf>
    <xf numFmtId="0" fontId="15" fillId="0" borderId="17" xfId="5" applyFont="1" applyBorder="1" applyAlignment="1">
      <alignment horizontal="center" vertical="center" shrinkToFit="1"/>
    </xf>
    <xf numFmtId="0" fontId="1" fillId="0" borderId="18" xfId="5" applyBorder="1" applyAlignment="1">
      <alignment horizontal="center" vertical="center"/>
    </xf>
    <xf numFmtId="1" fontId="1" fillId="0" borderId="18" xfId="5" applyNumberFormat="1" applyBorder="1" applyAlignment="1">
      <alignment horizontal="center" vertical="center"/>
    </xf>
    <xf numFmtId="0" fontId="1" fillId="0" borderId="45" xfId="5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 shrinkToFit="1"/>
    </xf>
    <xf numFmtId="0" fontId="15" fillId="0" borderId="46" xfId="5" applyFont="1" applyFill="1" applyBorder="1" applyAlignment="1">
      <alignment horizontal="center" vertical="center" shrinkToFit="1"/>
    </xf>
    <xf numFmtId="0" fontId="15" fillId="0" borderId="45" xfId="5" applyFont="1" applyFill="1" applyBorder="1" applyAlignment="1">
      <alignment horizontal="center" vertical="center" shrinkToFit="1"/>
    </xf>
    <xf numFmtId="0" fontId="15" fillId="0" borderId="18" xfId="5" applyFont="1" applyFill="1" applyBorder="1" applyAlignment="1">
      <alignment vertical="center"/>
    </xf>
    <xf numFmtId="0" fontId="1" fillId="0" borderId="18" xfId="5" applyBorder="1">
      <alignment vertical="center"/>
    </xf>
    <xf numFmtId="0" fontId="15" fillId="0" borderId="46" xfId="5" applyFont="1" applyFill="1" applyBorder="1" applyAlignment="1">
      <alignment vertical="center"/>
    </xf>
    <xf numFmtId="0" fontId="1" fillId="0" borderId="45" xfId="5" applyFill="1" applyBorder="1" applyAlignment="1">
      <alignment horizontal="distributed" vertical="center"/>
    </xf>
    <xf numFmtId="0" fontId="1" fillId="0" borderId="18" xfId="5" applyFill="1" applyBorder="1" applyAlignment="1">
      <alignment horizontal="distributed" vertical="center"/>
    </xf>
    <xf numFmtId="0" fontId="1" fillId="5" borderId="12" xfId="5" applyFill="1" applyBorder="1" applyAlignment="1">
      <alignment vertical="center" shrinkToFit="1"/>
    </xf>
    <xf numFmtId="0" fontId="1" fillId="5" borderId="15" xfId="5" applyFill="1" applyBorder="1" applyAlignment="1">
      <alignment vertical="center" shrinkToFit="1"/>
    </xf>
    <xf numFmtId="0" fontId="13" fillId="0" borderId="18" xfId="5" applyFont="1" applyBorder="1" applyAlignment="1">
      <alignment horizontal="center" vertical="center" shrinkToFit="1"/>
    </xf>
    <xf numFmtId="0" fontId="15" fillId="0" borderId="18" xfId="5" applyFont="1" applyBorder="1" applyAlignment="1">
      <alignment horizontal="center" vertical="center" shrinkToFit="1"/>
    </xf>
    <xf numFmtId="0" fontId="13" fillId="8" borderId="12" xfId="5" applyFont="1" applyFill="1" applyBorder="1" applyAlignment="1">
      <alignment vertical="center" shrinkToFit="1"/>
    </xf>
    <xf numFmtId="57" fontId="13" fillId="8" borderId="12" xfId="5" applyNumberFormat="1" applyFont="1" applyFill="1" applyBorder="1" applyAlignment="1">
      <alignment vertical="center" shrinkToFit="1"/>
    </xf>
    <xf numFmtId="1" fontId="13" fillId="8" borderId="12" xfId="5" applyNumberFormat="1" applyFont="1" applyFill="1" applyBorder="1" applyAlignment="1">
      <alignment vertical="center" shrinkToFit="1"/>
    </xf>
    <xf numFmtId="0" fontId="1" fillId="0" borderId="12" xfId="5" applyBorder="1" applyAlignment="1">
      <alignment vertical="center" shrinkToFit="1"/>
    </xf>
    <xf numFmtId="0" fontId="1" fillId="0" borderId="47" xfId="5" applyBorder="1" applyAlignment="1">
      <alignment vertical="center" shrinkToFit="1"/>
    </xf>
    <xf numFmtId="57" fontId="13" fillId="8" borderId="15" xfId="5" applyNumberFormat="1" applyFont="1" applyFill="1" applyBorder="1" applyAlignment="1">
      <alignment vertical="center" shrinkToFit="1"/>
    </xf>
    <xf numFmtId="0" fontId="13" fillId="8" borderId="47" xfId="5" applyFont="1" applyFill="1" applyBorder="1" applyAlignment="1">
      <alignment vertical="center" shrinkToFit="1"/>
    </xf>
    <xf numFmtId="0" fontId="13" fillId="8" borderId="45" xfId="5" applyFont="1" applyFill="1" applyBorder="1" applyAlignment="1">
      <alignment vertical="center" shrinkToFit="1"/>
    </xf>
    <xf numFmtId="0" fontId="13" fillId="8" borderId="18" xfId="5" applyFont="1" applyFill="1" applyBorder="1" applyAlignment="1">
      <alignment vertical="center" shrinkToFit="1"/>
    </xf>
    <xf numFmtId="0" fontId="1" fillId="0" borderId="0" xfId="5" applyAlignment="1">
      <alignment vertical="center" shrinkToFit="1"/>
    </xf>
    <xf numFmtId="1" fontId="13" fillId="2" borderId="12" xfId="5" applyNumberFormat="1" applyFont="1" applyFill="1" applyBorder="1" applyAlignment="1">
      <alignment vertical="center" shrinkToFit="1"/>
    </xf>
    <xf numFmtId="179" fontId="13" fillId="8" borderId="12" xfId="5" applyNumberFormat="1" applyFont="1" applyFill="1" applyBorder="1" applyAlignment="1">
      <alignment vertical="center" shrinkToFit="1"/>
    </xf>
    <xf numFmtId="2" fontId="13" fillId="8" borderId="47" xfId="5" applyNumberFormat="1" applyFont="1" applyFill="1" applyBorder="1" applyAlignment="1">
      <alignment vertical="center" shrinkToFit="1"/>
    </xf>
    <xf numFmtId="1" fontId="13" fillId="2" borderId="15" xfId="5" applyNumberFormat="1" applyFont="1" applyFill="1" applyBorder="1" applyAlignment="1">
      <alignment vertical="center" shrinkToFit="1"/>
    </xf>
    <xf numFmtId="2" fontId="13" fillId="8" borderId="12" xfId="5" applyNumberFormat="1" applyFont="1" applyFill="1" applyBorder="1" applyAlignment="1">
      <alignment vertical="center" shrinkToFit="1"/>
    </xf>
    <xf numFmtId="1" fontId="13" fillId="8" borderId="18" xfId="5" applyNumberFormat="1" applyFont="1" applyFill="1" applyBorder="1" applyAlignment="1">
      <alignment vertical="center" shrinkToFit="1"/>
    </xf>
    <xf numFmtId="0" fontId="13" fillId="0" borderId="12" xfId="5" applyFont="1" applyBorder="1" applyAlignment="1">
      <alignment vertical="center" shrinkToFit="1"/>
    </xf>
    <xf numFmtId="57" fontId="13" fillId="0" borderId="12" xfId="5" applyNumberFormat="1" applyFont="1" applyBorder="1" applyAlignment="1">
      <alignment vertical="center" shrinkToFit="1"/>
    </xf>
    <xf numFmtId="1" fontId="13" fillId="0" borderId="12" xfId="5" applyNumberFormat="1" applyFont="1" applyBorder="1" applyAlignment="1">
      <alignment vertical="center" shrinkToFit="1"/>
    </xf>
    <xf numFmtId="57" fontId="13" fillId="0" borderId="15" xfId="5" applyNumberFormat="1" applyFont="1" applyBorder="1" applyAlignment="1">
      <alignment vertical="center" shrinkToFit="1"/>
    </xf>
    <xf numFmtId="1" fontId="13" fillId="2" borderId="47" xfId="5" applyNumberFormat="1" applyFont="1" applyFill="1" applyBorder="1" applyAlignment="1">
      <alignment vertical="center" shrinkToFit="1"/>
    </xf>
    <xf numFmtId="0" fontId="13" fillId="0" borderId="45" xfId="5" applyFont="1" applyBorder="1" applyAlignment="1">
      <alignment vertical="center" shrinkToFit="1"/>
    </xf>
    <xf numFmtId="0" fontId="13" fillId="0" borderId="18" xfId="5" applyFont="1" applyBorder="1" applyAlignment="1">
      <alignment vertical="center" shrinkToFit="1"/>
    </xf>
    <xf numFmtId="180" fontId="13" fillId="2" borderId="12" xfId="5" applyNumberFormat="1" applyFont="1" applyFill="1" applyBorder="1" applyAlignment="1">
      <alignment vertical="center" shrinkToFit="1"/>
    </xf>
    <xf numFmtId="0" fontId="1" fillId="3" borderId="12" xfId="5" applyFill="1" applyBorder="1" applyAlignment="1">
      <alignment vertical="center" shrinkToFit="1"/>
    </xf>
    <xf numFmtId="2" fontId="1" fillId="2" borderId="12" xfId="5" applyNumberFormat="1" applyFill="1" applyBorder="1" applyAlignment="1">
      <alignment vertical="center" shrinkToFit="1"/>
    </xf>
    <xf numFmtId="2" fontId="1" fillId="2" borderId="47" xfId="5" applyNumberFormat="1" applyFill="1" applyBorder="1" applyAlignment="1">
      <alignment vertical="center" shrinkToFit="1"/>
    </xf>
    <xf numFmtId="0" fontId="1" fillId="3" borderId="15" xfId="5" applyFill="1" applyBorder="1" applyAlignment="1">
      <alignment vertical="center" shrinkToFit="1"/>
    </xf>
    <xf numFmtId="181" fontId="13" fillId="2" borderId="12" xfId="5" applyNumberFormat="1" applyFont="1" applyFill="1" applyBorder="1" applyAlignment="1">
      <alignment horizontal="center" vertical="center" shrinkToFit="1"/>
    </xf>
    <xf numFmtId="179" fontId="13" fillId="2" borderId="12" xfId="5" applyNumberFormat="1" applyFont="1" applyFill="1" applyBorder="1" applyAlignment="1">
      <alignment vertical="center" shrinkToFit="1"/>
    </xf>
    <xf numFmtId="0" fontId="13" fillId="0" borderId="15" xfId="5" applyFont="1" applyBorder="1" applyAlignment="1">
      <alignment vertical="center" shrinkToFit="1"/>
    </xf>
    <xf numFmtId="0" fontId="13" fillId="2" borderId="15" xfId="5" applyFont="1" applyFill="1" applyBorder="1" applyAlignment="1">
      <alignment vertical="center" shrinkToFit="1"/>
    </xf>
    <xf numFmtId="0" fontId="13" fillId="2" borderId="12" xfId="5" applyFont="1" applyFill="1" applyBorder="1" applyAlignment="1">
      <alignment vertical="center" shrinkToFit="1"/>
    </xf>
    <xf numFmtId="180" fontId="13" fillId="2" borderId="15" xfId="5" applyNumberFormat="1" applyFont="1" applyFill="1" applyBorder="1" applyAlignment="1">
      <alignment vertical="center" shrinkToFit="1"/>
    </xf>
    <xf numFmtId="179" fontId="13" fillId="2" borderId="15" xfId="5" applyNumberFormat="1" applyFont="1" applyFill="1" applyBorder="1" applyAlignment="1">
      <alignment vertical="center" shrinkToFit="1"/>
    </xf>
    <xf numFmtId="57" fontId="16" fillId="0" borderId="12" xfId="5" applyNumberFormat="1" applyFont="1" applyBorder="1" applyAlignment="1">
      <alignment vertical="center" shrinkToFit="1"/>
    </xf>
    <xf numFmtId="1" fontId="16" fillId="0" borderId="12" xfId="5" applyNumberFormat="1" applyFont="1" applyBorder="1" applyAlignment="1">
      <alignment vertical="center" shrinkToFit="1"/>
    </xf>
    <xf numFmtId="0" fontId="16" fillId="0" borderId="12" xfId="5" applyFont="1" applyBorder="1" applyAlignment="1">
      <alignment vertical="center" shrinkToFit="1"/>
    </xf>
    <xf numFmtId="57" fontId="35" fillId="0" borderId="12" xfId="5" applyNumberFormat="1" applyFont="1" applyBorder="1" applyAlignment="1">
      <alignment vertical="center" shrinkToFit="1"/>
    </xf>
    <xf numFmtId="1" fontId="35" fillId="0" borderId="12" xfId="5" applyNumberFormat="1" applyFont="1" applyBorder="1" applyAlignment="1">
      <alignment vertical="center" shrinkToFit="1"/>
    </xf>
    <xf numFmtId="0" fontId="13" fillId="13" borderId="12" xfId="5" applyFont="1" applyFill="1" applyBorder="1" applyAlignment="1">
      <alignment vertical="center" shrinkToFit="1"/>
    </xf>
    <xf numFmtId="57" fontId="35" fillId="13" borderId="12" xfId="5" applyNumberFormat="1" applyFont="1" applyFill="1" applyBorder="1" applyAlignment="1">
      <alignment vertical="center" shrinkToFit="1"/>
    </xf>
    <xf numFmtId="1" fontId="35" fillId="13" borderId="12" xfId="5" applyNumberFormat="1" applyFont="1" applyFill="1" applyBorder="1" applyAlignment="1">
      <alignment vertical="center" shrinkToFit="1"/>
    </xf>
    <xf numFmtId="0" fontId="13" fillId="0" borderId="12" xfId="5" applyFont="1" applyFill="1" applyBorder="1" applyAlignment="1">
      <alignment vertical="center" shrinkToFit="1"/>
    </xf>
    <xf numFmtId="57" fontId="35" fillId="0" borderId="12" xfId="5" applyNumberFormat="1" applyFont="1" applyFill="1" applyBorder="1" applyAlignment="1">
      <alignment vertical="center" shrinkToFit="1"/>
    </xf>
    <xf numFmtId="57" fontId="35" fillId="0" borderId="15" xfId="5" applyNumberFormat="1" applyFont="1" applyFill="1" applyBorder="1" applyAlignment="1">
      <alignment vertical="center" shrinkToFit="1"/>
    </xf>
    <xf numFmtId="0" fontId="13" fillId="0" borderId="47" xfId="5" applyFont="1" applyFill="1" applyBorder="1" applyAlignment="1">
      <alignment vertical="center" shrinkToFit="1"/>
    </xf>
    <xf numFmtId="180" fontId="16" fillId="0" borderId="15" xfId="5" applyNumberFormat="1" applyFont="1" applyFill="1" applyBorder="1" applyAlignment="1">
      <alignment vertical="center" shrinkToFit="1"/>
    </xf>
    <xf numFmtId="180" fontId="13" fillId="0" borderId="12" xfId="5" applyNumberFormat="1" applyFont="1" applyFill="1" applyBorder="1" applyAlignment="1">
      <alignment vertical="center" shrinkToFit="1"/>
    </xf>
    <xf numFmtId="180" fontId="13" fillId="0" borderId="18" xfId="5" applyNumberFormat="1" applyFont="1" applyFill="1" applyBorder="1" applyAlignment="1">
      <alignment vertical="center" shrinkToFit="1"/>
    </xf>
    <xf numFmtId="179" fontId="13" fillId="0" borderId="12" xfId="5" applyNumberFormat="1" applyFont="1" applyFill="1" applyBorder="1" applyAlignment="1">
      <alignment vertical="center" shrinkToFit="1"/>
    </xf>
    <xf numFmtId="179" fontId="13" fillId="0" borderId="15" xfId="5" applyNumberFormat="1" applyFont="1" applyFill="1" applyBorder="1" applyAlignment="1">
      <alignment vertical="center" shrinkToFit="1"/>
    </xf>
    <xf numFmtId="1" fontId="13" fillId="0" borderId="12" xfId="5" applyNumberFormat="1" applyFont="1" applyFill="1" applyBorder="1" applyAlignment="1">
      <alignment vertical="center" shrinkToFit="1"/>
    </xf>
    <xf numFmtId="0" fontId="13" fillId="0" borderId="44" xfId="5" applyFont="1" applyFill="1" applyBorder="1" applyAlignment="1">
      <alignment vertical="center"/>
    </xf>
    <xf numFmtId="0" fontId="36" fillId="0" borderId="0" xfId="5" applyFont="1" applyBorder="1" applyAlignment="1">
      <alignment vertical="center" wrapText="1"/>
    </xf>
    <xf numFmtId="0" fontId="16" fillId="0" borderId="0" xfId="5" applyFont="1" applyFill="1" applyBorder="1" applyAlignment="1">
      <alignment vertical="center"/>
    </xf>
    <xf numFmtId="57" fontId="16" fillId="0" borderId="0" xfId="5" applyNumberFormat="1" applyFont="1" applyBorder="1" applyAlignment="1">
      <alignment vertical="center"/>
    </xf>
    <xf numFmtId="2" fontId="15" fillId="12" borderId="12" xfId="5" applyNumberFormat="1" applyFont="1" applyFill="1" applyBorder="1" applyAlignment="1">
      <alignment vertical="center" shrinkToFit="1"/>
    </xf>
    <xf numFmtId="0" fontId="1" fillId="12" borderId="12" xfId="5" applyFill="1" applyBorder="1" applyAlignment="1">
      <alignment vertical="center" shrinkToFit="1"/>
    </xf>
    <xf numFmtId="0" fontId="13" fillId="12" borderId="12" xfId="5" applyFont="1" applyFill="1" applyBorder="1" applyAlignment="1">
      <alignment horizontal="center" vertical="center" shrinkToFit="1"/>
    </xf>
    <xf numFmtId="0" fontId="1" fillId="12" borderId="12" xfId="5" applyFill="1" applyBorder="1">
      <alignment vertical="center"/>
    </xf>
    <xf numFmtId="0" fontId="37" fillId="0" borderId="0" xfId="5" applyFont="1" applyBorder="1" applyAlignment="1">
      <alignment vertical="center"/>
    </xf>
    <xf numFmtId="57" fontId="3" fillId="0" borderId="48" xfId="0" applyNumberFormat="1" applyFont="1" applyFill="1" applyBorder="1" applyAlignment="1">
      <alignment horizontal="center" vertical="center" shrinkToFit="1"/>
    </xf>
    <xf numFmtId="0" fontId="3" fillId="0" borderId="48" xfId="0" quotePrefix="1" applyFont="1" applyBorder="1" applyAlignment="1">
      <alignment horizontal="center" vertical="top" wrapText="1"/>
    </xf>
    <xf numFmtId="0" fontId="3" fillId="0" borderId="48" xfId="0" quotePrefix="1" applyFont="1" applyBorder="1" applyAlignment="1">
      <alignment horizontal="left" vertical="top" wrapText="1"/>
    </xf>
    <xf numFmtId="0" fontId="3" fillId="6" borderId="48" xfId="0" quotePrefix="1" applyFont="1" applyFill="1" applyBorder="1" applyAlignment="1">
      <alignment horizontal="left" vertical="top" wrapText="1"/>
    </xf>
    <xf numFmtId="0" fontId="3" fillId="7" borderId="48" xfId="0" quotePrefix="1" applyFont="1" applyFill="1" applyBorder="1" applyAlignment="1">
      <alignment horizontal="left" vertical="top" wrapText="1"/>
    </xf>
    <xf numFmtId="0" fontId="7" fillId="7" borderId="48" xfId="0" quotePrefix="1" applyFont="1" applyFill="1" applyBorder="1" applyAlignment="1">
      <alignment horizontal="left" vertical="top" wrapText="1"/>
    </xf>
    <xf numFmtId="0" fontId="3" fillId="0" borderId="48" xfId="0" quotePrefix="1" applyFont="1" applyBorder="1" applyAlignment="1">
      <alignment horizontal="left" vertical="top"/>
    </xf>
    <xf numFmtId="0" fontId="3" fillId="0" borderId="48" xfId="0" applyFont="1" applyBorder="1" applyAlignment="1">
      <alignment vertical="top"/>
    </xf>
    <xf numFmtId="0" fontId="7" fillId="0" borderId="48" xfId="0" quotePrefix="1" applyFont="1" applyBorder="1" applyAlignment="1">
      <alignment horizontal="left" vertical="top" wrapText="1"/>
    </xf>
    <xf numFmtId="0" fontId="26" fillId="0" borderId="48" xfId="0" quotePrefix="1" applyFont="1" applyBorder="1" applyAlignment="1">
      <alignment horizontal="left" vertical="top" wrapText="1"/>
    </xf>
    <xf numFmtId="0" fontId="10" fillId="6" borderId="48" xfId="0" quotePrefix="1" applyFont="1" applyFill="1" applyBorder="1" applyAlignment="1">
      <alignment horizontal="left" vertical="top" wrapText="1"/>
    </xf>
    <xf numFmtId="0" fontId="10" fillId="7" borderId="48" xfId="0" quotePrefix="1" applyFont="1" applyFill="1" applyBorder="1" applyAlignment="1">
      <alignment horizontal="left" vertical="top" wrapText="1"/>
    </xf>
    <xf numFmtId="0" fontId="26" fillId="7" borderId="48" xfId="0" quotePrefix="1" applyFont="1" applyFill="1" applyBorder="1" applyAlignment="1">
      <alignment horizontal="left" vertical="top" wrapText="1"/>
    </xf>
    <xf numFmtId="0" fontId="10" fillId="0" borderId="48" xfId="0" quotePrefix="1" applyFont="1" applyBorder="1" applyAlignment="1">
      <alignment horizontal="left" vertical="top" wrapText="1"/>
    </xf>
    <xf numFmtId="0" fontId="3" fillId="14" borderId="48" xfId="0" applyFont="1" applyFill="1" applyBorder="1" applyAlignment="1">
      <alignment vertical="top" wrapText="1"/>
    </xf>
    <xf numFmtId="0" fontId="3" fillId="0" borderId="48" xfId="0" applyFont="1" applyBorder="1" applyAlignment="1">
      <alignment vertical="center"/>
    </xf>
    <xf numFmtId="0" fontId="3" fillId="0" borderId="48" xfId="0" applyFont="1" applyBorder="1" applyAlignment="1"/>
    <xf numFmtId="0" fontId="0" fillId="0" borderId="48" xfId="0" applyBorder="1">
      <alignment vertical="center"/>
    </xf>
    <xf numFmtId="0" fontId="0" fillId="2" borderId="45" xfId="0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vertical="center" shrinkToFit="1"/>
    </xf>
    <xf numFmtId="0" fontId="3" fillId="5" borderId="49" xfId="0" applyFont="1" applyFill="1" applyBorder="1" applyAlignment="1">
      <alignment horizontal="left" vertical="center" indent="1"/>
    </xf>
    <xf numFmtId="0" fontId="3" fillId="0" borderId="47" xfId="0" applyFont="1" applyFill="1" applyBorder="1" applyAlignment="1">
      <alignment vertical="center"/>
    </xf>
    <xf numFmtId="0" fontId="3" fillId="2" borderId="47" xfId="0" applyFont="1" applyFill="1" applyBorder="1" applyAlignment="1">
      <alignment vertical="center"/>
    </xf>
    <xf numFmtId="0" fontId="0" fillId="2" borderId="52" xfId="0" applyFill="1" applyBorder="1" applyAlignment="1">
      <alignment horizontal="center" vertical="center" wrapText="1"/>
    </xf>
    <xf numFmtId="180" fontId="4" fillId="2" borderId="47" xfId="0" applyNumberFormat="1" applyFont="1" applyFill="1" applyBorder="1" applyAlignment="1">
      <alignment vertical="center" shrinkToFit="1"/>
    </xf>
    <xf numFmtId="1" fontId="3" fillId="2" borderId="52" xfId="0" applyNumberFormat="1" applyFont="1" applyFill="1" applyBorder="1" applyAlignment="1">
      <alignment horizontal="center" vertical="center" shrinkToFit="1"/>
    </xf>
    <xf numFmtId="0" fontId="3" fillId="0" borderId="53" xfId="0" applyFont="1" applyFill="1" applyBorder="1" applyAlignment="1">
      <alignment vertical="center"/>
    </xf>
    <xf numFmtId="0" fontId="7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0" fillId="0" borderId="30" xfId="0" applyBorder="1" applyAlignment="1">
      <alignment horizontal="center" vertical="center" textRotation="90" wrapText="1"/>
    </xf>
    <xf numFmtId="0" fontId="10" fillId="2" borderId="12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6" fillId="0" borderId="16" xfId="0" applyFont="1" applyFill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7" fillId="0" borderId="18" xfId="0" applyFont="1" applyBorder="1" applyAlignment="1">
      <alignment vertical="top" wrapText="1"/>
    </xf>
    <xf numFmtId="2" fontId="18" fillId="0" borderId="26" xfId="0" applyNumberFormat="1" applyFont="1" applyFill="1" applyBorder="1" applyAlignment="1">
      <alignment horizontal="center" vertical="center" shrinkToFit="1"/>
    </xf>
    <xf numFmtId="2" fontId="0" fillId="0" borderId="27" xfId="0" applyNumberFormat="1" applyFont="1" applyBorder="1" applyAlignment="1">
      <alignment horizontal="center" vertical="center" shrinkToFit="1"/>
    </xf>
    <xf numFmtId="2" fontId="0" fillId="0" borderId="28" xfId="0" applyNumberFormat="1" applyFont="1" applyBorder="1" applyAlignment="1">
      <alignment horizontal="center" vertical="center" shrinkToFit="1"/>
    </xf>
    <xf numFmtId="2" fontId="0" fillId="0" borderId="29" xfId="0" applyNumberFormat="1" applyFont="1" applyBorder="1" applyAlignment="1">
      <alignment horizontal="center" vertical="center" shrinkToFit="1"/>
    </xf>
    <xf numFmtId="57" fontId="19" fillId="0" borderId="0" xfId="0" applyNumberFormat="1" applyFont="1" applyFill="1" applyBorder="1" applyAlignment="1">
      <alignment textRotation="90" wrapText="1"/>
    </xf>
    <xf numFmtId="0" fontId="39" fillId="0" borderId="0" xfId="0" applyFont="1" applyAlignment="1">
      <alignment wrapText="1"/>
    </xf>
    <xf numFmtId="0" fontId="39" fillId="0" borderId="0" xfId="0" applyFont="1" applyAlignment="1">
      <alignment textRotation="90" wrapText="1"/>
    </xf>
    <xf numFmtId="0" fontId="39" fillId="0" borderId="30" xfId="0" applyFont="1" applyBorder="1" applyAlignment="1">
      <alignment textRotation="90" wrapText="1"/>
    </xf>
    <xf numFmtId="0" fontId="39" fillId="0" borderId="30" xfId="0" applyFont="1" applyBorder="1" applyAlignment="1">
      <alignment wrapText="1"/>
    </xf>
    <xf numFmtId="57" fontId="3" fillId="0" borderId="0" xfId="0" applyNumberFormat="1" applyFont="1" applyFill="1" applyBorder="1" applyAlignment="1">
      <alignment textRotation="90" wrapText="1"/>
    </xf>
    <xf numFmtId="0" fontId="0" fillId="0" borderId="0" xfId="0" applyAlignment="1">
      <alignment wrapText="1"/>
    </xf>
    <xf numFmtId="0" fontId="0" fillId="0" borderId="0" xfId="0" applyAlignment="1">
      <alignment textRotation="90" wrapText="1"/>
    </xf>
    <xf numFmtId="0" fontId="0" fillId="0" borderId="30" xfId="0" applyBorder="1" applyAlignment="1">
      <alignment textRotation="90" wrapText="1"/>
    </xf>
    <xf numFmtId="0" fontId="0" fillId="0" borderId="30" xfId="0" applyBorder="1" applyAlignment="1">
      <alignment wrapText="1"/>
    </xf>
    <xf numFmtId="0" fontId="15" fillId="0" borderId="16" xfId="5" applyFont="1" applyFill="1" applyBorder="1" applyAlignment="1">
      <alignment horizontal="center" vertical="top" textRotation="180" wrapText="1"/>
    </xf>
    <xf numFmtId="0" fontId="15" fillId="0" borderId="17" xfId="5" applyFont="1" applyFill="1" applyBorder="1" applyAlignment="1">
      <alignment horizontal="center" vertical="top" textRotation="180" wrapText="1"/>
    </xf>
    <xf numFmtId="0" fontId="33" fillId="0" borderId="16" xfId="5" applyFont="1" applyBorder="1" applyAlignment="1">
      <alignment horizontal="center" vertical="center" textRotation="180" wrapText="1"/>
    </xf>
    <xf numFmtId="0" fontId="33" fillId="0" borderId="17" xfId="5" applyFont="1" applyBorder="1" applyAlignment="1">
      <alignment horizontal="center" vertical="center" textRotation="180" wrapText="1"/>
    </xf>
    <xf numFmtId="0" fontId="33" fillId="0" borderId="38" xfId="5" applyFont="1" applyBorder="1" applyAlignment="1">
      <alignment horizontal="center" vertical="center" textRotation="180" wrapText="1"/>
    </xf>
    <xf numFmtId="0" fontId="1" fillId="0" borderId="42" xfId="5" applyBorder="1" applyAlignment="1">
      <alignment horizontal="center" vertical="center" textRotation="180" wrapText="1"/>
    </xf>
    <xf numFmtId="0" fontId="1" fillId="0" borderId="46" xfId="5" applyBorder="1" applyAlignment="1">
      <alignment horizontal="center" vertical="center" textRotation="180" wrapText="1"/>
    </xf>
    <xf numFmtId="0" fontId="15" fillId="0" borderId="41" xfId="5" applyFont="1" applyFill="1" applyBorder="1" applyAlignment="1">
      <alignment horizontal="center" vertical="top" textRotation="180" wrapText="1"/>
    </xf>
    <xf numFmtId="0" fontId="15" fillId="0" borderId="0" xfId="5" applyFont="1" applyFill="1" applyBorder="1" applyAlignment="1">
      <alignment horizontal="center" vertical="top" textRotation="180" wrapText="1"/>
    </xf>
    <xf numFmtId="0" fontId="1" fillId="0" borderId="17" xfId="5" applyBorder="1" applyAlignment="1">
      <alignment horizontal="center" vertical="center" textRotation="180" wrapText="1"/>
    </xf>
    <xf numFmtId="0" fontId="1" fillId="0" borderId="18" xfId="5" applyBorder="1" applyAlignment="1">
      <alignment horizontal="center" vertical="center" textRotation="180" wrapText="1"/>
    </xf>
    <xf numFmtId="0" fontId="15" fillId="0" borderId="40" xfId="5" applyFont="1" applyFill="1" applyBorder="1" applyAlignment="1">
      <alignment horizontal="center" vertical="top" textRotation="180" wrapText="1"/>
    </xf>
    <xf numFmtId="0" fontId="15" fillId="0" borderId="44" xfId="5" applyFont="1" applyFill="1" applyBorder="1" applyAlignment="1">
      <alignment horizontal="center" vertical="top" textRotation="180" wrapText="1"/>
    </xf>
    <xf numFmtId="0" fontId="23" fillId="0" borderId="16" xfId="5" applyFont="1" applyFill="1" applyBorder="1" applyAlignment="1">
      <alignment horizontal="center" vertical="center" wrapText="1"/>
    </xf>
    <xf numFmtId="0" fontId="23" fillId="0" borderId="17" xfId="5" applyFont="1" applyFill="1" applyBorder="1" applyAlignment="1">
      <alignment horizontal="center" vertical="center" wrapText="1"/>
    </xf>
    <xf numFmtId="0" fontId="23" fillId="0" borderId="18" xfId="5" applyFont="1" applyFill="1" applyBorder="1" applyAlignment="1">
      <alignment horizontal="center" vertical="center" wrapText="1"/>
    </xf>
    <xf numFmtId="0" fontId="15" fillId="0" borderId="38" xfId="5" applyFont="1" applyFill="1" applyBorder="1" applyAlignment="1">
      <alignment horizontal="center" vertical="center" wrapText="1"/>
    </xf>
    <xf numFmtId="0" fontId="1" fillId="0" borderId="42" xfId="5" applyFill="1" applyBorder="1" applyAlignment="1">
      <alignment horizontal="center" vertical="center" wrapText="1"/>
    </xf>
    <xf numFmtId="0" fontId="1" fillId="0" borderId="46" xfId="5" applyFill="1" applyBorder="1" applyAlignment="1">
      <alignment horizontal="center" vertical="center" wrapText="1"/>
    </xf>
    <xf numFmtId="0" fontId="23" fillId="0" borderId="39" xfId="5" applyFont="1" applyFill="1" applyBorder="1" applyAlignment="1">
      <alignment horizontal="center" vertical="center" wrapText="1"/>
    </xf>
    <xf numFmtId="0" fontId="23" fillId="0" borderId="43" xfId="5" applyFont="1" applyFill="1" applyBorder="1" applyAlignment="1">
      <alignment horizontal="center" vertical="center" wrapText="1"/>
    </xf>
    <xf numFmtId="0" fontId="23" fillId="0" borderId="45" xfId="5" applyFont="1" applyFill="1" applyBorder="1" applyAlignment="1">
      <alignment horizontal="center" vertical="center" wrapText="1"/>
    </xf>
    <xf numFmtId="0" fontId="29" fillId="0" borderId="16" xfId="5" applyFont="1" applyFill="1" applyBorder="1" applyAlignment="1">
      <alignment horizontal="center" vertical="center" wrapText="1"/>
    </xf>
    <xf numFmtId="0" fontId="29" fillId="0" borderId="17" xfId="5" applyFont="1" applyFill="1" applyBorder="1" applyAlignment="1">
      <alignment horizontal="center" vertical="center" wrapText="1"/>
    </xf>
    <xf numFmtId="0" fontId="29" fillId="0" borderId="18" xfId="5" applyFont="1" applyFill="1" applyBorder="1" applyAlignment="1">
      <alignment horizontal="center" vertical="center" wrapText="1"/>
    </xf>
    <xf numFmtId="0" fontId="29" fillId="0" borderId="16" xfId="5" applyFont="1" applyFill="1" applyBorder="1" applyAlignment="1">
      <alignment horizontal="center" vertical="top" textRotation="180" wrapText="1"/>
    </xf>
    <xf numFmtId="0" fontId="29" fillId="0" borderId="17" xfId="5" applyFont="1" applyFill="1" applyBorder="1" applyAlignment="1">
      <alignment horizontal="center" vertical="top" textRotation="180" wrapText="1"/>
    </xf>
    <xf numFmtId="0" fontId="29" fillId="0" borderId="40" xfId="5" applyFont="1" applyFill="1" applyBorder="1" applyAlignment="1">
      <alignment horizontal="center" vertical="top" textRotation="180" wrapText="1"/>
    </xf>
    <xf numFmtId="0" fontId="29" fillId="0" borderId="44" xfId="5" applyFont="1" applyFill="1" applyBorder="1" applyAlignment="1">
      <alignment horizontal="center" vertical="top" textRotation="180" wrapText="1"/>
    </xf>
    <xf numFmtId="0" fontId="23" fillId="0" borderId="38" xfId="5" applyFont="1" applyFill="1" applyBorder="1" applyAlignment="1">
      <alignment horizontal="center" vertical="top" textRotation="180" wrapText="1"/>
    </xf>
    <xf numFmtId="0" fontId="23" fillId="0" borderId="42" xfId="5" applyFont="1" applyFill="1" applyBorder="1" applyAlignment="1">
      <alignment horizontal="center" vertical="top" textRotation="180" wrapText="1"/>
    </xf>
    <xf numFmtId="0" fontId="29" fillId="0" borderId="39" xfId="5" applyFont="1" applyFill="1" applyBorder="1" applyAlignment="1">
      <alignment horizontal="center" vertical="top" textRotation="180" wrapText="1"/>
    </xf>
    <xf numFmtId="0" fontId="29" fillId="0" borderId="43" xfId="5" applyFont="1" applyFill="1" applyBorder="1" applyAlignment="1">
      <alignment horizontal="center" vertical="top" textRotation="180" wrapText="1"/>
    </xf>
    <xf numFmtId="0" fontId="23" fillId="0" borderId="16" xfId="5" applyFont="1" applyFill="1" applyBorder="1" applyAlignment="1">
      <alignment horizontal="center" vertical="top" textRotation="180" wrapText="1"/>
    </xf>
    <xf numFmtId="0" fontId="23" fillId="0" borderId="17" xfId="5" applyFont="1" applyFill="1" applyBorder="1" applyAlignment="1">
      <alignment horizontal="center" vertical="top" textRotation="180" wrapText="1"/>
    </xf>
  </cellXfs>
  <cellStyles count="6">
    <cellStyle name="ハイパーリンク" xfId="4" builtinId="8"/>
    <cellStyle name="桁区切り" xfId="1" builtinId="6"/>
    <cellStyle name="標準" xfId="0" builtinId="0"/>
    <cellStyle name="標準 2" xfId="5"/>
    <cellStyle name="標準_0601県ごみ" xfId="2"/>
    <cellStyle name="標準_全項目データ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FFFF"/>
      <rgbColor rgb="0000000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3333FF"/>
      <color rgb="FFCCFFCC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7411874611904546E-2"/>
          <c:y val="0.12220388561698557"/>
          <c:w val="0.84518110196930718"/>
          <c:h val="0.81417887112758081"/>
        </c:manualLayout>
      </c:layout>
      <c:barChart>
        <c:barDir val="col"/>
        <c:grouping val="stacked"/>
        <c:varyColors val="0"/>
        <c:ser>
          <c:idx val="0"/>
          <c:order val="4"/>
          <c:tx>
            <c:strRef>
              <c:f>まとめ!$AD$29</c:f>
              <c:strCache>
                <c:ptCount val="1"/>
                <c:pt idx="0">
                  <c:v>主灰と飛灰中の月間Cs集積量(x0.1MBq)</c:v>
                </c:pt>
              </c:strCache>
            </c:strRef>
          </c:tx>
          <c:spPr>
            <a:pattFill prst="dkDnDiag">
              <a:fgClr>
                <a:srgbClr val="FFFFCC"/>
              </a:fgClr>
              <a:bgClr>
                <a:sysClr val="window" lastClr="FFFFFF"/>
              </a:bgClr>
            </a:pattFill>
            <a:ln w="0">
              <a:solidFill>
                <a:sysClr val="window" lastClr="FFFFFF">
                  <a:lumMod val="75000"/>
                </a:sysClr>
              </a:solidFill>
              <a:prstDash val="solid"/>
            </a:ln>
          </c:spPr>
          <c:invertIfNegative val="0"/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まとめ!$AD$32:$AD$119</c:f>
              <c:numCache>
                <c:formatCode>0</c:formatCode>
                <c:ptCount val="8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888.50350242766081</c:v>
                </c:pt>
                <c:pt idx="5">
                  <c:v>1428.2627369174531</c:v>
                </c:pt>
                <c:pt idx="6">
                  <c:v>1434.5322769760569</c:v>
                </c:pt>
                <c:pt idx="7">
                  <c:v>1379.5628082795415</c:v>
                </c:pt>
                <c:pt idx="8">
                  <c:v>1153.1368597256594</c:v>
                </c:pt>
                <c:pt idx="9">
                  <c:v>947.25017940585053</c:v>
                </c:pt>
                <c:pt idx="10">
                  <c:v>857.45550966800408</c:v>
                </c:pt>
                <c:pt idx="11">
                  <c:v>617.01055083726089</c:v>
                </c:pt>
                <c:pt idx="12">
                  <c:v>436.84676259863858</c:v>
                </c:pt>
                <c:pt idx="13">
                  <c:v>345.05906801684614</c:v>
                </c:pt>
                <c:pt idx="14">
                  <c:v>257.5163156851504</c:v>
                </c:pt>
                <c:pt idx="15">
                  <c:v>278.52502011962582</c:v>
                </c:pt>
                <c:pt idx="16">
                  <c:v>419.0790679554998</c:v>
                </c:pt>
                <c:pt idx="17">
                  <c:v>679.27918484285306</c:v>
                </c:pt>
                <c:pt idx="18">
                  <c:v>688.1653417513445</c:v>
                </c:pt>
                <c:pt idx="19">
                  <c:v>667.58079203812508</c:v>
                </c:pt>
                <c:pt idx="20">
                  <c:v>563.10508230792971</c:v>
                </c:pt>
                <c:pt idx="21">
                  <c:v>466.87796414334207</c:v>
                </c:pt>
                <c:pt idx="22">
                  <c:v>426.6077400195702</c:v>
                </c:pt>
                <c:pt idx="23">
                  <c:v>310.0215335903182</c:v>
                </c:pt>
                <c:pt idx="24">
                  <c:v>221.62721217914438</c:v>
                </c:pt>
                <c:pt idx="25">
                  <c:v>176.91339121177009</c:v>
                </c:pt>
                <c:pt idx="26">
                  <c:v>133.43350092528419</c:v>
                </c:pt>
                <c:pt idx="27">
                  <c:v>137.47227114152034</c:v>
                </c:pt>
                <c:pt idx="28">
                  <c:v>238.25666056158693</c:v>
                </c:pt>
                <c:pt idx="29">
                  <c:v>390.3164717624764</c:v>
                </c:pt>
                <c:pt idx="30">
                  <c:v>399.95531235432861</c:v>
                </c:pt>
                <c:pt idx="31">
                  <c:v>392.29847989420313</c:v>
                </c:pt>
                <c:pt idx="32">
                  <c:v>334.8451392363956</c:v>
                </c:pt>
                <c:pt idx="33">
                  <c:v>280.89640116997379</c:v>
                </c:pt>
                <c:pt idx="34">
                  <c:v>259.6402284740563</c:v>
                </c:pt>
                <c:pt idx="35">
                  <c:v>190.98020110908649</c:v>
                </c:pt>
                <c:pt idx="36">
                  <c:v>138.13690091177821</c:v>
                </c:pt>
                <c:pt idx="37">
                  <c:v>111.62527248150091</c:v>
                </c:pt>
                <c:pt idx="38">
                  <c:v>85.224340619851631</c:v>
                </c:pt>
                <c:pt idx="39">
                  <c:v>88.772935296581124</c:v>
                </c:pt>
                <c:pt idx="40">
                  <c:v>161.50733532811216</c:v>
                </c:pt>
                <c:pt idx="41">
                  <c:v>267.75524592169268</c:v>
                </c:pt>
                <c:pt idx="42">
                  <c:v>277.73141058983475</c:v>
                </c:pt>
                <c:pt idx="43">
                  <c:v>275.60627881918066</c:v>
                </c:pt>
                <c:pt idx="44">
                  <c:v>238.10658817596791</c:v>
                </c:pt>
                <c:pt idx="45">
                  <c:v>202.15940113507196</c:v>
                </c:pt>
                <c:pt idx="46">
                  <c:v>188.9915048824848</c:v>
                </c:pt>
                <c:pt idx="47">
                  <c:v>140.6340015040999</c:v>
                </c:pt>
                <c:pt idx="48">
                  <c:v>102.87308374385202</c:v>
                </c:pt>
                <c:pt idx="49">
                  <c:v>84.067128653332929</c:v>
                </c:pt>
                <c:pt idx="50">
                  <c:v>64.889629120014973</c:v>
                </c:pt>
                <c:pt idx="51">
                  <c:v>68.248127374059607</c:v>
                </c:pt>
                <c:pt idx="52">
                  <c:v>126.33688774494729</c:v>
                </c:pt>
                <c:pt idx="53">
                  <c:v>211.58162248223633</c:v>
                </c:pt>
                <c:pt idx="54">
                  <c:v>221.70240724368469</c:v>
                </c:pt>
                <c:pt idx="55">
                  <c:v>222.1819602033116</c:v>
                </c:pt>
                <c:pt idx="56">
                  <c:v>193.81670886421722</c:v>
                </c:pt>
                <c:pt idx="57">
                  <c:v>166.15557131614864</c:v>
                </c:pt>
                <c:pt idx="58">
                  <c:v>156.71709714757512</c:v>
                </c:pt>
                <c:pt idx="59">
                  <c:v>117.67902930591819</c:v>
                </c:pt>
                <c:pt idx="60">
                  <c:v>86.790043011468441</c:v>
                </c:pt>
                <c:pt idx="61">
                  <c:v>71.521238879212135</c:v>
                </c:pt>
                <c:pt idx="62">
                  <c:v>55.664950229466832</c:v>
                </c:pt>
                <c:pt idx="63">
                  <c:v>58.979804551347463</c:v>
                </c:pt>
                <c:pt idx="64">
                  <c:v>108.03822634839712</c:v>
                </c:pt>
                <c:pt idx="65">
                  <c:v>182.21177094335985</c:v>
                </c:pt>
                <c:pt idx="66">
                  <c:v>192.3196261518832</c:v>
                </c:pt>
                <c:pt idx="67">
                  <c:v>193.96785419658079</c:v>
                </c:pt>
                <c:pt idx="68">
                  <c:v>170.28843746896825</c:v>
                </c:pt>
                <c:pt idx="69">
                  <c:v>146.84531065712065</c:v>
                </c:pt>
                <c:pt idx="70">
                  <c:v>139.31283021227514</c:v>
                </c:pt>
                <c:pt idx="71">
                  <c:v>105.19697041338924</c:v>
                </c:pt>
                <c:pt idx="72">
                  <c:v>78.281432621669964</c:v>
                </c:pt>
                <c:pt idx="73">
                  <c:v>71.725485177982534</c:v>
                </c:pt>
                <c:pt idx="74">
                  <c:v>56.144612867473001</c:v>
                </c:pt>
                <c:pt idx="75">
                  <c:v>59.741053369835591</c:v>
                </c:pt>
                <c:pt idx="76">
                  <c:v>109.65566180444074</c:v>
                </c:pt>
                <c:pt idx="77">
                  <c:v>185.72834506545786</c:v>
                </c:pt>
                <c:pt idx="78">
                  <c:v>196.75784167126156</c:v>
                </c:pt>
                <c:pt idx="79">
                  <c:v>199.22992987131801</c:v>
                </c:pt>
                <c:pt idx="80">
                  <c:v>175.54339470671027</c:v>
                </c:pt>
                <c:pt idx="81">
                  <c:v>151.92719780869413</c:v>
                </c:pt>
                <c:pt idx="82">
                  <c:v>144.59979086000533</c:v>
                </c:pt>
                <c:pt idx="83">
                  <c:v>109.55031589488743</c:v>
                </c:pt>
                <c:pt idx="84">
                  <c:v>81.403002153058921</c:v>
                </c:pt>
                <c:pt idx="85">
                  <c:v>67.601850922888218</c:v>
                </c:pt>
                <c:pt idx="86">
                  <c:v>53.009505014792595</c:v>
                </c:pt>
                <c:pt idx="87">
                  <c:v>56.541757106241441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92874880"/>
        <c:axId val="292873344"/>
      </c:barChart>
      <c:barChart>
        <c:barDir val="col"/>
        <c:grouping val="clustered"/>
        <c:varyColors val="0"/>
        <c:ser>
          <c:idx val="1"/>
          <c:order val="5"/>
          <c:tx>
            <c:strRef>
              <c:f>まとめ!$AP$29</c:f>
              <c:strCache>
                <c:ptCount val="1"/>
                <c:pt idx="0">
                  <c:v>最終処分場での両Cs現存量(x0.1MBq)</c:v>
                </c:pt>
              </c:strCache>
            </c:strRef>
          </c:tx>
          <c:spPr>
            <a:pattFill prst="pct25">
              <a:fgClr>
                <a:srgbClr val="F79646">
                  <a:lumMod val="60000"/>
                  <a:lumOff val="40000"/>
                </a:srgbClr>
              </a:fgClr>
              <a:bgClr>
                <a:sysClr val="window" lastClr="FFFFFF"/>
              </a:bgClr>
            </a:pattFill>
            <a:ln w="0">
              <a:solidFill>
                <a:srgbClr val="F79646">
                  <a:lumMod val="75000"/>
                </a:srgbClr>
              </a:solidFill>
              <a:prstDash val="solid"/>
            </a:ln>
          </c:spPr>
          <c:invertIfNegative val="0"/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まとめ!$AP$32:$AP$119</c:f>
              <c:numCache>
                <c:formatCode>0</c:formatCode>
                <c:ptCount val="8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463.35668030188151</c:v>
                </c:pt>
                <c:pt idx="5">
                  <c:v>754.20262263551058</c:v>
                </c:pt>
                <c:pt idx="6">
                  <c:v>767.22327284997857</c:v>
                </c:pt>
                <c:pt idx="7">
                  <c:v>746.85410052907537</c:v>
                </c:pt>
                <c:pt idx="8">
                  <c:v>632.06523596316845</c:v>
                </c:pt>
                <c:pt idx="9">
                  <c:v>525.60507113123492</c:v>
                </c:pt>
                <c:pt idx="10">
                  <c:v>481.37084194380355</c:v>
                </c:pt>
                <c:pt idx="11">
                  <c:v>350.53574646800195</c:v>
                </c:pt>
                <c:pt idx="12">
                  <c:v>251.01829886495344</c:v>
                </c:pt>
                <c:pt idx="13">
                  <c:v>200.5860997285881</c:v>
                </c:pt>
                <c:pt idx="14">
                  <c:v>151.41631486235946</c:v>
                </c:pt>
                <c:pt idx="15">
                  <c:v>165.44451986430087</c:v>
                </c:pt>
                <c:pt idx="16">
                  <c:v>251.71657612343299</c:v>
                </c:pt>
                <c:pt idx="17">
                  <c:v>412.3541857325697</c:v>
                </c:pt>
                <c:pt idx="18">
                  <c:v>422.28668444358237</c:v>
                </c:pt>
                <c:pt idx="19">
                  <c:v>413.89956711821367</c:v>
                </c:pt>
                <c:pt idx="20">
                  <c:v>352.80946987772796</c:v>
                </c:pt>
                <c:pt idx="21">
                  <c:v>295.56107251467523</c:v>
                </c:pt>
                <c:pt idx="22">
                  <c:v>272.74571919612191</c:v>
                </c:pt>
                <c:pt idx="23">
                  <c:v>200.20966844380092</c:v>
                </c:pt>
                <c:pt idx="24">
                  <c:v>144.50335967081182</c:v>
                </c:pt>
                <c:pt idx="25">
                  <c:v>116.48045469687732</c:v>
                </c:pt>
                <c:pt idx="26">
                  <c:v>88.701603404785246</c:v>
                </c:pt>
                <c:pt idx="27">
                  <c:v>92.171828498267061</c:v>
                </c:pt>
                <c:pt idx="28">
                  <c:v>161.24415224692206</c:v>
                </c:pt>
                <c:pt idx="29">
                  <c:v>266.51554854861735</c:v>
                </c:pt>
                <c:pt idx="30">
                  <c:v>275.58356219628769</c:v>
                </c:pt>
                <c:pt idx="31">
                  <c:v>272.65332533730441</c:v>
                </c:pt>
                <c:pt idx="32">
                  <c:v>234.77808523651103</c:v>
                </c:pt>
                <c:pt idx="33">
                  <c:v>198.66478224712057</c:v>
                </c:pt>
                <c:pt idx="34">
                  <c:v>185.15344301934351</c:v>
                </c:pt>
                <c:pt idx="35">
                  <c:v>137.33997192954178</c:v>
                </c:pt>
                <c:pt idx="36">
                  <c:v>100.13735719761875</c:v>
                </c:pt>
                <c:pt idx="37">
                  <c:v>81.580878315756408</c:v>
                </c:pt>
                <c:pt idx="38">
                  <c:v>62.787688191261353</c:v>
                </c:pt>
                <c:pt idx="39">
                  <c:v>65.87081388122796</c:v>
                </c:pt>
                <c:pt idx="40">
                  <c:v>120.77812003339025</c:v>
                </c:pt>
                <c:pt idx="41">
                  <c:v>201.72454650617567</c:v>
                </c:pt>
                <c:pt idx="42">
                  <c:v>210.82758463150114</c:v>
                </c:pt>
                <c:pt idx="43">
                  <c:v>210.72649915398057</c:v>
                </c:pt>
                <c:pt idx="44">
                  <c:v>183.39364246110159</c:v>
                </c:pt>
                <c:pt idx="45">
                  <c:v>156.83411976379014</c:v>
                </c:pt>
                <c:pt idx="46">
                  <c:v>147.6303186765972</c:v>
                </c:pt>
                <c:pt idx="47">
                  <c:v>110.6274916012127</c:v>
                </c:pt>
                <c:pt idx="48">
                  <c:v>81.465057522224242</c:v>
                </c:pt>
                <c:pt idx="49">
                  <c:v>67.026108309140696</c:v>
                </c:pt>
                <c:pt idx="50">
                  <c:v>52.083003516613338</c:v>
                </c:pt>
                <c:pt idx="51">
                  <c:v>55.1171617258384</c:v>
                </c:pt>
                <c:pt idx="52">
                  <c:v>102.69370783619559</c:v>
                </c:pt>
                <c:pt idx="53">
                  <c:v>173.05227843869929</c:v>
                </c:pt>
                <c:pt idx="54">
                  <c:v>182.47503296291953</c:v>
                </c:pt>
                <c:pt idx="55">
                  <c:v>183.97032618459357</c:v>
                </c:pt>
                <c:pt idx="56">
                  <c:v>161.46666453724615</c:v>
                </c:pt>
                <c:pt idx="57">
                  <c:v>139.25768878731682</c:v>
                </c:pt>
                <c:pt idx="58">
                  <c:v>132.10265300009584</c:v>
                </c:pt>
                <c:pt idx="59">
                  <c:v>99.776935320928217</c:v>
                </c:pt>
                <c:pt idx="60">
                  <c:v>73.997833937691766</c:v>
                </c:pt>
                <c:pt idx="61">
                  <c:v>61.32621297829332</c:v>
                </c:pt>
                <c:pt idx="62">
                  <c:v>47.997481431794334</c:v>
                </c:pt>
                <c:pt idx="63">
                  <c:v>51.109300112068183</c:v>
                </c:pt>
                <c:pt idx="64">
                  <c:v>94.130853253443732</c:v>
                </c:pt>
                <c:pt idx="65">
                  <c:v>159.58056680363222</c:v>
                </c:pt>
                <c:pt idx="66">
                  <c:v>169.32374977365637</c:v>
                </c:pt>
                <c:pt idx="67">
                  <c:v>171.63633744840925</c:v>
                </c:pt>
                <c:pt idx="68">
                  <c:v>151.45746181661735</c:v>
                </c:pt>
                <c:pt idx="69">
                  <c:v>131.26826468913922</c:v>
                </c:pt>
                <c:pt idx="70">
                  <c:v>125.13661104226644</c:v>
                </c:pt>
                <c:pt idx="71">
                  <c:v>94.957610056312561</c:v>
                </c:pt>
                <c:pt idx="72">
                  <c:v>70.99392489083283</c:v>
                </c:pt>
                <c:pt idx="73">
                  <c:v>65.359802585064855</c:v>
                </c:pt>
                <c:pt idx="74">
                  <c:v>51.403340895027718</c:v>
                </c:pt>
                <c:pt idx="75">
                  <c:v>54.926242974813739</c:v>
                </c:pt>
                <c:pt idx="76">
                  <c:v>101.28168967077227</c:v>
                </c:pt>
                <c:pt idx="77">
                  <c:v>172.2982439739877</c:v>
                </c:pt>
                <c:pt idx="78">
                  <c:v>183.34743256518453</c:v>
                </c:pt>
                <c:pt idx="79">
                  <c:v>186.44475890456235</c:v>
                </c:pt>
                <c:pt idx="80">
                  <c:v>164.99457359189859</c:v>
                </c:pt>
                <c:pt idx="81">
                  <c:v>143.41196795778026</c:v>
                </c:pt>
                <c:pt idx="82">
                  <c:v>137.05626936371476</c:v>
                </c:pt>
                <c:pt idx="83">
                  <c:v>104.27067808516406</c:v>
                </c:pt>
                <c:pt idx="84">
                  <c:v>77.790308740068284</c:v>
                </c:pt>
                <c:pt idx="85">
                  <c:v>64.865776728118874</c:v>
                </c:pt>
                <c:pt idx="86">
                  <c:v>51.069363775399758</c:v>
                </c:pt>
                <c:pt idx="87">
                  <c:v>54.668553598849336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92363264"/>
        <c:axId val="292361728"/>
      </c:barChart>
      <c:lineChart>
        <c:grouping val="standard"/>
        <c:varyColors val="0"/>
        <c:ser>
          <c:idx val="2"/>
          <c:order val="0"/>
          <c:tx>
            <c:strRef>
              <c:f>まとめ!$Y$29</c:f>
              <c:strCache>
                <c:ptCount val="1"/>
                <c:pt idx="0">
                  <c:v>ごみ焼却量 (t/月)</c:v>
                </c:pt>
              </c:strCache>
            </c:strRef>
          </c:tx>
          <c:spPr>
            <a:ln w="0">
              <a:solidFill>
                <a:srgbClr val="00B050"/>
              </a:solidFill>
            </a:ln>
          </c:spPr>
          <c:marker>
            <c:symbol val="circle"/>
            <c:size val="4"/>
            <c:spPr>
              <a:solidFill>
                <a:srgbClr val="33CC33"/>
              </a:solidFill>
              <a:ln w="0">
                <a:solidFill>
                  <a:srgbClr val="00B05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まとめ!$Y$32:$Y$119</c:f>
              <c:numCache>
                <c:formatCode>0</c:formatCode>
                <c:ptCount val="88"/>
                <c:pt idx="1">
                  <c:v>1816.0830018509855</c:v>
                </c:pt>
                <c:pt idx="2">
                  <c:v>1553.985074963409</c:v>
                </c:pt>
                <c:pt idx="3">
                  <c:v>1883.9474618011686</c:v>
                </c:pt>
                <c:pt idx="4">
                  <c:v>1977.8191440881137</c:v>
                </c:pt>
                <c:pt idx="5">
                  <c:v>2222.3335999737706</c:v>
                </c:pt>
                <c:pt idx="6">
                  <c:v>2180.8876838681103</c:v>
                </c:pt>
                <c:pt idx="7">
                  <c:v>2320.2879415857537</c:v>
                </c:pt>
                <c:pt idx="8">
                  <c:v>2352.8782372870364</c:v>
                </c:pt>
                <c:pt idx="9">
                  <c:v>2181.6939115915943</c:v>
                </c:pt>
                <c:pt idx="10">
                  <c:v>2244.8249259750014</c:v>
                </c:pt>
                <c:pt idx="11">
                  <c:v>2030.5753424780087</c:v>
                </c:pt>
                <c:pt idx="12">
                  <c:v>2037.9859054090844</c:v>
                </c:pt>
                <c:pt idx="13">
                  <c:v>1867.3077760062874</c:v>
                </c:pt>
                <c:pt idx="14">
                  <c:v>1597.8170663561914</c:v>
                </c:pt>
                <c:pt idx="15">
                  <c:v>1937.0864335072304</c:v>
                </c:pt>
                <c:pt idx="16">
                  <c:v>1781.0208246655336</c:v>
                </c:pt>
                <c:pt idx="17">
                  <c:v>2001.2054351572581</c:v>
                </c:pt>
                <c:pt idx="18">
                  <c:v>1963.8834990731805</c:v>
                </c:pt>
                <c:pt idx="19">
                  <c:v>2089.4130565663322</c:v>
                </c:pt>
                <c:pt idx="20">
                  <c:v>2118.7605302721518</c:v>
                </c:pt>
                <c:pt idx="21">
                  <c:v>1964.609504971768</c:v>
                </c:pt>
                <c:pt idx="22">
                  <c:v>2021.4588137850606</c:v>
                </c:pt>
                <c:pt idx="23">
                  <c:v>1828.5276395547739</c:v>
                </c:pt>
                <c:pt idx="24">
                  <c:v>1835.2008315613289</c:v>
                </c:pt>
                <c:pt idx="25">
                  <c:v>1681.5056346622753</c:v>
                </c:pt>
                <c:pt idx="26">
                  <c:v>1438.8299747692133</c:v>
                </c:pt>
                <c:pt idx="27">
                  <c:v>1744.3411282400675</c:v>
                </c:pt>
                <c:pt idx="28">
                  <c:v>1723.1949581362869</c:v>
                </c:pt>
                <c:pt idx="29">
                  <c:v>1936.2306539596614</c:v>
                </c:pt>
                <c:pt idx="30">
                  <c:v>1900.1204798408128</c:v>
                </c:pt>
                <c:pt idx="31">
                  <c:v>2021.5743660467199</c:v>
                </c:pt>
                <c:pt idx="32">
                  <c:v>2049.9689912097369</c:v>
                </c:pt>
                <c:pt idx="33">
                  <c:v>1900.8229139093526</c:v>
                </c:pt>
                <c:pt idx="34">
                  <c:v>1955.8264495019221</c:v>
                </c:pt>
                <c:pt idx="35">
                  <c:v>1769.1593302315016</c:v>
                </c:pt>
                <c:pt idx="36">
                  <c:v>1775.6158582300052</c:v>
                </c:pt>
                <c:pt idx="37">
                  <c:v>1626.9108095757035</c:v>
                </c:pt>
                <c:pt idx="38">
                  <c:v>1392.114299732169</c:v>
                </c:pt>
                <c:pt idx="39">
                  <c:v>1687.7061715533439</c:v>
                </c:pt>
                <c:pt idx="40">
                  <c:v>1728.9854770068425</c:v>
                </c:pt>
                <c:pt idx="41">
                  <c:v>1942.7370449437828</c:v>
                </c:pt>
                <c:pt idx="42">
                  <c:v>1906.5055284059197</c:v>
                </c:pt>
                <c:pt idx="43">
                  <c:v>2028.3675408175454</c:v>
                </c:pt>
                <c:pt idx="44">
                  <c:v>2056.85758154109</c:v>
                </c:pt>
                <c:pt idx="45">
                  <c:v>1907.2103228909111</c:v>
                </c:pt>
                <c:pt idx="46">
                  <c:v>1962.3986889980388</c:v>
                </c:pt>
                <c:pt idx="47">
                  <c:v>1775.1043049648335</c:v>
                </c:pt>
                <c:pt idx="48">
                  <c:v>1781.5825290848566</c:v>
                </c:pt>
                <c:pt idx="49">
                  <c:v>1632.3777810864301</c:v>
                </c:pt>
                <c:pt idx="50">
                  <c:v>1396.7922754217495</c:v>
                </c:pt>
                <c:pt idx="51">
                  <c:v>1693.3774360775287</c:v>
                </c:pt>
                <c:pt idx="52">
                  <c:v>1746.1190670895824</c:v>
                </c:pt>
                <c:pt idx="53">
                  <c:v>1961.988831965293</c:v>
                </c:pt>
                <c:pt idx="54">
                  <c:v>1925.3982748451397</c:v>
                </c:pt>
                <c:pt idx="55">
                  <c:v>2048.4678935640973</c:v>
                </c:pt>
                <c:pt idx="56">
                  <c:v>2077.2402597818054</c:v>
                </c:pt>
                <c:pt idx="57">
                  <c:v>1926.1100535760713</c:v>
                </c:pt>
                <c:pt idx="58">
                  <c:v>1981.8453154523022</c:v>
                </c:pt>
                <c:pt idx="59">
                  <c:v>1792.6949151346919</c:v>
                </c:pt>
                <c:pt idx="60">
                  <c:v>1799.2373359978412</c:v>
                </c:pt>
                <c:pt idx="61">
                  <c:v>1648.5540255565254</c:v>
                </c:pt>
                <c:pt idx="62">
                  <c:v>1410.6339569142071</c:v>
                </c:pt>
                <c:pt idx="63">
                  <c:v>1710.1581639847061</c:v>
                </c:pt>
                <c:pt idx="64">
                  <c:v>1731.9997197065838</c:v>
                </c:pt>
                <c:pt idx="65">
                  <c:v>1946.1239334012707</c:v>
                </c:pt>
                <c:pt idx="66">
                  <c:v>1909.829252316523</c:v>
                </c:pt>
                <c:pt idx="67">
                  <c:v>2031.9037139859201</c:v>
                </c:pt>
                <c:pt idx="68">
                  <c:v>2060.4434230834381</c:v>
                </c:pt>
                <c:pt idx="69">
                  <c:v>1910.5352755114486</c:v>
                </c:pt>
                <c:pt idx="70">
                  <c:v>1965.8198547631407</c:v>
                </c:pt>
                <c:pt idx="71">
                  <c:v>1778.1989493465678</c:v>
                </c:pt>
                <c:pt idx="72">
                  <c:v>1784.6884673380669</c:v>
                </c:pt>
                <c:pt idx="73">
                  <c:v>1635.2236018728358</c:v>
                </c:pt>
                <c:pt idx="74">
                  <c:v>1399.2273860546818</c:v>
                </c:pt>
                <c:pt idx="75">
                  <c:v>1696.32960117231</c:v>
                </c:pt>
                <c:pt idx="76">
                  <c:v>1713.8349413318274</c:v>
                </c:pt>
                <c:pt idx="77">
                  <c:v>1925.7134740127251</c:v>
                </c:pt>
                <c:pt idx="78">
                  <c:v>1889.7994424342019</c:v>
                </c:pt>
                <c:pt idx="79">
                  <c:v>2010.5936177870296</c:v>
                </c:pt>
                <c:pt idx="80">
                  <c:v>2038.8340095782348</c:v>
                </c:pt>
                <c:pt idx="81">
                  <c:v>1890.4980610350519</c:v>
                </c:pt>
                <c:pt idx="82">
                  <c:v>1945.2028294945005</c:v>
                </c:pt>
                <c:pt idx="83">
                  <c:v>1759.549645046116</c:v>
                </c:pt>
                <c:pt idx="84">
                  <c:v>1765.9711026016155</c:v>
                </c:pt>
                <c:pt idx="85">
                  <c:v>1618.0737871337069</c:v>
                </c:pt>
                <c:pt idx="86">
                  <c:v>1384.5526403983263</c:v>
                </c:pt>
                <c:pt idx="87">
                  <c:v>1678.5389220484969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まとめ!$AI$29</c:f>
              <c:strCache>
                <c:ptCount val="1"/>
                <c:pt idx="0">
                  <c:v>両Cs 1万から理論減衰</c:v>
                </c:pt>
              </c:strCache>
            </c:strRef>
          </c:tx>
          <c:spPr>
            <a:ln w="3175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まとめ!$AI$32:$AI$119</c:f>
              <c:numCache>
                <c:formatCode>0</c:formatCode>
                <c:ptCount val="88"/>
                <c:pt idx="0">
                  <c:v>500</c:v>
                </c:pt>
                <c:pt idx="1">
                  <c:v>433.29116549052935</c:v>
                </c:pt>
                <c:pt idx="2">
                  <c:v>427.52067219718407</c:v>
                </c:pt>
                <c:pt idx="3">
                  <c:v>422.25813600945287</c:v>
                </c:pt>
                <c:pt idx="4">
                  <c:v>416.77372045812149</c:v>
                </c:pt>
                <c:pt idx="5">
                  <c:v>411.60124417554016</c:v>
                </c:pt>
                <c:pt idx="6">
                  <c:v>406.39201636038831</c:v>
                </c:pt>
                <c:pt idx="7">
                  <c:v>401.4785244660743</c:v>
                </c:pt>
                <c:pt idx="8">
                  <c:v>396.52955390761872</c:v>
                </c:pt>
                <c:pt idx="9">
                  <c:v>391.70738625505078</c:v>
                </c:pt>
                <c:pt idx="10">
                  <c:v>387.15816832398286</c:v>
                </c:pt>
                <c:pt idx="11">
                  <c:v>382.57526652963247</c:v>
                </c:pt>
                <c:pt idx="12">
                  <c:v>378.25123175678777</c:v>
                </c:pt>
                <c:pt idx="13">
                  <c:v>373.89462556200459</c:v>
                </c:pt>
                <c:pt idx="14">
                  <c:v>369.64827976490221</c:v>
                </c:pt>
                <c:pt idx="15">
                  <c:v>365.90508035884227</c:v>
                </c:pt>
                <c:pt idx="16">
                  <c:v>361.86015510669802</c:v>
                </c:pt>
                <c:pt idx="17">
                  <c:v>358.0424422060745</c:v>
                </c:pt>
                <c:pt idx="18">
                  <c:v>354.1946690220251</c:v>
                </c:pt>
                <c:pt idx="19">
                  <c:v>350.56251159019899</c:v>
                </c:pt>
                <c:pt idx="20">
                  <c:v>346.90121814628463</c:v>
                </c:pt>
                <c:pt idx="21">
                  <c:v>343.33079097889356</c:v>
                </c:pt>
                <c:pt idx="22">
                  <c:v>339.95967011770011</c:v>
                </c:pt>
                <c:pt idx="23">
                  <c:v>336.56071783319504</c:v>
                </c:pt>
                <c:pt idx="24">
                  <c:v>333.35099099280717</c:v>
                </c:pt>
                <c:pt idx="25">
                  <c:v>330.11424220670449</c:v>
                </c:pt>
                <c:pt idx="26">
                  <c:v>326.9565348029551</c:v>
                </c:pt>
                <c:pt idx="27">
                  <c:v>324.17051872962497</c:v>
                </c:pt>
                <c:pt idx="28">
                  <c:v>321.15721897314415</c:v>
                </c:pt>
                <c:pt idx="29">
                  <c:v>318.31048176580742</c:v>
                </c:pt>
                <c:pt idx="30">
                  <c:v>315.4385527756213</c:v>
                </c:pt>
                <c:pt idx="31">
                  <c:v>312.72488244897227</c:v>
                </c:pt>
                <c:pt idx="32">
                  <c:v>309.98669514428013</c:v>
                </c:pt>
                <c:pt idx="33">
                  <c:v>307.31368548044031</c:v>
                </c:pt>
                <c:pt idx="34">
                  <c:v>304.78725438549407</c:v>
                </c:pt>
                <c:pt idx="35">
                  <c:v>302.23726005937488</c:v>
                </c:pt>
                <c:pt idx="36">
                  <c:v>299.82662383410542</c:v>
                </c:pt>
                <c:pt idx="37">
                  <c:v>297.39301700504302</c:v>
                </c:pt>
                <c:pt idx="38">
                  <c:v>295.01613454839298</c:v>
                </c:pt>
                <c:pt idx="39">
                  <c:v>292.91671981771776</c:v>
                </c:pt>
                <c:pt idx="40">
                  <c:v>290.64348876899783</c:v>
                </c:pt>
                <c:pt idx="41">
                  <c:v>288.4933800565322</c:v>
                </c:pt>
                <c:pt idx="42">
                  <c:v>286.32164341656699</c:v>
                </c:pt>
                <c:pt idx="43">
                  <c:v>284.26707882124401</c:v>
                </c:pt>
                <c:pt idx="44">
                  <c:v>282.19138249063712</c:v>
                </c:pt>
                <c:pt idx="45">
                  <c:v>280.16249930163019</c:v>
                </c:pt>
                <c:pt idx="46">
                  <c:v>278.24241710465037</c:v>
                </c:pt>
                <c:pt idx="47">
                  <c:v>276.30190569342591</c:v>
                </c:pt>
                <c:pt idx="48">
                  <c:v>274.46501942754287</c:v>
                </c:pt>
                <c:pt idx="49">
                  <c:v>272.60814127546814</c:v>
                </c:pt>
                <c:pt idx="50">
                  <c:v>270.79203267353478</c:v>
                </c:pt>
                <c:pt idx="51">
                  <c:v>269.12900488734829</c:v>
                </c:pt>
                <c:pt idx="52">
                  <c:v>267.38863905910915</c:v>
                </c:pt>
                <c:pt idx="53">
                  <c:v>265.74018493739533</c:v>
                </c:pt>
                <c:pt idx="54">
                  <c:v>264.07273860299881</c:v>
                </c:pt>
                <c:pt idx="55">
                  <c:v>262.49293997866539</c:v>
                </c:pt>
                <c:pt idx="56">
                  <c:v>260.89451707103831</c:v>
                </c:pt>
                <c:pt idx="57">
                  <c:v>259.32974706214725</c:v>
                </c:pt>
                <c:pt idx="58">
                  <c:v>257.8466245961323</c:v>
                </c:pt>
                <c:pt idx="59">
                  <c:v>256.34539993096638</c:v>
                </c:pt>
                <c:pt idx="60">
                  <c:v>254.92211192910085</c:v>
                </c:pt>
                <c:pt idx="61">
                  <c:v>253.48104749622547</c:v>
                </c:pt>
                <c:pt idx="62">
                  <c:v>252.06931853168425</c:v>
                </c:pt>
                <c:pt idx="63">
                  <c:v>250.81875436990092</c:v>
                </c:pt>
                <c:pt idx="64">
                  <c:v>249.46065703821159</c:v>
                </c:pt>
                <c:pt idx="65">
                  <c:v>248.17214664282557</c:v>
                </c:pt>
                <c:pt idx="66">
                  <c:v>246.8666024014004</c:v>
                </c:pt>
                <c:pt idx="67">
                  <c:v>245.62758272994728</c:v>
                </c:pt>
                <c:pt idx="68">
                  <c:v>244.37180545992362</c:v>
                </c:pt>
                <c:pt idx="69">
                  <c:v>243.14030084142661</c:v>
                </c:pt>
                <c:pt idx="70">
                  <c:v>241.9710101184175</c:v>
                </c:pt>
                <c:pt idx="71">
                  <c:v>240.78535487596514</c:v>
                </c:pt>
                <c:pt idx="72">
                  <c:v>239.65924660684368</c:v>
                </c:pt>
                <c:pt idx="73">
                  <c:v>238.51701980627956</c:v>
                </c:pt>
                <c:pt idx="74">
                  <c:v>237.39597795668925</c:v>
                </c:pt>
                <c:pt idx="75">
                  <c:v>236.40115476205062</c:v>
                </c:pt>
                <c:pt idx="76">
                  <c:v>235.31885890558868</c:v>
                </c:pt>
                <c:pt idx="77">
                  <c:v>234.29010617011335</c:v>
                </c:pt>
                <c:pt idx="78">
                  <c:v>233.24579799299877</c:v>
                </c:pt>
                <c:pt idx="79">
                  <c:v>232.25282968975822</c:v>
                </c:pt>
                <c:pt idx="80">
                  <c:v>231.24451636655044</c:v>
                </c:pt>
                <c:pt idx="81">
                  <c:v>230.25376679520363</c:v>
                </c:pt>
                <c:pt idx="82">
                  <c:v>229.3112543777896</c:v>
                </c:pt>
                <c:pt idx="83">
                  <c:v>228.35369736808448</c:v>
                </c:pt>
                <c:pt idx="84">
                  <c:v>227.44245702095736</c:v>
                </c:pt>
                <c:pt idx="85">
                  <c:v>226.51636075258682</c:v>
                </c:pt>
                <c:pt idx="86">
                  <c:v>225.60561944427036</c:v>
                </c:pt>
                <c:pt idx="87">
                  <c:v>224.79587021168192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まとめ!$U$30:$U$31</c:f>
              <c:strCache>
                <c:ptCount val="1"/>
                <c:pt idx="0">
                  <c:v>ぱいじん(飛灰) 両Cs濃度 (Bq/kg)</c:v>
                </c:pt>
              </c:strCache>
            </c:strRef>
          </c:tx>
          <c:spPr>
            <a:ln w="0">
              <a:solidFill>
                <a:srgbClr val="3333FF"/>
              </a:solidFill>
              <a:prstDash val="solid"/>
            </a:ln>
          </c:spPr>
          <c:marker>
            <c:symbol val="plus"/>
            <c:size val="6"/>
            <c:spPr>
              <a:noFill/>
              <a:ln>
                <a:solidFill>
                  <a:srgbClr val="3333FF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まとめ!$U$32:$U$119</c:f>
              <c:numCache>
                <c:formatCode>0.0</c:formatCode>
                <c:ptCount val="88"/>
                <c:pt idx="4">
                  <c:v>630.3826873267376</c:v>
                </c:pt>
                <c:pt idx="5">
                  <c:v>901.8422191130644</c:v>
                </c:pt>
                <c:pt idx="6">
                  <c:v>923.01494694031942</c:v>
                </c:pt>
                <c:pt idx="7">
                  <c:v>834.31740588718594</c:v>
                </c:pt>
                <c:pt idx="8">
                  <c:v>687.72230665428515</c:v>
                </c:pt>
                <c:pt idx="9">
                  <c:v>609.25988758011749</c:v>
                </c:pt>
                <c:pt idx="10">
                  <c:v>535.99511148607758</c:v>
                </c:pt>
                <c:pt idx="11">
                  <c:v>426.38821413108906</c:v>
                </c:pt>
                <c:pt idx="12">
                  <c:v>300.78741054813747</c:v>
                </c:pt>
                <c:pt idx="13">
                  <c:v>259.30401940310543</c:v>
                </c:pt>
                <c:pt idx="14">
                  <c:v>226.15667170636385</c:v>
                </c:pt>
                <c:pt idx="15">
                  <c:v>201.76550753768947</c:v>
                </c:pt>
                <c:pt idx="16">
                  <c:v>330.18601994847938</c:v>
                </c:pt>
                <c:pt idx="17">
                  <c:v>476.30851165011535</c:v>
                </c:pt>
                <c:pt idx="18">
                  <c:v>491.70971013528998</c:v>
                </c:pt>
                <c:pt idx="19">
                  <c:v>448.34387149051156</c:v>
                </c:pt>
                <c:pt idx="20">
                  <c:v>372.94027140968387</c:v>
                </c:pt>
                <c:pt idx="21">
                  <c:v>333.4715936682822</c:v>
                </c:pt>
                <c:pt idx="22">
                  <c:v>296.13895729675068</c:v>
                </c:pt>
                <c:pt idx="23">
                  <c:v>237.91511840862859</c:v>
                </c:pt>
                <c:pt idx="24">
                  <c:v>169.4615582962243</c:v>
                </c:pt>
                <c:pt idx="25">
                  <c:v>147.63661867294724</c:v>
                </c:pt>
                <c:pt idx="26">
                  <c:v>130.13290162731019</c:v>
                </c:pt>
                <c:pt idx="27">
                  <c:v>110.58988241666015</c:v>
                </c:pt>
                <c:pt idx="28">
                  <c:v>194.0181434653982</c:v>
                </c:pt>
                <c:pt idx="29">
                  <c:v>282.87300061472951</c:v>
                </c:pt>
                <c:pt idx="30">
                  <c:v>295.36704641489291</c:v>
                </c:pt>
                <c:pt idx="31">
                  <c:v>272.30687909665448</c:v>
                </c:pt>
                <c:pt idx="32">
                  <c:v>229.20728484621819</c:v>
                </c:pt>
                <c:pt idx="33">
                  <c:v>207.36536758529215</c:v>
                </c:pt>
                <c:pt idx="34">
                  <c:v>186.28306591611772</c:v>
                </c:pt>
                <c:pt idx="35">
                  <c:v>151.47923689990967</c:v>
                </c:pt>
                <c:pt idx="36">
                  <c:v>109.16725817560001</c:v>
                </c:pt>
                <c:pt idx="37">
                  <c:v>96.27876189086389</c:v>
                </c:pt>
                <c:pt idx="38">
                  <c:v>85.905400064739084</c:v>
                </c:pt>
                <c:pt idx="39">
                  <c:v>73.81004177259932</c:v>
                </c:pt>
                <c:pt idx="40">
                  <c:v>131.07884803369211</c:v>
                </c:pt>
                <c:pt idx="41">
                  <c:v>193.39964665363544</c:v>
                </c:pt>
                <c:pt idx="42">
                  <c:v>204.41776726569734</c:v>
                </c:pt>
                <c:pt idx="43">
                  <c:v>190.66639916120934</c:v>
                </c:pt>
                <c:pt idx="44">
                  <c:v>162.44221386554545</c:v>
                </c:pt>
                <c:pt idx="45">
                  <c:v>148.73975546053126</c:v>
                </c:pt>
                <c:pt idx="46">
                  <c:v>135.14088155252125</c:v>
                </c:pt>
                <c:pt idx="47">
                  <c:v>111.17270332254857</c:v>
                </c:pt>
                <c:pt idx="48">
                  <c:v>81.026582682891046</c:v>
                </c:pt>
                <c:pt idx="49">
                  <c:v>72.266537821648853</c:v>
                </c:pt>
                <c:pt idx="50">
                  <c:v>65.189128753898515</c:v>
                </c:pt>
                <c:pt idx="51">
                  <c:v>56.554697056716236</c:v>
                </c:pt>
                <c:pt idx="52">
                  <c:v>101.52851376480915</c:v>
                </c:pt>
                <c:pt idx="53">
                  <c:v>151.32584986227815</c:v>
                </c:pt>
                <c:pt idx="54">
                  <c:v>161.57774390361274</c:v>
                </c:pt>
                <c:pt idx="55">
                  <c:v>152.19883985394588</c:v>
                </c:pt>
                <c:pt idx="56">
                  <c:v>130.92910312144616</c:v>
                </c:pt>
                <c:pt idx="57">
                  <c:v>121.05020225916665</c:v>
                </c:pt>
                <c:pt idx="58">
                  <c:v>110.96303675627071</c:v>
                </c:pt>
                <c:pt idx="59">
                  <c:v>92.113736678488678</c:v>
                </c:pt>
                <c:pt idx="60">
                  <c:v>67.688230115456179</c:v>
                </c:pt>
                <c:pt idx="61">
                  <c:v>60.878445429034926</c:v>
                </c:pt>
                <c:pt idx="62">
                  <c:v>55.373146267106094</c:v>
                </c:pt>
                <c:pt idx="63">
                  <c:v>48.394806812039299</c:v>
                </c:pt>
                <c:pt idx="64">
                  <c:v>87.530888699905148</c:v>
                </c:pt>
                <c:pt idx="65">
                  <c:v>131.38253733349438</c:v>
                </c:pt>
                <c:pt idx="66">
                  <c:v>141.30605586900046</c:v>
                </c:pt>
                <c:pt idx="67">
                  <c:v>133.95482047860639</c:v>
                </c:pt>
                <c:pt idx="68">
                  <c:v>115.97280890627778</c:v>
                </c:pt>
                <c:pt idx="69">
                  <c:v>107.85411785508643</c:v>
                </c:pt>
                <c:pt idx="70">
                  <c:v>99.444119682419895</c:v>
                </c:pt>
                <c:pt idx="71">
                  <c:v>83.014621638839003</c:v>
                </c:pt>
                <c:pt idx="72">
                  <c:v>61.55</c:v>
                </c:pt>
                <c:pt idx="73">
                  <c:v>61.55</c:v>
                </c:pt>
                <c:pt idx="74">
                  <c:v>56.305588804853343</c:v>
                </c:pt>
                <c:pt idx="75">
                  <c:v>49.419044560617621</c:v>
                </c:pt>
                <c:pt idx="76">
                  <c:v>89.782930563580479</c:v>
                </c:pt>
                <c:pt idx="77">
                  <c:v>135.3375247787713</c:v>
                </c:pt>
                <c:pt idx="78">
                  <c:v>146.09926896953857</c:v>
                </c:pt>
                <c:pt idx="79">
                  <c:v>139.04711804632811</c:v>
                </c:pt>
                <c:pt idx="80">
                  <c:v>120.81874847054345</c:v>
                </c:pt>
                <c:pt idx="81">
                  <c:v>112.76933018047444</c:v>
                </c:pt>
                <c:pt idx="82">
                  <c:v>104.31205028237866</c:v>
                </c:pt>
                <c:pt idx="83">
                  <c:v>87.366274920186086</c:v>
                </c:pt>
                <c:pt idx="84">
                  <c:v>64.682759383449394</c:v>
                </c:pt>
                <c:pt idx="85">
                  <c:v>58.626230893629184</c:v>
                </c:pt>
                <c:pt idx="86">
                  <c:v>53.724945825137524</c:v>
                </c:pt>
                <c:pt idx="87">
                  <c:v>47.268257629771895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まとめ!$X$30:$X$31</c:f>
              <c:strCache>
                <c:ptCount val="1"/>
                <c:pt idx="0">
                  <c:v>焼却灰(主灰)※ 両Cs濃度 (Bq/kg)</c:v>
                </c:pt>
              </c:strCache>
            </c:strRef>
          </c:tx>
          <c:spPr>
            <a:ln w="0">
              <a:solidFill>
                <a:srgbClr val="3333FF"/>
              </a:solidFill>
              <a:prstDash val="sysDot"/>
            </a:ln>
          </c:spPr>
          <c:marker>
            <c:symbol val="circle"/>
            <c:size val="5"/>
            <c:spPr>
              <a:noFill/>
              <a:ln w="0">
                <a:solidFill>
                  <a:srgbClr val="3333FF"/>
                </a:solidFill>
                <a:prstDash val="sysDash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まとめ!$X$32:$X$119</c:f>
              <c:numCache>
                <c:formatCode>0.0</c:formatCode>
                <c:ptCount val="88"/>
                <c:pt idx="4">
                  <c:v>103.10969560427156</c:v>
                </c:pt>
                <c:pt idx="5">
                  <c:v>147.51146972351938</c:v>
                </c:pt>
                <c:pt idx="6">
                  <c:v>150.97462562115086</c:v>
                </c:pt>
                <c:pt idx="7">
                  <c:v>136.46665031868878</c:v>
                </c:pt>
                <c:pt idx="8">
                  <c:v>112.48855516654854</c:v>
                </c:pt>
                <c:pt idx="9">
                  <c:v>99.654706284339454</c:v>
                </c:pt>
                <c:pt idx="10">
                  <c:v>87.67101936932103</c:v>
                </c:pt>
                <c:pt idx="11">
                  <c:v>69.742967013809988</c:v>
                </c:pt>
                <c:pt idx="12">
                  <c:v>49.198842174325776</c:v>
                </c:pt>
                <c:pt idx="13">
                  <c:v>42.413535535058607</c:v>
                </c:pt>
                <c:pt idx="14">
                  <c:v>36.991729067635013</c:v>
                </c:pt>
                <c:pt idx="15">
                  <c:v>33.002143751561313</c:v>
                </c:pt>
                <c:pt idx="16">
                  <c:v>54.007479415479843</c:v>
                </c:pt>
                <c:pt idx="17">
                  <c:v>77.908271653582815</c:v>
                </c:pt>
                <c:pt idx="18">
                  <c:v>80.427396813065869</c:v>
                </c:pt>
                <c:pt idx="19">
                  <c:v>73.334184210338663</c:v>
                </c:pt>
                <c:pt idx="20">
                  <c:v>61.000656643502836</c:v>
                </c:pt>
                <c:pt idx="21">
                  <c:v>54.544890281839301</c:v>
                </c:pt>
                <c:pt idx="22">
                  <c:v>48.438509428174783</c:v>
                </c:pt>
                <c:pt idx="23">
                  <c:v>38.915020878504741</c:v>
                </c:pt>
                <c:pt idx="24">
                  <c:v>27.718289292885675</c:v>
                </c:pt>
                <c:pt idx="25">
                  <c:v>24.148453181616798</c:v>
                </c:pt>
                <c:pt idx="26">
                  <c:v>21.285425733682658</c:v>
                </c:pt>
                <c:pt idx="27">
                  <c:v>18.088836102479615</c:v>
                </c:pt>
                <c:pt idx="28">
                  <c:v>31.734931997036433</c:v>
                </c:pt>
                <c:pt idx="29">
                  <c:v>46.268638994100392</c:v>
                </c:pt>
                <c:pt idx="30">
                  <c:v>48.312250414940294</c:v>
                </c:pt>
                <c:pt idx="31">
                  <c:v>44.540372029684576</c:v>
                </c:pt>
                <c:pt idx="32">
                  <c:v>37.490708177595458</c:v>
                </c:pt>
                <c:pt idx="33">
                  <c:v>33.918095088016017</c:v>
                </c:pt>
                <c:pt idx="34">
                  <c:v>30.469729910088326</c:v>
                </c:pt>
                <c:pt idx="35">
                  <c:v>24.776978050194227</c:v>
                </c:pt>
                <c:pt idx="36">
                  <c:v>17.856141970162913</c:v>
                </c:pt>
                <c:pt idx="37">
                  <c:v>15.748011535376525</c:v>
                </c:pt>
                <c:pt idx="38">
                  <c:v>14.051273662037197</c:v>
                </c:pt>
                <c:pt idx="39">
                  <c:v>12.072874291623151</c:v>
                </c:pt>
                <c:pt idx="40">
                  <c:v>21.440151185350146</c:v>
                </c:pt>
                <c:pt idx="41">
                  <c:v>31.633766436377542</c:v>
                </c:pt>
                <c:pt idx="42">
                  <c:v>33.435965458147322</c:v>
                </c:pt>
                <c:pt idx="43">
                  <c:v>31.186697818185745</c:v>
                </c:pt>
                <c:pt idx="44">
                  <c:v>26.570157400720149</c:v>
                </c:pt>
                <c:pt idx="45">
                  <c:v>24.328889765083289</c:v>
                </c:pt>
                <c:pt idx="46">
                  <c:v>22.104565116889056</c:v>
                </c:pt>
                <c:pt idx="47">
                  <c:v>18.184166268434531</c:v>
                </c:pt>
                <c:pt idx="48">
                  <c:v>13.253260986142688</c:v>
                </c:pt>
                <c:pt idx="49">
                  <c:v>11.820408248779556</c:v>
                </c:pt>
                <c:pt idx="50">
                  <c:v>10.66277890820027</c:v>
                </c:pt>
                <c:pt idx="51">
                  <c:v>9.2504723174406074</c:v>
                </c:pt>
                <c:pt idx="52">
                  <c:v>16.606696788957869</c:v>
                </c:pt>
                <c:pt idx="53">
                  <c:v>24.751889019232898</c:v>
                </c:pt>
                <c:pt idx="54">
                  <c:v>26.428758792500254</c:v>
                </c:pt>
                <c:pt idx="55">
                  <c:v>24.894681221677661</c:v>
                </c:pt>
                <c:pt idx="56">
                  <c:v>21.4156578852796</c:v>
                </c:pt>
                <c:pt idx="57">
                  <c:v>19.7997974225914</c:v>
                </c:pt>
                <c:pt idx="58">
                  <c:v>18.149871773579378</c:v>
                </c:pt>
                <c:pt idx="59">
                  <c:v>15.066751579375337</c:v>
                </c:pt>
                <c:pt idx="60">
                  <c:v>11.071548986844371</c:v>
                </c:pt>
                <c:pt idx="61">
                  <c:v>9.9576941169951496</c:v>
                </c:pt>
                <c:pt idx="62">
                  <c:v>9.0572098045148</c:v>
                </c:pt>
                <c:pt idx="63">
                  <c:v>7.9157849660780988</c:v>
                </c:pt>
                <c:pt idx="64">
                  <c:v>14.31714967949404</c:v>
                </c:pt>
                <c:pt idx="65">
                  <c:v>21.48982468034043</c:v>
                </c:pt>
                <c:pt idx="66">
                  <c:v>23.112983114241125</c:v>
                </c:pt>
                <c:pt idx="67">
                  <c:v>21.91056487107322</c:v>
                </c:pt>
                <c:pt idx="68">
                  <c:v>18.969304305307912</c:v>
                </c:pt>
                <c:pt idx="69">
                  <c:v>17.641355775275439</c:v>
                </c:pt>
                <c:pt idx="70">
                  <c:v>16.265759063865964</c:v>
                </c:pt>
                <c:pt idx="71">
                  <c:v>13.578438208992054</c:v>
                </c:pt>
                <c:pt idx="72">
                  <c:v>10.067538166944409</c:v>
                </c:pt>
                <c:pt idx="73">
                  <c:v>10.067538166944409</c:v>
                </c:pt>
                <c:pt idx="74">
                  <c:v>9.2097264712451494</c:v>
                </c:pt>
                <c:pt idx="75">
                  <c:v>8.0833162841258233</c:v>
                </c:pt>
                <c:pt idx="76">
                  <c:v>14.685509020129427</c:v>
                </c:pt>
                <c:pt idx="77">
                  <c:v>22.136729425346303</c:v>
                </c:pt>
                <c:pt idx="78">
                  <c:v>23.896993769512701</c:v>
                </c:pt>
                <c:pt idx="79">
                  <c:v>22.743495823477385</c:v>
                </c:pt>
                <c:pt idx="80">
                  <c:v>19.761939260920435</c:v>
                </c:pt>
                <c:pt idx="81">
                  <c:v>18.445321456582981</c:v>
                </c:pt>
                <c:pt idx="82">
                  <c:v>17.061991023396775</c:v>
                </c:pt>
                <c:pt idx="83">
                  <c:v>14.29022432595827</c:v>
                </c:pt>
                <c:pt idx="84">
                  <c:v>10.579953677273085</c:v>
                </c:pt>
                <c:pt idx="85">
                  <c:v>9.5893065329928078</c:v>
                </c:pt>
                <c:pt idx="86">
                  <c:v>8.7876188888967128</c:v>
                </c:pt>
                <c:pt idx="87">
                  <c:v>7.7315188915140514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874880"/>
        <c:axId val="292873344"/>
      </c:lineChart>
      <c:dateAx>
        <c:axId val="292874880"/>
        <c:scaling>
          <c:orientation val="minMax"/>
        </c:scaling>
        <c:delete val="0"/>
        <c:axPos val="b"/>
        <c:majorGridlines>
          <c:spPr>
            <a:ln w="0">
              <a:solidFill>
                <a:sysClr val="window" lastClr="FFFFFF">
                  <a:lumMod val="85000"/>
                </a:sysClr>
              </a:solidFill>
              <a:prstDash val="sysDot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/>
            </a:pPr>
            <a:endParaRPr lang="ja-JP"/>
          </a:p>
        </c:txPr>
        <c:crossAx val="292873344"/>
        <c:crosses val="autoZero"/>
        <c:auto val="0"/>
        <c:lblOffset val="0"/>
        <c:baseTimeUnit val="months"/>
        <c:majorUnit val="6"/>
        <c:minorUnit val="6"/>
      </c:dateAx>
      <c:valAx>
        <c:axId val="292873344"/>
        <c:scaling>
          <c:orientation val="minMax"/>
        </c:scaling>
        <c:delete val="0"/>
        <c:axPos val="l"/>
        <c:majorGridlines>
          <c:spPr>
            <a:ln w="0">
              <a:solidFill>
                <a:sysClr val="window" lastClr="FFFFFF">
                  <a:lumMod val="85000"/>
                </a:sysClr>
              </a:solidFill>
              <a:prstDash val="sysDot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92874880"/>
        <c:crosses val="autoZero"/>
        <c:crossBetween val="between"/>
      </c:valAx>
      <c:valAx>
        <c:axId val="292361728"/>
        <c:scaling>
          <c:orientation val="maxMin"/>
          <c:max val="250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292363264"/>
        <c:crosses val="max"/>
        <c:crossBetween val="between"/>
      </c:valAx>
      <c:dateAx>
        <c:axId val="292363264"/>
        <c:scaling>
          <c:orientation val="minMax"/>
        </c:scaling>
        <c:delete val="1"/>
        <c:axPos val="t"/>
        <c:numFmt formatCode="[$-411]ge\.m" sourceLinked="1"/>
        <c:majorTickMark val="out"/>
        <c:minorTickMark val="none"/>
        <c:tickLblPos val="nextTo"/>
        <c:crossAx val="292361728"/>
        <c:crosses val="autoZero"/>
        <c:auto val="1"/>
        <c:lblOffset val="100"/>
        <c:baseTimeUnit val="month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4634490319790651E-2"/>
          <c:y val="3.7307146695853091E-3"/>
          <c:w val="0.98536550968020931"/>
          <c:h val="9.78317881635763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/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84993864403313213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濃度回帰式!$G$57</c:f>
              <c:strCache>
                <c:ptCount val="1"/>
                <c:pt idx="0">
                  <c:v>Cs-137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濃度回帰式!$G$64:$G$148</c:f>
              <c:numCache>
                <c:formatCode>General</c:formatCode>
                <c:ptCount val="85"/>
                <c:pt idx="1">
                  <c:v>510</c:v>
                </c:pt>
                <c:pt idx="2">
                  <c:v>850</c:v>
                </c:pt>
                <c:pt idx="3">
                  <c:v>890</c:v>
                </c:pt>
                <c:pt idx="4">
                  <c:v>760</c:v>
                </c:pt>
                <c:pt idx="5">
                  <c:v>660</c:v>
                </c:pt>
                <c:pt idx="6">
                  <c:v>510</c:v>
                </c:pt>
                <c:pt idx="7">
                  <c:v>450</c:v>
                </c:pt>
                <c:pt idx="8">
                  <c:v>450</c:v>
                </c:pt>
                <c:pt idx="9">
                  <c:v>330</c:v>
                </c:pt>
                <c:pt idx="10">
                  <c:v>300</c:v>
                </c:pt>
                <c:pt idx="11">
                  <c:v>180</c:v>
                </c:pt>
                <c:pt idx="12">
                  <c:v>320</c:v>
                </c:pt>
                <c:pt idx="13">
                  <c:v>460</c:v>
                </c:pt>
                <c:pt idx="14">
                  <c:v>540</c:v>
                </c:pt>
                <c:pt idx="15">
                  <c:v>560</c:v>
                </c:pt>
                <c:pt idx="16">
                  <c:v>430</c:v>
                </c:pt>
                <c:pt idx="17">
                  <c:v>390</c:v>
                </c:pt>
                <c:pt idx="18">
                  <c:v>360</c:v>
                </c:pt>
                <c:pt idx="19">
                  <c:v>290</c:v>
                </c:pt>
                <c:pt idx="20">
                  <c:v>300</c:v>
                </c:pt>
                <c:pt idx="21">
                  <c:v>280</c:v>
                </c:pt>
                <c:pt idx="22">
                  <c:v>190</c:v>
                </c:pt>
                <c:pt idx="23">
                  <c:v>120</c:v>
                </c:pt>
                <c:pt idx="24">
                  <c:v>130</c:v>
                </c:pt>
                <c:pt idx="25">
                  <c:v>210</c:v>
                </c:pt>
                <c:pt idx="26">
                  <c:v>320</c:v>
                </c:pt>
                <c:pt idx="27">
                  <c:v>330</c:v>
                </c:pt>
                <c:pt idx="28">
                  <c:v>290</c:v>
                </c:pt>
                <c:pt idx="29">
                  <c:v>220</c:v>
                </c:pt>
                <c:pt idx="30">
                  <c:v>230</c:v>
                </c:pt>
                <c:pt idx="31">
                  <c:v>200</c:v>
                </c:pt>
                <c:pt idx="32">
                  <c:v>190</c:v>
                </c:pt>
                <c:pt idx="33">
                  <c:v>180</c:v>
                </c:pt>
                <c:pt idx="34">
                  <c:v>110</c:v>
                </c:pt>
                <c:pt idx="35">
                  <c:v>71</c:v>
                </c:pt>
                <c:pt idx="36">
                  <c:v>100</c:v>
                </c:pt>
                <c:pt idx="37">
                  <c:v>170</c:v>
                </c:pt>
                <c:pt idx="38">
                  <c:v>230</c:v>
                </c:pt>
                <c:pt idx="39">
                  <c:v>240</c:v>
                </c:pt>
                <c:pt idx="40">
                  <c:v>230</c:v>
                </c:pt>
                <c:pt idx="41">
                  <c:v>170</c:v>
                </c:pt>
                <c:pt idx="42">
                  <c:v>160</c:v>
                </c:pt>
                <c:pt idx="43">
                  <c:v>160</c:v>
                </c:pt>
                <c:pt idx="44">
                  <c:v>170</c:v>
                </c:pt>
                <c:pt idx="45">
                  <c:v>140</c:v>
                </c:pt>
                <c:pt idx="46">
                  <c:v>110</c:v>
                </c:pt>
                <c:pt idx="47">
                  <c:v>120</c:v>
                </c:pt>
                <c:pt idx="48">
                  <c:v>75</c:v>
                </c:pt>
                <c:pt idx="49">
                  <c:v>120</c:v>
                </c:pt>
                <c:pt idx="50">
                  <c:v>180</c:v>
                </c:pt>
                <c:pt idx="51">
                  <c:v>210</c:v>
                </c:pt>
                <c:pt idx="52">
                  <c:v>180</c:v>
                </c:pt>
                <c:pt idx="53">
                  <c:v>150</c:v>
                </c:pt>
                <c:pt idx="54">
                  <c:v>110</c:v>
                </c:pt>
                <c:pt idx="55">
                  <c:v>120</c:v>
                </c:pt>
                <c:pt idx="56">
                  <c:v>110</c:v>
                </c:pt>
                <c:pt idx="57">
                  <c:v>120</c:v>
                </c:pt>
                <c:pt idx="58">
                  <c:v>93</c:v>
                </c:pt>
                <c:pt idx="59">
                  <c:v>70</c:v>
                </c:pt>
                <c:pt idx="60">
                  <c:v>72</c:v>
                </c:pt>
                <c:pt idx="61">
                  <c:v>120</c:v>
                </c:pt>
                <c:pt idx="62">
                  <c:v>170</c:v>
                </c:pt>
                <c:pt idx="63">
                  <c:v>150</c:v>
                </c:pt>
                <c:pt idx="64">
                  <c:v>140</c:v>
                </c:pt>
                <c:pt idx="65">
                  <c:v>120</c:v>
                </c:pt>
                <c:pt idx="66">
                  <c:v>130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81</c:v>
                </c:pt>
                <c:pt idx="71">
                  <c:v>48</c:v>
                </c:pt>
                <c:pt idx="72">
                  <c:v>51</c:v>
                </c:pt>
                <c:pt idx="73">
                  <c:v>100</c:v>
                </c:pt>
                <c:pt idx="74">
                  <c:v>130</c:v>
                </c:pt>
                <c:pt idx="75">
                  <c:v>170</c:v>
                </c:pt>
                <c:pt idx="76">
                  <c:v>130</c:v>
                </c:pt>
                <c:pt idx="77">
                  <c:v>120</c:v>
                </c:pt>
                <c:pt idx="78">
                  <c:v>110</c:v>
                </c:pt>
                <c:pt idx="79">
                  <c:v>100</c:v>
                </c:pt>
                <c:pt idx="80">
                  <c:v>80</c:v>
                </c:pt>
                <c:pt idx="81">
                  <c:v>180</c:v>
                </c:pt>
                <c:pt idx="82">
                  <c:v>200</c:v>
                </c:pt>
                <c:pt idx="83">
                  <c:v>200</c:v>
                </c:pt>
                <c:pt idx="84">
                  <c:v>190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濃度回帰式!$R$57</c:f>
              <c:strCache>
                <c:ptCount val="1"/>
                <c:pt idx="0">
                  <c:v>回帰式_Cs-137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濃度回帰式!$R$64:$R$148</c:f>
              <c:numCache>
                <c:formatCode>0</c:formatCode>
                <c:ptCount val="85"/>
                <c:pt idx="1">
                  <c:v>621.11469389456863</c:v>
                </c:pt>
                <c:pt idx="2">
                  <c:v>896.01027620500838</c:v>
                </c:pt>
                <c:pt idx="3">
                  <c:v>924.87396910549933</c:v>
                </c:pt>
                <c:pt idx="4">
                  <c:v>842.81380956372755</c:v>
                </c:pt>
                <c:pt idx="5">
                  <c:v>700.47956526194685</c:v>
                </c:pt>
                <c:pt idx="6">
                  <c:v>625.61778719326082</c:v>
                </c:pt>
                <c:pt idx="7">
                  <c:v>554.64099257116402</c:v>
                </c:pt>
                <c:pt idx="8">
                  <c:v>444.67696029248822</c:v>
                </c:pt>
                <c:pt idx="9">
                  <c:v>316.02681198700947</c:v>
                </c:pt>
                <c:pt idx="10">
                  <c:v>274.49513854442</c:v>
                </c:pt>
                <c:pt idx="11">
                  <c:v>241.17625420582388</c:v>
                </c:pt>
                <c:pt idx="12">
                  <c:v>216.56338048215233</c:v>
                </c:pt>
                <c:pt idx="13">
                  <c:v>356.89906984320146</c:v>
                </c:pt>
                <c:pt idx="14">
                  <c:v>518.27583993998246</c:v>
                </c:pt>
                <c:pt idx="15">
                  <c:v>538.64020449436373</c:v>
                </c:pt>
                <c:pt idx="16">
                  <c:v>494.26902040553642</c:v>
                </c:pt>
                <c:pt idx="17">
                  <c:v>413.77871282615791</c:v>
                </c:pt>
                <c:pt idx="18">
                  <c:v>372.28488461770411</c:v>
                </c:pt>
                <c:pt idx="19">
                  <c:v>332.54794361795223</c:v>
                </c:pt>
                <c:pt idx="20">
                  <c:v>268.72985432861498</c:v>
                </c:pt>
                <c:pt idx="21">
                  <c:v>192.46381447420555</c:v>
                </c:pt>
                <c:pt idx="22">
                  <c:v>168.60188561916837</c:v>
                </c:pt>
                <c:pt idx="23">
                  <c:v>149.40370090462912</c:v>
                </c:pt>
                <c:pt idx="24">
                  <c:v>135.24766713798084</c:v>
                </c:pt>
                <c:pt idx="25">
                  <c:v>224.88691878426286</c:v>
                </c:pt>
                <c:pt idx="26">
                  <c:v>329.388513227673</c:v>
                </c:pt>
                <c:pt idx="27">
                  <c:v>345.50704380092827</c:v>
                </c:pt>
                <c:pt idx="28">
                  <c:v>319.88669175672192</c:v>
                </c:pt>
                <c:pt idx="29">
                  <c:v>270.39419005552747</c:v>
                </c:pt>
                <c:pt idx="30">
                  <c:v>245.60813311904602</c:v>
                </c:pt>
                <c:pt idx="31">
                  <c:v>221.45731232564722</c:v>
                </c:pt>
                <c:pt idx="32">
                  <c:v>180.73932145684876</c:v>
                </c:pt>
                <c:pt idx="33">
                  <c:v>130.6922871059505</c:v>
                </c:pt>
                <c:pt idx="34">
                  <c:v>115.64211074823523</c:v>
                </c:pt>
                <c:pt idx="35">
                  <c:v>103.50403762273774</c:v>
                </c:pt>
                <c:pt idx="36">
                  <c:v>94.544086121960135</c:v>
                </c:pt>
                <c:pt idx="37">
                  <c:v>158.78992651420566</c:v>
                </c:pt>
                <c:pt idx="38">
                  <c:v>234.87892168722195</c:v>
                </c:pt>
                <c:pt idx="39">
                  <c:v>248.86595655591088</c:v>
                </c:pt>
                <c:pt idx="40">
                  <c:v>232.64329674238542</c:v>
                </c:pt>
                <c:pt idx="41">
                  <c:v>198.63438362897273</c:v>
                </c:pt>
                <c:pt idx="42">
                  <c:v>182.24432565355005</c:v>
                </c:pt>
                <c:pt idx="43">
                  <c:v>165.88157069906435</c:v>
                </c:pt>
                <c:pt idx="44">
                  <c:v>136.69867700465039</c:v>
                </c:pt>
                <c:pt idx="45">
                  <c:v>99.786707000478728</c:v>
                </c:pt>
                <c:pt idx="46">
                  <c:v>89.13072679276064</c:v>
                </c:pt>
                <c:pt idx="47">
                  <c:v>80.511307590871922</c:v>
                </c:pt>
                <c:pt idx="48">
                  <c:v>74.148108761686231</c:v>
                </c:pt>
                <c:pt idx="49">
                  <c:v>125.68411828929283</c:v>
                </c:pt>
                <c:pt idx="50">
                  <c:v>187.51729906480782</c:v>
                </c:pt>
                <c:pt idx="51">
                  <c:v>200.41342277514434</c:v>
                </c:pt>
                <c:pt idx="52">
                  <c:v>188.94014794056511</c:v>
                </c:pt>
                <c:pt idx="53">
                  <c:v>162.6645508999714</c:v>
                </c:pt>
                <c:pt idx="54">
                  <c:v>150.50074670346703</c:v>
                </c:pt>
                <c:pt idx="55">
                  <c:v>138.04450054420192</c:v>
                </c:pt>
                <c:pt idx="56">
                  <c:v>114.66125403018648</c:v>
                </c:pt>
                <c:pt idx="57">
                  <c:v>84.297256395037266</c:v>
                </c:pt>
                <c:pt idx="58">
                  <c:v>75.851676111396415</c:v>
                </c:pt>
                <c:pt idx="59">
                  <c:v>69.020204816993456</c:v>
                </c:pt>
                <c:pt idx="60">
                  <c:v>63.980080143810582</c:v>
                </c:pt>
                <c:pt idx="61">
                  <c:v>109.16860210905661</c:v>
                </c:pt>
                <c:pt idx="62">
                  <c:v>163.89914549357442</c:v>
                </c:pt>
                <c:pt idx="63">
                  <c:v>176.31947262262895</c:v>
                </c:pt>
                <c:pt idx="64">
                  <c:v>167.17766128015941</c:v>
                </c:pt>
                <c:pt idx="65">
                  <c:v>144.75853663243265</c:v>
                </c:pt>
                <c:pt idx="66">
                  <c:v>134.64112908271244</c:v>
                </c:pt>
                <c:pt idx="67">
                  <c:v>124.15545553423578</c:v>
                </c:pt>
                <c:pt idx="68">
                  <c:v>103.65105364493117</c:v>
                </c:pt>
                <c:pt idx="69">
                  <c:v>76.573010492435301</c:v>
                </c:pt>
                <c:pt idx="70">
                  <c:v>69.235842446987093</c:v>
                </c:pt>
                <c:pt idx="71">
                  <c:v>63.292433869769425</c:v>
                </c:pt>
                <c:pt idx="72">
                  <c:v>58.901617214096284</c:v>
                </c:pt>
                <c:pt idx="73">
                  <c:v>100.92099362142656</c:v>
                </c:pt>
                <c:pt idx="74">
                  <c:v>152.12172524344646</c:v>
                </c:pt>
                <c:pt idx="75">
                  <c:v>164.20910039313583</c:v>
                </c:pt>
                <c:pt idx="76">
                  <c:v>156.2802463154666</c:v>
                </c:pt>
                <c:pt idx="77">
                  <c:v>135.7868720616668</c:v>
                </c:pt>
                <c:pt idx="78">
                  <c:v>126.73460343284391</c:v>
                </c:pt>
                <c:pt idx="79">
                  <c:v>117.22437424315387</c:v>
                </c:pt>
                <c:pt idx="80">
                  <c:v>98.174965574947123</c:v>
                </c:pt>
                <c:pt idx="81">
                  <c:v>72.677743586790726</c:v>
                </c:pt>
                <c:pt idx="82">
                  <c:v>65.867037507760102</c:v>
                </c:pt>
                <c:pt idx="83">
                  <c:v>60.356102339061025</c:v>
                </c:pt>
                <c:pt idx="84">
                  <c:v>56.300217045023473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濃度回帰式!$P$57</c:f>
              <c:strCache>
                <c:ptCount val="1"/>
                <c:pt idx="0">
                  <c:v>Cs-137:事故日1200から減衰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濃度回帰式!$P$64:$P$148</c:f>
              <c:numCache>
                <c:formatCode>0</c:formatCode>
                <c:ptCount val="85"/>
                <c:pt idx="0">
                  <c:v>1200</c:v>
                </c:pt>
                <c:pt idx="1">
                  <c:v>579.02443403557709</c:v>
                </c:pt>
                <c:pt idx="2">
                  <c:v>546.98013046011727</c:v>
                </c:pt>
                <c:pt idx="3">
                  <c:v>515.72956914725592</c:v>
                </c:pt>
                <c:pt idx="4">
                  <c:v>487.18812269841669</c:v>
                </c:pt>
                <c:pt idx="5">
                  <c:v>459.35365220955737</c:v>
                </c:pt>
                <c:pt idx="6">
                  <c:v>433.10944575074848</c:v>
                </c:pt>
                <c:pt idx="7">
                  <c:v>409.14035266031175</c:v>
                </c:pt>
                <c:pt idx="8">
                  <c:v>385.76497764326814</c:v>
                </c:pt>
                <c:pt idx="9">
                  <c:v>364.4160166568966</c:v>
                </c:pt>
                <c:pt idx="10">
                  <c:v>343.59587267406971</c:v>
                </c:pt>
                <c:pt idx="11">
                  <c:v>323.96524390367057</c:v>
                </c:pt>
                <c:pt idx="12">
                  <c:v>307.20015880962615</c:v>
                </c:pt>
                <c:pt idx="13">
                  <c:v>289.64892273433162</c:v>
                </c:pt>
                <c:pt idx="14">
                  <c:v>273.61920539457333</c:v>
                </c:pt>
                <c:pt idx="15">
                  <c:v>257.9865465859861</c:v>
                </c:pt>
                <c:pt idx="16">
                  <c:v>243.70908482229493</c:v>
                </c:pt>
                <c:pt idx="17">
                  <c:v>229.78527795323402</c:v>
                </c:pt>
                <c:pt idx="18">
                  <c:v>216.65697855517388</c:v>
                </c:pt>
                <c:pt idx="19">
                  <c:v>204.666772987895</c:v>
                </c:pt>
                <c:pt idx="20">
                  <c:v>192.97356663214782</c:v>
                </c:pt>
                <c:pt idx="21">
                  <c:v>182.29404572125679</c:v>
                </c:pt>
                <c:pt idx="22">
                  <c:v>171.87905816404964</c:v>
                </c:pt>
                <c:pt idx="23">
                  <c:v>162.05910905358715</c:v>
                </c:pt>
                <c:pt idx="24">
                  <c:v>153.67260832650209</c:v>
                </c:pt>
                <c:pt idx="25">
                  <c:v>144.892846501196</c:v>
                </c:pt>
                <c:pt idx="26">
                  <c:v>136.87420326910137</c:v>
                </c:pt>
                <c:pt idx="27">
                  <c:v>129.05418304677269</c:v>
                </c:pt>
                <c:pt idx="28">
                  <c:v>121.91208130434494</c:v>
                </c:pt>
                <c:pt idx="29">
                  <c:v>114.94689050596043</c:v>
                </c:pt>
                <c:pt idx="30">
                  <c:v>108.379641259708</c:v>
                </c:pt>
                <c:pt idx="31">
                  <c:v>102.38170762896225</c:v>
                </c:pt>
                <c:pt idx="32">
                  <c:v>96.532343724494723</c:v>
                </c:pt>
                <c:pt idx="33">
                  <c:v>91.190061870170936</c:v>
                </c:pt>
                <c:pt idx="34">
                  <c:v>85.980109148121969</c:v>
                </c:pt>
                <c:pt idx="35">
                  <c:v>81.067816136016361</c:v>
                </c:pt>
                <c:pt idx="36">
                  <c:v>76.872585747929449</c:v>
                </c:pt>
                <c:pt idx="37">
                  <c:v>72.480631963112728</c:v>
                </c:pt>
                <c:pt idx="38">
                  <c:v>68.469417172435229</c:v>
                </c:pt>
                <c:pt idx="39">
                  <c:v>64.557560780863653</c:v>
                </c:pt>
                <c:pt idx="40">
                  <c:v>60.984823683509859</c:v>
                </c:pt>
                <c:pt idx="41">
                  <c:v>57.500583826255081</c:v>
                </c:pt>
                <c:pt idx="42">
                  <c:v>54.215408697725017</c:v>
                </c:pt>
                <c:pt idx="43">
                  <c:v>51.215025790445544</c:v>
                </c:pt>
                <c:pt idx="44">
                  <c:v>48.288962823116613</c:v>
                </c:pt>
                <c:pt idx="45">
                  <c:v>45.616560601221842</c:v>
                </c:pt>
                <c:pt idx="46">
                  <c:v>43.010354187926396</c:v>
                </c:pt>
                <c:pt idx="47">
                  <c:v>40.553047906056491</c:v>
                </c:pt>
                <c:pt idx="48">
                  <c:v>38.381534900653818</c:v>
                </c:pt>
                <c:pt idx="49">
                  <c:v>36.188686490080592</c:v>
                </c:pt>
                <c:pt idx="50">
                  <c:v>34.185936368115911</c:v>
                </c:pt>
                <c:pt idx="51">
                  <c:v>32.232794670609067</c:v>
                </c:pt>
                <c:pt idx="52">
                  <c:v>30.448971058345069</c:v>
                </c:pt>
                <c:pt idx="53">
                  <c:v>28.709333027669416</c:v>
                </c:pt>
                <c:pt idx="54">
                  <c:v>27.069085563327651</c:v>
                </c:pt>
                <c:pt idx="55">
                  <c:v>25.571031346071461</c:v>
                </c:pt>
                <c:pt idx="56">
                  <c:v>24.110084159121001</c:v>
                </c:pt>
                <c:pt idx="57">
                  <c:v>22.775786656958445</c:v>
                </c:pt>
                <c:pt idx="58">
                  <c:v>21.474539906417068</c:v>
                </c:pt>
                <c:pt idx="59">
                  <c:v>20.247637156866631</c:v>
                </c:pt>
                <c:pt idx="60">
                  <c:v>19.199829201303537</c:v>
                </c:pt>
                <c:pt idx="61">
                  <c:v>18.102887271900947</c:v>
                </c:pt>
                <c:pt idx="62">
                  <c:v>17.101039368367609</c:v>
                </c:pt>
                <c:pt idx="63">
                  <c:v>16.124007389444941</c:v>
                </c:pt>
                <c:pt idx="64">
                  <c:v>15.231674428572715</c:v>
                </c:pt>
                <c:pt idx="65">
                  <c:v>14.361444690561491</c:v>
                </c:pt>
                <c:pt idx="66">
                  <c:v>13.540933701494803</c:v>
                </c:pt>
                <c:pt idx="67">
                  <c:v>12.791552907317092</c:v>
                </c:pt>
                <c:pt idx="68">
                  <c:v>12.060734389137</c:v>
                </c:pt>
                <c:pt idx="69">
                  <c:v>11.393270614914396</c:v>
                </c:pt>
                <c:pt idx="70">
                  <c:v>10.742340019673399</c:v>
                </c:pt>
                <c:pt idx="71">
                  <c:v>10.128598977295837</c:v>
                </c:pt>
                <c:pt idx="72">
                  <c:v>9.6044476155889402</c:v>
                </c:pt>
                <c:pt idx="73">
                  <c:v>9.05571766659674</c:v>
                </c:pt>
                <c:pt idx="74">
                  <c:v>8.5545571819180317</c:v>
                </c:pt>
                <c:pt idx="75">
                  <c:v>8.0658105185007951</c:v>
                </c:pt>
                <c:pt idx="76">
                  <c:v>7.6194333612613532</c:v>
                </c:pt>
                <c:pt idx="77">
                  <c:v>7.1841130339488126</c:v>
                </c:pt>
                <c:pt idx="78">
                  <c:v>6.773663819537517</c:v>
                </c:pt>
                <c:pt idx="79">
                  <c:v>6.39879649616989</c:v>
                </c:pt>
                <c:pt idx="80">
                  <c:v>6.0332146932918436</c:v>
                </c:pt>
                <c:pt idx="81">
                  <c:v>5.6993252202339759</c:v>
                </c:pt>
                <c:pt idx="82">
                  <c:v>5.3737062400947249</c:v>
                </c:pt>
                <c:pt idx="83">
                  <c:v>5.0666908167152274</c:v>
                </c:pt>
                <c:pt idx="84">
                  <c:v>4.804491385492593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181120"/>
        <c:axId val="294187008"/>
      </c:lineChart>
      <c:dateAx>
        <c:axId val="294181120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94187008"/>
        <c:crosses val="autoZero"/>
        <c:auto val="0"/>
        <c:lblOffset val="100"/>
        <c:baseTimeUnit val="days"/>
        <c:majorUnit val="6"/>
        <c:majorTimeUnit val="months"/>
      </c:dateAx>
      <c:valAx>
        <c:axId val="294187008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94181120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7636338038007013"/>
          <c:y val="5.7577241086361648E-2"/>
          <c:w val="0.62622810100278092"/>
          <c:h val="0.1486342993432874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</a:rPr>
              <a:t>角度間隔調整</a:t>
            </a:r>
            <a:endParaRPr lang="en-US" altLang="ja-JP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0703968295353808"/>
          <c:y val="6.368697988580812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046150481189847E-2"/>
          <c:y val="4.7416251223034993E-2"/>
          <c:w val="0.88012926509186351"/>
          <c:h val="0.82178154271000481"/>
        </c:manualLayout>
      </c:layout>
      <c:lineChart>
        <c:grouping val="standard"/>
        <c:varyColors val="0"/>
        <c:ser>
          <c:idx val="2"/>
          <c:order val="0"/>
          <c:tx>
            <c:strRef>
              <c:f>濃度回帰式!$V$57</c:f>
              <c:strCache>
                <c:ptCount val="1"/>
                <c:pt idx="0">
                  <c:v>角度間隔ゆらぎCOS()</c:v>
                </c:pt>
              </c:strCache>
            </c:strRef>
          </c:tx>
          <c:spPr>
            <a:ln w="25400">
              <a:solidFill>
                <a:srgbClr val="0066FF"/>
              </a:solidFill>
              <a:prstDash val="solid"/>
            </a:ln>
          </c:spPr>
          <c:marker>
            <c:symbol val="none"/>
          </c:marker>
          <c:cat>
            <c:numRef>
              <c:f>濃度回帰式!$E$65:$E$148</c:f>
              <c:numCache>
                <c:formatCode>[$-411]m\.d\.ge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濃度回帰式!$V$65:$V$148</c:f>
              <c:numCache>
                <c:formatCode>0.00</c:formatCode>
                <c:ptCount val="84"/>
                <c:pt idx="0">
                  <c:v>0.17364817766693041</c:v>
                </c:pt>
                <c:pt idx="1">
                  <c:v>-0.7660444431189779</c:v>
                </c:pt>
                <c:pt idx="2">
                  <c:v>-1</c:v>
                </c:pt>
                <c:pt idx="3">
                  <c:v>-0.8660254037844386</c:v>
                </c:pt>
                <c:pt idx="4">
                  <c:v>-0.50000000000000044</c:v>
                </c:pt>
                <c:pt idx="5">
                  <c:v>-0.34202014332566855</c:v>
                </c:pt>
                <c:pt idx="6">
                  <c:v>-0.17364817766693033</c:v>
                </c:pt>
                <c:pt idx="7">
                  <c:v>0.17364817766692997</c:v>
                </c:pt>
                <c:pt idx="8">
                  <c:v>0.64278760968653925</c:v>
                </c:pt>
                <c:pt idx="9">
                  <c:v>0.76604444311897779</c:v>
                </c:pt>
                <c:pt idx="10">
                  <c:v>0.86602540378443837</c:v>
                </c:pt>
                <c:pt idx="11">
                  <c:v>0.93969262078590843</c:v>
                </c:pt>
                <c:pt idx="12">
                  <c:v>0.17364817766693041</c:v>
                </c:pt>
                <c:pt idx="13">
                  <c:v>-0.7660444431189779</c:v>
                </c:pt>
                <c:pt idx="14">
                  <c:v>-1</c:v>
                </c:pt>
                <c:pt idx="15">
                  <c:v>-0.8660254037844386</c:v>
                </c:pt>
                <c:pt idx="16">
                  <c:v>-0.50000000000000044</c:v>
                </c:pt>
                <c:pt idx="17">
                  <c:v>-0.34202014332566855</c:v>
                </c:pt>
                <c:pt idx="18">
                  <c:v>-0.17364817766693033</c:v>
                </c:pt>
                <c:pt idx="19">
                  <c:v>0.17364817766692997</c:v>
                </c:pt>
                <c:pt idx="20">
                  <c:v>0.64278760968653925</c:v>
                </c:pt>
                <c:pt idx="21">
                  <c:v>0.76604444311897779</c:v>
                </c:pt>
                <c:pt idx="22">
                  <c:v>0.86602540378443837</c:v>
                </c:pt>
                <c:pt idx="23">
                  <c:v>0.93969262078590843</c:v>
                </c:pt>
                <c:pt idx="24">
                  <c:v>0.17364817766693041</c:v>
                </c:pt>
                <c:pt idx="25">
                  <c:v>-0.7660444431189779</c:v>
                </c:pt>
                <c:pt idx="26">
                  <c:v>-1</c:v>
                </c:pt>
                <c:pt idx="27">
                  <c:v>-0.8660254037844386</c:v>
                </c:pt>
                <c:pt idx="28">
                  <c:v>-0.50000000000000044</c:v>
                </c:pt>
                <c:pt idx="29">
                  <c:v>-0.34202014332566855</c:v>
                </c:pt>
                <c:pt idx="30">
                  <c:v>-0.17364817766693033</c:v>
                </c:pt>
                <c:pt idx="31">
                  <c:v>0.17364817766692997</c:v>
                </c:pt>
                <c:pt idx="32">
                  <c:v>0.64278760968653925</c:v>
                </c:pt>
                <c:pt idx="33">
                  <c:v>0.76604444311897779</c:v>
                </c:pt>
                <c:pt idx="34">
                  <c:v>0.86602540378443837</c:v>
                </c:pt>
                <c:pt idx="35">
                  <c:v>0.93969262078590843</c:v>
                </c:pt>
                <c:pt idx="36">
                  <c:v>0.17364817766693041</c:v>
                </c:pt>
                <c:pt idx="37">
                  <c:v>-0.7660444431189779</c:v>
                </c:pt>
                <c:pt idx="38">
                  <c:v>-1</c:v>
                </c:pt>
                <c:pt idx="39">
                  <c:v>-0.8660254037844386</c:v>
                </c:pt>
                <c:pt idx="40">
                  <c:v>-0.50000000000000044</c:v>
                </c:pt>
                <c:pt idx="41">
                  <c:v>-0.34202014332566855</c:v>
                </c:pt>
                <c:pt idx="42">
                  <c:v>-0.17364817766693033</c:v>
                </c:pt>
                <c:pt idx="43">
                  <c:v>0.17364817766692997</c:v>
                </c:pt>
                <c:pt idx="44">
                  <c:v>0.64278760968653925</c:v>
                </c:pt>
                <c:pt idx="45">
                  <c:v>0.76604444311897779</c:v>
                </c:pt>
                <c:pt idx="46">
                  <c:v>0.86602540378443837</c:v>
                </c:pt>
                <c:pt idx="47">
                  <c:v>0.93969262078590843</c:v>
                </c:pt>
                <c:pt idx="48">
                  <c:v>0.17364817766693041</c:v>
                </c:pt>
                <c:pt idx="49">
                  <c:v>-0.7660444431189779</c:v>
                </c:pt>
                <c:pt idx="50">
                  <c:v>-1</c:v>
                </c:pt>
                <c:pt idx="51">
                  <c:v>-0.8660254037844386</c:v>
                </c:pt>
                <c:pt idx="52">
                  <c:v>-0.50000000000000044</c:v>
                </c:pt>
                <c:pt idx="53">
                  <c:v>-0.34202014332566855</c:v>
                </c:pt>
                <c:pt idx="54">
                  <c:v>-0.17364817766693033</c:v>
                </c:pt>
                <c:pt idx="55">
                  <c:v>0.17364817766692997</c:v>
                </c:pt>
                <c:pt idx="56">
                  <c:v>0.64278760968653925</c:v>
                </c:pt>
                <c:pt idx="57">
                  <c:v>0.76604444311897779</c:v>
                </c:pt>
                <c:pt idx="58">
                  <c:v>0.86602540378443837</c:v>
                </c:pt>
                <c:pt idx="59">
                  <c:v>0.93969262078590843</c:v>
                </c:pt>
                <c:pt idx="60">
                  <c:v>0.17364817766693041</c:v>
                </c:pt>
                <c:pt idx="61">
                  <c:v>-0.7660444431189779</c:v>
                </c:pt>
                <c:pt idx="62">
                  <c:v>-1</c:v>
                </c:pt>
                <c:pt idx="63">
                  <c:v>-0.8660254037844386</c:v>
                </c:pt>
                <c:pt idx="64">
                  <c:v>-0.50000000000000044</c:v>
                </c:pt>
                <c:pt idx="65">
                  <c:v>-0.34202014332566855</c:v>
                </c:pt>
                <c:pt idx="66">
                  <c:v>-0.17364817766693033</c:v>
                </c:pt>
                <c:pt idx="67">
                  <c:v>0.17364817766692997</c:v>
                </c:pt>
                <c:pt idx="68">
                  <c:v>0.64278760968653925</c:v>
                </c:pt>
                <c:pt idx="69">
                  <c:v>0.76604444311897779</c:v>
                </c:pt>
                <c:pt idx="70">
                  <c:v>0.86602540378443837</c:v>
                </c:pt>
                <c:pt idx="71">
                  <c:v>0.93969262078590843</c:v>
                </c:pt>
                <c:pt idx="72">
                  <c:v>0.17364817766693041</c:v>
                </c:pt>
                <c:pt idx="73">
                  <c:v>-0.7660444431189779</c:v>
                </c:pt>
                <c:pt idx="74">
                  <c:v>-1</c:v>
                </c:pt>
                <c:pt idx="75">
                  <c:v>-0.8660254037844386</c:v>
                </c:pt>
                <c:pt idx="76">
                  <c:v>-0.50000000000000044</c:v>
                </c:pt>
                <c:pt idx="77">
                  <c:v>-0.34202014332566855</c:v>
                </c:pt>
                <c:pt idx="78">
                  <c:v>-0.17364817766693033</c:v>
                </c:pt>
                <c:pt idx="79">
                  <c:v>0.17364817766692997</c:v>
                </c:pt>
                <c:pt idx="80">
                  <c:v>0.64278760968653925</c:v>
                </c:pt>
                <c:pt idx="81">
                  <c:v>0.76604444311897779</c:v>
                </c:pt>
                <c:pt idx="82">
                  <c:v>0.86602540378443837</c:v>
                </c:pt>
                <c:pt idx="83">
                  <c:v>0.93969262078590843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濃度回帰式!$Y$57</c:f>
              <c:strCache>
                <c:ptCount val="1"/>
                <c:pt idx="0">
                  <c:v>30°等間隔COS()</c:v>
                </c:pt>
              </c:strCache>
            </c:strRef>
          </c:tx>
          <c:spPr>
            <a:ln w="38100"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濃度回帰式!$E$65:$E$148</c:f>
              <c:numCache>
                <c:formatCode>[$-411]m\.d\.ge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濃度回帰式!$Y$65:$Y$148</c:f>
              <c:numCache>
                <c:formatCode>0.00</c:formatCode>
                <c:ptCount val="84"/>
                <c:pt idx="0">
                  <c:v>0.17364817766693041</c:v>
                </c:pt>
                <c:pt idx="1">
                  <c:v>-0.34202014332566871</c:v>
                </c:pt>
                <c:pt idx="2">
                  <c:v>-0.7660444431189779</c:v>
                </c:pt>
                <c:pt idx="3">
                  <c:v>-0.98480775301220802</c:v>
                </c:pt>
                <c:pt idx="4">
                  <c:v>-0.93969262078590843</c:v>
                </c:pt>
                <c:pt idx="5">
                  <c:v>-0.64278760968653947</c:v>
                </c:pt>
                <c:pt idx="6">
                  <c:v>-0.17364817766693033</c:v>
                </c:pt>
                <c:pt idx="7">
                  <c:v>0.34202014332566899</c:v>
                </c:pt>
                <c:pt idx="8">
                  <c:v>0.76604444311897779</c:v>
                </c:pt>
                <c:pt idx="9">
                  <c:v>0.98480775301220802</c:v>
                </c:pt>
                <c:pt idx="10">
                  <c:v>0.93969262078590832</c:v>
                </c:pt>
                <c:pt idx="11">
                  <c:v>0.64278760968653958</c:v>
                </c:pt>
                <c:pt idx="12">
                  <c:v>0.17364817766693044</c:v>
                </c:pt>
                <c:pt idx="13">
                  <c:v>-0.34202014332566805</c:v>
                </c:pt>
                <c:pt idx="14">
                  <c:v>-0.76604444311897835</c:v>
                </c:pt>
                <c:pt idx="15">
                  <c:v>-0.98480775301220802</c:v>
                </c:pt>
                <c:pt idx="16">
                  <c:v>-0.93969262078590865</c:v>
                </c:pt>
                <c:pt idx="17">
                  <c:v>-0.64278760968653903</c:v>
                </c:pt>
                <c:pt idx="18">
                  <c:v>-0.17364817766693058</c:v>
                </c:pt>
                <c:pt idx="19">
                  <c:v>0.34202014332566794</c:v>
                </c:pt>
                <c:pt idx="20">
                  <c:v>0.76604444311897824</c:v>
                </c:pt>
                <c:pt idx="21">
                  <c:v>0.98480775301220802</c:v>
                </c:pt>
                <c:pt idx="22">
                  <c:v>0.93969262078590865</c:v>
                </c:pt>
                <c:pt idx="23">
                  <c:v>0.64278760968653914</c:v>
                </c:pt>
                <c:pt idx="24">
                  <c:v>0.17364817766693069</c:v>
                </c:pt>
                <c:pt idx="25">
                  <c:v>-0.34202014332566782</c:v>
                </c:pt>
                <c:pt idx="26">
                  <c:v>-0.76604444311897812</c:v>
                </c:pt>
                <c:pt idx="27">
                  <c:v>-0.98480775301220802</c:v>
                </c:pt>
                <c:pt idx="28">
                  <c:v>-0.93969262078590876</c:v>
                </c:pt>
                <c:pt idx="29">
                  <c:v>-0.64278760968654058</c:v>
                </c:pt>
                <c:pt idx="30">
                  <c:v>-0.17364817766692905</c:v>
                </c:pt>
                <c:pt idx="31">
                  <c:v>0.34202014332566938</c:v>
                </c:pt>
                <c:pt idx="32">
                  <c:v>0.76604444311897812</c:v>
                </c:pt>
                <c:pt idx="33">
                  <c:v>0.98480775301220802</c:v>
                </c:pt>
                <c:pt idx="34">
                  <c:v>0.93969262078590876</c:v>
                </c:pt>
                <c:pt idx="35">
                  <c:v>0.6427876096865407</c:v>
                </c:pt>
                <c:pt idx="36">
                  <c:v>0.17364817766692919</c:v>
                </c:pt>
                <c:pt idx="37">
                  <c:v>-0.34202014332566927</c:v>
                </c:pt>
                <c:pt idx="38">
                  <c:v>-0.76604444311897801</c:v>
                </c:pt>
                <c:pt idx="39">
                  <c:v>-0.98480775301220791</c:v>
                </c:pt>
                <c:pt idx="40">
                  <c:v>-0.93969262078590887</c:v>
                </c:pt>
                <c:pt idx="41">
                  <c:v>-0.64278760968654081</c:v>
                </c:pt>
                <c:pt idx="42">
                  <c:v>-0.1736481776669293</c:v>
                </c:pt>
                <c:pt idx="43">
                  <c:v>0.34202014332566916</c:v>
                </c:pt>
                <c:pt idx="44">
                  <c:v>0.7660444431189779</c:v>
                </c:pt>
                <c:pt idx="45">
                  <c:v>0.98480775301220791</c:v>
                </c:pt>
                <c:pt idx="46">
                  <c:v>0.93969262078590887</c:v>
                </c:pt>
                <c:pt idx="47">
                  <c:v>0.64278760968654081</c:v>
                </c:pt>
                <c:pt idx="48">
                  <c:v>0.17364817766692942</c:v>
                </c:pt>
                <c:pt idx="49">
                  <c:v>-0.34202014332566905</c:v>
                </c:pt>
                <c:pt idx="50">
                  <c:v>-0.7660444431189779</c:v>
                </c:pt>
                <c:pt idx="51">
                  <c:v>-0.98480775301220791</c:v>
                </c:pt>
                <c:pt idx="52">
                  <c:v>-0.93969262078590887</c:v>
                </c:pt>
                <c:pt idx="53">
                  <c:v>-0.64278760968654092</c:v>
                </c:pt>
                <c:pt idx="54">
                  <c:v>-0.17364817766692955</c:v>
                </c:pt>
                <c:pt idx="55">
                  <c:v>0.34202014332566893</c:v>
                </c:pt>
                <c:pt idx="56">
                  <c:v>0.76604444311897779</c:v>
                </c:pt>
                <c:pt idx="57">
                  <c:v>0.98480775301220791</c:v>
                </c:pt>
                <c:pt idx="58">
                  <c:v>0.93969262078590898</c:v>
                </c:pt>
                <c:pt idx="59">
                  <c:v>0.64278760968653836</c:v>
                </c:pt>
                <c:pt idx="60">
                  <c:v>0.17364817766693316</c:v>
                </c:pt>
                <c:pt idx="61">
                  <c:v>-0.34202014332566882</c:v>
                </c:pt>
                <c:pt idx="62">
                  <c:v>-0.76604444311897546</c:v>
                </c:pt>
                <c:pt idx="63">
                  <c:v>-0.98480775301220791</c:v>
                </c:pt>
                <c:pt idx="64">
                  <c:v>-0.93969262078590776</c:v>
                </c:pt>
                <c:pt idx="65">
                  <c:v>-0.64278760968654114</c:v>
                </c:pt>
                <c:pt idx="66">
                  <c:v>-0.17364817766692978</c:v>
                </c:pt>
                <c:pt idx="67">
                  <c:v>0.34202014332566538</c:v>
                </c:pt>
                <c:pt idx="68">
                  <c:v>0.76604444311897757</c:v>
                </c:pt>
                <c:pt idx="69">
                  <c:v>0.98480775301220846</c:v>
                </c:pt>
                <c:pt idx="70">
                  <c:v>0.93969262078590898</c:v>
                </c:pt>
                <c:pt idx="71">
                  <c:v>0.64278760968653847</c:v>
                </c:pt>
                <c:pt idx="72">
                  <c:v>0.17364817766693341</c:v>
                </c:pt>
                <c:pt idx="73">
                  <c:v>-0.3420201433256686</c:v>
                </c:pt>
                <c:pt idx="74">
                  <c:v>-0.76604444311897979</c:v>
                </c:pt>
                <c:pt idx="75">
                  <c:v>-0.9848077530122078</c:v>
                </c:pt>
                <c:pt idx="76">
                  <c:v>-0.93969262078590787</c:v>
                </c:pt>
                <c:pt idx="77">
                  <c:v>-0.64278760968654136</c:v>
                </c:pt>
                <c:pt idx="78">
                  <c:v>-0.17364817766693003</c:v>
                </c:pt>
                <c:pt idx="79">
                  <c:v>0.3420201433256651</c:v>
                </c:pt>
                <c:pt idx="80">
                  <c:v>0.76604444311897746</c:v>
                </c:pt>
                <c:pt idx="81">
                  <c:v>0.98480775301220846</c:v>
                </c:pt>
                <c:pt idx="82">
                  <c:v>0.93969262078590909</c:v>
                </c:pt>
                <c:pt idx="83">
                  <c:v>0.6427876096865387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225792"/>
        <c:axId val="294227328"/>
      </c:lineChart>
      <c:catAx>
        <c:axId val="29422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227328"/>
        <c:crossesAt val="-1.5"/>
        <c:auto val="0"/>
        <c:lblAlgn val="ctr"/>
        <c:lblOffset val="0"/>
        <c:tickLblSkip val="12"/>
        <c:tickMarkSkip val="12"/>
        <c:noMultiLvlLbl val="0"/>
      </c:catAx>
      <c:valAx>
        <c:axId val="2942273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en-US" altLang="ja-JP" sz="800"/>
                  <a:t>cos(</a:t>
                </a:r>
                <a:r>
                  <a:rPr lang="ja-JP" altLang="en-US" sz="800"/>
                  <a:t>ラジアン</a:t>
                </a:r>
                <a:r>
                  <a:rPr lang="en-US" altLang="ja-JP" sz="800"/>
                  <a:t>)</a:t>
                </a:r>
                <a:endParaRPr lang="ja-JP" altLang="en-US" sz="800"/>
              </a:p>
            </c:rich>
          </c:tx>
          <c:layout>
            <c:manualLayout>
              <c:xMode val="edge"/>
              <c:yMode val="edge"/>
              <c:x val="3.9271653543307077E-2"/>
              <c:y val="9.975092957130359E-2"/>
            </c:manualLayout>
          </c:layout>
          <c:overlay val="0"/>
          <c:spPr>
            <a:solidFill>
              <a:schemeClr val="bg1"/>
            </a:solidFill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422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486329109523571"/>
          <c:y val="9.7222222222222623E-3"/>
          <c:w val="0.36205668578757977"/>
          <c:h val="0.14661658013272358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ばいじん</a:t>
            </a:r>
            <a:r>
              <a:rPr lang="en-US" altLang="ja-JP" sz="1200"/>
              <a:t>(</a:t>
            </a:r>
            <a:r>
              <a:rPr lang="ja-JP" altLang="en-US" sz="1200"/>
              <a:t>飛灰</a:t>
            </a:r>
            <a:r>
              <a:rPr lang="en-US" altLang="ja-JP" sz="1200"/>
              <a:t>)</a:t>
            </a:r>
            <a:r>
              <a:rPr lang="ja-JP" altLang="en-US" sz="1200"/>
              <a:t>中の</a:t>
            </a:r>
            <a:r>
              <a:rPr lang="en-US" altLang="ja-JP" sz="1200"/>
              <a:t>Cs</a:t>
            </a:r>
            <a:r>
              <a:rPr lang="ja-JP" altLang="en-US" sz="1200"/>
              <a:t>濃度の推移</a:t>
            </a:r>
          </a:p>
        </c:rich>
      </c:tx>
      <c:layout>
        <c:manualLayout>
          <c:xMode val="edge"/>
          <c:yMode val="edge"/>
          <c:x val="0.38475456202759467"/>
          <c:y val="2.893933021414886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15133804150769E-2"/>
          <c:y val="5.189028696994271E-2"/>
          <c:w val="0.88368121510584374"/>
          <c:h val="0.82916263374054988"/>
        </c:manualLayout>
      </c:layout>
      <c:lineChart>
        <c:grouping val="standard"/>
        <c:varyColors val="0"/>
        <c:ser>
          <c:idx val="3"/>
          <c:order val="0"/>
          <c:tx>
            <c:strRef>
              <c:f>まとめ!$U$29:$U$31</c:f>
              <c:strCache>
                <c:ptCount val="1"/>
                <c:pt idx="0">
                  <c:v>登米市クリーセンター ぱいじん(飛灰) 両Cs濃度 (Bq/kg)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まとめ!$U$32:$U$119</c:f>
              <c:numCache>
                <c:formatCode>0.0</c:formatCode>
                <c:ptCount val="88"/>
                <c:pt idx="4">
                  <c:v>630.3826873267376</c:v>
                </c:pt>
                <c:pt idx="5">
                  <c:v>901.8422191130644</c:v>
                </c:pt>
                <c:pt idx="6">
                  <c:v>923.01494694031942</c:v>
                </c:pt>
                <c:pt idx="7">
                  <c:v>834.31740588718594</c:v>
                </c:pt>
                <c:pt idx="8">
                  <c:v>687.72230665428515</c:v>
                </c:pt>
                <c:pt idx="9">
                  <c:v>609.25988758011749</c:v>
                </c:pt>
                <c:pt idx="10">
                  <c:v>535.99511148607758</c:v>
                </c:pt>
                <c:pt idx="11">
                  <c:v>426.38821413108906</c:v>
                </c:pt>
                <c:pt idx="12">
                  <c:v>300.78741054813747</c:v>
                </c:pt>
                <c:pt idx="13">
                  <c:v>259.30401940310543</c:v>
                </c:pt>
                <c:pt idx="14">
                  <c:v>226.15667170636385</c:v>
                </c:pt>
                <c:pt idx="15">
                  <c:v>201.76550753768947</c:v>
                </c:pt>
                <c:pt idx="16">
                  <c:v>330.18601994847938</c:v>
                </c:pt>
                <c:pt idx="17">
                  <c:v>476.30851165011535</c:v>
                </c:pt>
                <c:pt idx="18">
                  <c:v>491.70971013528998</c:v>
                </c:pt>
                <c:pt idx="19">
                  <c:v>448.34387149051156</c:v>
                </c:pt>
                <c:pt idx="20">
                  <c:v>372.94027140968387</c:v>
                </c:pt>
                <c:pt idx="21">
                  <c:v>333.4715936682822</c:v>
                </c:pt>
                <c:pt idx="22">
                  <c:v>296.13895729675068</c:v>
                </c:pt>
                <c:pt idx="23">
                  <c:v>237.91511840862859</c:v>
                </c:pt>
                <c:pt idx="24">
                  <c:v>169.4615582962243</c:v>
                </c:pt>
                <c:pt idx="25">
                  <c:v>147.63661867294724</c:v>
                </c:pt>
                <c:pt idx="26">
                  <c:v>130.13290162731019</c:v>
                </c:pt>
                <c:pt idx="27">
                  <c:v>110.58988241666015</c:v>
                </c:pt>
                <c:pt idx="28">
                  <c:v>194.0181434653982</c:v>
                </c:pt>
                <c:pt idx="29">
                  <c:v>282.87300061472951</c:v>
                </c:pt>
                <c:pt idx="30">
                  <c:v>295.36704641489291</c:v>
                </c:pt>
                <c:pt idx="31">
                  <c:v>272.30687909665448</c:v>
                </c:pt>
                <c:pt idx="32">
                  <c:v>229.20728484621819</c:v>
                </c:pt>
                <c:pt idx="33">
                  <c:v>207.36536758529215</c:v>
                </c:pt>
                <c:pt idx="34">
                  <c:v>186.28306591611772</c:v>
                </c:pt>
                <c:pt idx="35">
                  <c:v>151.47923689990967</c:v>
                </c:pt>
                <c:pt idx="36">
                  <c:v>109.16725817560001</c:v>
                </c:pt>
                <c:pt idx="37">
                  <c:v>96.27876189086389</c:v>
                </c:pt>
                <c:pt idx="38">
                  <c:v>85.905400064739084</c:v>
                </c:pt>
                <c:pt idx="39">
                  <c:v>73.81004177259932</c:v>
                </c:pt>
                <c:pt idx="40">
                  <c:v>131.07884803369211</c:v>
                </c:pt>
                <c:pt idx="41">
                  <c:v>193.39964665363544</c:v>
                </c:pt>
                <c:pt idx="42">
                  <c:v>204.41776726569734</c:v>
                </c:pt>
                <c:pt idx="43">
                  <c:v>190.66639916120934</c:v>
                </c:pt>
                <c:pt idx="44">
                  <c:v>162.44221386554545</c:v>
                </c:pt>
                <c:pt idx="45">
                  <c:v>148.73975546053126</c:v>
                </c:pt>
                <c:pt idx="46">
                  <c:v>135.14088155252125</c:v>
                </c:pt>
                <c:pt idx="47">
                  <c:v>111.17270332254857</c:v>
                </c:pt>
                <c:pt idx="48">
                  <c:v>81.026582682891046</c:v>
                </c:pt>
                <c:pt idx="49">
                  <c:v>72.266537821648853</c:v>
                </c:pt>
                <c:pt idx="50">
                  <c:v>65.189128753898515</c:v>
                </c:pt>
                <c:pt idx="51">
                  <c:v>56.554697056716236</c:v>
                </c:pt>
                <c:pt idx="52">
                  <c:v>101.52851376480915</c:v>
                </c:pt>
                <c:pt idx="53">
                  <c:v>151.32584986227815</c:v>
                </c:pt>
                <c:pt idx="54">
                  <c:v>161.57774390361274</c:v>
                </c:pt>
                <c:pt idx="55">
                  <c:v>152.19883985394588</c:v>
                </c:pt>
                <c:pt idx="56">
                  <c:v>130.92910312144616</c:v>
                </c:pt>
                <c:pt idx="57">
                  <c:v>121.05020225916665</c:v>
                </c:pt>
                <c:pt idx="58">
                  <c:v>110.96303675627071</c:v>
                </c:pt>
                <c:pt idx="59">
                  <c:v>92.113736678488678</c:v>
                </c:pt>
                <c:pt idx="60">
                  <c:v>67.688230115456179</c:v>
                </c:pt>
                <c:pt idx="61">
                  <c:v>60.878445429034926</c:v>
                </c:pt>
                <c:pt idx="62">
                  <c:v>55.373146267106094</c:v>
                </c:pt>
                <c:pt idx="63">
                  <c:v>48.394806812039299</c:v>
                </c:pt>
                <c:pt idx="64">
                  <c:v>87.530888699905148</c:v>
                </c:pt>
                <c:pt idx="65">
                  <c:v>131.38253733349438</c:v>
                </c:pt>
                <c:pt idx="66">
                  <c:v>141.30605586900046</c:v>
                </c:pt>
                <c:pt idx="67">
                  <c:v>133.95482047860639</c:v>
                </c:pt>
                <c:pt idx="68">
                  <c:v>115.97280890627778</c:v>
                </c:pt>
                <c:pt idx="69">
                  <c:v>107.85411785508643</c:v>
                </c:pt>
                <c:pt idx="70">
                  <c:v>99.444119682419895</c:v>
                </c:pt>
                <c:pt idx="71">
                  <c:v>83.014621638839003</c:v>
                </c:pt>
                <c:pt idx="72">
                  <c:v>61.55</c:v>
                </c:pt>
                <c:pt idx="73">
                  <c:v>61.55</c:v>
                </c:pt>
                <c:pt idx="74">
                  <c:v>56.305588804853343</c:v>
                </c:pt>
                <c:pt idx="75">
                  <c:v>49.419044560617621</c:v>
                </c:pt>
                <c:pt idx="76">
                  <c:v>89.782930563580479</c:v>
                </c:pt>
                <c:pt idx="77">
                  <c:v>135.3375247787713</c:v>
                </c:pt>
                <c:pt idx="78">
                  <c:v>146.09926896953857</c:v>
                </c:pt>
                <c:pt idx="79">
                  <c:v>139.04711804632811</c:v>
                </c:pt>
                <c:pt idx="80">
                  <c:v>120.81874847054345</c:v>
                </c:pt>
                <c:pt idx="81">
                  <c:v>112.76933018047444</c:v>
                </c:pt>
                <c:pt idx="82">
                  <c:v>104.31205028237866</c:v>
                </c:pt>
                <c:pt idx="83">
                  <c:v>87.366274920186086</c:v>
                </c:pt>
                <c:pt idx="84">
                  <c:v>64.682759383449394</c:v>
                </c:pt>
                <c:pt idx="85">
                  <c:v>58.626230893629184</c:v>
                </c:pt>
                <c:pt idx="86">
                  <c:v>53.724945825137524</c:v>
                </c:pt>
                <c:pt idx="87">
                  <c:v>47.268257629771895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まとめ!$S$30:$S$31</c:f>
              <c:strCache>
                <c:ptCount val="1"/>
                <c:pt idx="0">
                  <c:v>ぱいじん(飛灰) Cs134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まとめ!$S$32:$S$119</c:f>
              <c:numCache>
                <c:formatCode>0.00</c:formatCode>
                <c:ptCount val="88"/>
                <c:pt idx="4">
                  <c:v>189.1492619237128</c:v>
                </c:pt>
                <c:pt idx="5">
                  <c:v>265.32582809470125</c:v>
                </c:pt>
                <c:pt idx="6">
                  <c:v>265.99408836797113</c:v>
                </c:pt>
                <c:pt idx="7">
                  <c:v>235.59123208022621</c:v>
                </c:pt>
                <c:pt idx="8">
                  <c:v>190.10890120196697</c:v>
                </c:pt>
                <c:pt idx="9">
                  <c:v>164.82751148308677</c:v>
                </c:pt>
                <c:pt idx="10">
                  <c:v>141.98391286734153</c:v>
                </c:pt>
                <c:pt idx="11">
                  <c:v>110.4943215596721</c:v>
                </c:pt>
                <c:pt idx="12">
                  <c:v>76.28524670801518</c:v>
                </c:pt>
                <c:pt idx="13">
                  <c:v>64.305524878692765</c:v>
                </c:pt>
                <c:pt idx="14">
                  <c:v>54.827566445862971</c:v>
                </c:pt>
                <c:pt idx="15">
                  <c:v>47.921132052316338</c:v>
                </c:pt>
                <c:pt idx="16">
                  <c:v>76.648628774153138</c:v>
                </c:pt>
                <c:pt idx="17">
                  <c:v>108.13073964080313</c:v>
                </c:pt>
                <c:pt idx="18">
                  <c:v>109.06530512435889</c:v>
                </c:pt>
                <c:pt idx="19">
                  <c:v>97.22029465696815</c:v>
                </c:pt>
                <c:pt idx="20">
                  <c:v>78.996172817595024</c:v>
                </c:pt>
                <c:pt idx="21">
                  <c:v>69.00427953077029</c:v>
                </c:pt>
                <c:pt idx="22">
                  <c:v>59.900353194127426</c:v>
                </c:pt>
                <c:pt idx="23">
                  <c:v>47.012221892067032</c:v>
                </c:pt>
                <c:pt idx="24">
                  <c:v>32.737264117795156</c:v>
                </c:pt>
                <c:pt idx="25">
                  <c:v>27.86359083699254</c:v>
                </c:pt>
                <c:pt idx="26">
                  <c:v>23.998064750904817</c:v>
                </c:pt>
                <c:pt idx="27">
                  <c:v>19.976028879709268</c:v>
                </c:pt>
                <c:pt idx="28">
                  <c:v>34.260812848525752</c:v>
                </c:pt>
                <c:pt idx="29">
                  <c:v>48.878823036109871</c:v>
                </c:pt>
                <c:pt idx="30">
                  <c:v>49.922432182285412</c:v>
                </c:pt>
                <c:pt idx="31">
                  <c:v>45.062696770775368</c:v>
                </c:pt>
                <c:pt idx="32">
                  <c:v>37.122061521057752</c:v>
                </c:pt>
                <c:pt idx="33">
                  <c:v>32.887901590333492</c:v>
                </c:pt>
                <c:pt idx="34">
                  <c:v>28.962092095170934</c:v>
                </c:pt>
                <c:pt idx="35">
                  <c:v>23.083900748096323</c:v>
                </c:pt>
                <c:pt idx="36">
                  <c:v>16.324815257476736</c:v>
                </c:pt>
                <c:pt idx="37">
                  <c:v>14.127807891792886</c:v>
                </c:pt>
                <c:pt idx="38">
                  <c:v>12.377207104170848</c:v>
                </c:pt>
                <c:pt idx="39">
                  <c:v>10.466960491204389</c:v>
                </c:pt>
                <c:pt idx="40">
                  <c:v>18.276134003470681</c:v>
                </c:pt>
                <c:pt idx="41">
                  <c:v>26.544100987518036</c:v>
                </c:pt>
                <c:pt idx="42">
                  <c:v>27.625977348706101</c:v>
                </c:pt>
                <c:pt idx="43">
                  <c:v>25.399018228631643</c:v>
                </c:pt>
                <c:pt idx="44">
                  <c:v>21.334411469379123</c:v>
                </c:pt>
                <c:pt idx="45">
                  <c:v>19.275279963788559</c:v>
                </c:pt>
                <c:pt idx="46">
                  <c:v>17.300337172796311</c:v>
                </c:pt>
                <c:pt idx="47">
                  <c:v>14.063383424439795</c:v>
                </c:pt>
                <c:pt idx="48">
                  <c:v>10.139142774758746</c:v>
                </c:pt>
                <c:pt idx="49">
                  <c:v>8.9489955415968137</c:v>
                </c:pt>
                <c:pt idx="50">
                  <c:v>7.9947323224609255</c:v>
                </c:pt>
                <c:pt idx="51">
                  <c:v>6.8766064134320537</c:v>
                </c:pt>
                <c:pt idx="52">
                  <c:v>12.243821941116702</c:v>
                </c:pt>
                <c:pt idx="53">
                  <c:v>18.115508838317258</c:v>
                </c:pt>
                <c:pt idx="54">
                  <c:v>19.20613058152966</c:v>
                </c:pt>
                <c:pt idx="55">
                  <c:v>17.977721771492487</c:v>
                </c:pt>
                <c:pt idx="56">
                  <c:v>15.373896183414519</c:v>
                </c:pt>
                <c:pt idx="57">
                  <c:v>14.136035445145264</c:v>
                </c:pt>
                <c:pt idx="58">
                  <c:v>12.897657798246739</c:v>
                </c:pt>
                <c:pt idx="59">
                  <c:v>10.659573101200355</c:v>
                </c:pt>
                <c:pt idx="60">
                  <c:v>7.804334988072557</c:v>
                </c:pt>
                <c:pt idx="61">
                  <c:v>6.9942027888611022</c:v>
                </c:pt>
                <c:pt idx="62">
                  <c:v>6.3419098581509958</c:v>
                </c:pt>
                <c:pt idx="63">
                  <c:v>5.5291387076202438</c:v>
                </c:pt>
                <c:pt idx="64">
                  <c:v>9.9786479808740118</c:v>
                </c:pt>
                <c:pt idx="65">
                  <c:v>14.950287223123969</c:v>
                </c:pt>
                <c:pt idx="66">
                  <c:v>16.050534408509495</c:v>
                </c:pt>
                <c:pt idx="67">
                  <c:v>15.193546815947673</c:v>
                </c:pt>
                <c:pt idx="68">
                  <c:v>13.137848467393788</c:v>
                </c:pt>
                <c:pt idx="69">
                  <c:v>12.206458623601099</c:v>
                </c:pt>
                <c:pt idx="70">
                  <c:v>11.245373997709541</c:v>
                </c:pt>
                <c:pt idx="71">
                  <c:v>9.3819900235437323</c:v>
                </c:pt>
                <c:pt idx="72">
                  <c:v>6.9</c:v>
                </c:pt>
                <c:pt idx="73">
                  <c:v>6.9</c:v>
                </c:pt>
                <c:pt idx="74">
                  <c:v>6.1302825341810587</c:v>
                </c:pt>
                <c:pt idx="75">
                  <c:v>5.3804276712947088</c:v>
                </c:pt>
                <c:pt idx="76">
                  <c:v>9.7774472144205742</c:v>
                </c:pt>
                <c:pt idx="77">
                  <c:v>14.742475926357946</c:v>
                </c:pt>
                <c:pt idx="78">
                  <c:v>15.921909672371484</c:v>
                </c:pt>
                <c:pt idx="79">
                  <c:v>15.15538654696547</c:v>
                </c:pt>
                <c:pt idx="80">
                  <c:v>13.173213662236574</c:v>
                </c:pt>
                <c:pt idx="81">
                  <c:v>12.300014125741651</c:v>
                </c:pt>
                <c:pt idx="82">
                  <c:v>11.382002875124794</c:v>
                </c:pt>
                <c:pt idx="83">
                  <c:v>9.537715254249731</c:v>
                </c:pt>
                <c:pt idx="84">
                  <c:v>7.0672148298631186</c:v>
                </c:pt>
                <c:pt idx="85">
                  <c:v>6.4098982606657353</c:v>
                </c:pt>
                <c:pt idx="86">
                  <c:v>5.8774270143166785</c:v>
                </c:pt>
                <c:pt idx="87">
                  <c:v>5.174613915042916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まとめ!$T$30:$T$31</c:f>
              <c:strCache>
                <c:ptCount val="1"/>
                <c:pt idx="0">
                  <c:v>ぱいじん(飛灰) Cs137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まとめ!$T$32:$T$119</c:f>
              <c:numCache>
                <c:formatCode>0.00</c:formatCode>
                <c:ptCount val="88"/>
                <c:pt idx="4">
                  <c:v>441.2334254030248</c:v>
                </c:pt>
                <c:pt idx="5">
                  <c:v>636.51639101836315</c:v>
                </c:pt>
                <c:pt idx="6">
                  <c:v>657.02085857234829</c:v>
                </c:pt>
                <c:pt idx="7">
                  <c:v>598.72617380695976</c:v>
                </c:pt>
                <c:pt idx="8">
                  <c:v>497.61340545231815</c:v>
                </c:pt>
                <c:pt idx="9">
                  <c:v>444.43237609703078</c:v>
                </c:pt>
                <c:pt idx="10">
                  <c:v>394.01119861873599</c:v>
                </c:pt>
                <c:pt idx="11">
                  <c:v>315.89389257141698</c:v>
                </c:pt>
                <c:pt idx="12">
                  <c:v>224.50216384012231</c:v>
                </c:pt>
                <c:pt idx="13">
                  <c:v>194.99849452441265</c:v>
                </c:pt>
                <c:pt idx="14">
                  <c:v>171.32910526050088</c:v>
                </c:pt>
                <c:pt idx="15">
                  <c:v>153.84437548537315</c:v>
                </c:pt>
                <c:pt idx="16">
                  <c:v>253.53739117432625</c:v>
                </c:pt>
                <c:pt idx="17">
                  <c:v>368.17777200931221</c:v>
                </c:pt>
                <c:pt idx="18">
                  <c:v>382.64440501093111</c:v>
                </c:pt>
                <c:pt idx="19">
                  <c:v>351.12357683354344</c:v>
                </c:pt>
                <c:pt idx="20">
                  <c:v>293.94409859208884</c:v>
                </c:pt>
                <c:pt idx="21">
                  <c:v>264.46731413751189</c:v>
                </c:pt>
                <c:pt idx="22">
                  <c:v>236.23860410262324</c:v>
                </c:pt>
                <c:pt idx="23">
                  <c:v>190.90289651656155</c:v>
                </c:pt>
                <c:pt idx="24">
                  <c:v>136.72429417842915</c:v>
                </c:pt>
                <c:pt idx="25">
                  <c:v>119.77302783595469</c:v>
                </c:pt>
                <c:pt idx="26">
                  <c:v>106.13483687640537</c:v>
                </c:pt>
                <c:pt idx="27">
                  <c:v>90.61385353695087</c:v>
                </c:pt>
                <c:pt idx="28">
                  <c:v>159.75733061687245</c:v>
                </c:pt>
                <c:pt idx="29">
                  <c:v>233.99417757861966</c:v>
                </c:pt>
                <c:pt idx="30">
                  <c:v>245.44461423260751</c:v>
                </c:pt>
                <c:pt idx="31">
                  <c:v>227.24418232587911</c:v>
                </c:pt>
                <c:pt idx="32">
                  <c:v>192.08522332516043</c:v>
                </c:pt>
                <c:pt idx="33">
                  <c:v>174.47746599495866</c:v>
                </c:pt>
                <c:pt idx="34">
                  <c:v>157.32097382094679</c:v>
                </c:pt>
                <c:pt idx="35">
                  <c:v>128.39533615181335</c:v>
                </c:pt>
                <c:pt idx="36">
                  <c:v>92.842442918123282</c:v>
                </c:pt>
                <c:pt idx="37">
                  <c:v>82.150953999071007</c:v>
                </c:pt>
                <c:pt idx="38">
                  <c:v>73.528192960568234</c:v>
                </c:pt>
                <c:pt idx="39">
                  <c:v>63.34308128139493</c:v>
                </c:pt>
                <c:pt idx="40">
                  <c:v>112.80271403022144</c:v>
                </c:pt>
                <c:pt idx="41">
                  <c:v>166.85554566611742</c:v>
                </c:pt>
                <c:pt idx="42">
                  <c:v>176.79178991699123</c:v>
                </c:pt>
                <c:pt idx="43">
                  <c:v>165.26738093257771</c:v>
                </c:pt>
                <c:pt idx="44">
                  <c:v>141.10780239616633</c:v>
                </c:pt>
                <c:pt idx="45">
                  <c:v>129.46447549674269</c:v>
                </c:pt>
                <c:pt idx="46">
                  <c:v>117.84054437972495</c:v>
                </c:pt>
                <c:pt idx="47">
                  <c:v>97.10931989810878</c:v>
                </c:pt>
                <c:pt idx="48">
                  <c:v>70.887439908132293</c:v>
                </c:pt>
                <c:pt idx="49">
                  <c:v>63.317542280052045</c:v>
                </c:pt>
                <c:pt idx="50">
                  <c:v>57.194396431437589</c:v>
                </c:pt>
                <c:pt idx="51">
                  <c:v>49.678090643284186</c:v>
                </c:pt>
                <c:pt idx="52">
                  <c:v>89.284691823692441</c:v>
                </c:pt>
                <c:pt idx="53">
                  <c:v>133.21034102396089</c:v>
                </c:pt>
                <c:pt idx="54">
                  <c:v>142.37161332208308</c:v>
                </c:pt>
                <c:pt idx="55">
                  <c:v>134.22111808245339</c:v>
                </c:pt>
                <c:pt idx="56">
                  <c:v>115.55520693803163</c:v>
                </c:pt>
                <c:pt idx="57">
                  <c:v>106.91416681402139</c:v>
                </c:pt>
                <c:pt idx="58">
                  <c:v>98.06537895802397</c:v>
                </c:pt>
                <c:pt idx="59">
                  <c:v>81.454163577288327</c:v>
                </c:pt>
                <c:pt idx="60">
                  <c:v>59.883895127383624</c:v>
                </c:pt>
                <c:pt idx="61">
                  <c:v>53.884242640173824</c:v>
                </c:pt>
                <c:pt idx="62">
                  <c:v>49.031236408955095</c:v>
                </c:pt>
                <c:pt idx="63">
                  <c:v>42.865668104419058</c:v>
                </c:pt>
                <c:pt idx="64">
                  <c:v>77.552240719031133</c:v>
                </c:pt>
                <c:pt idx="65">
                  <c:v>116.4322501103704</c:v>
                </c:pt>
                <c:pt idx="66">
                  <c:v>125.25552146049097</c:v>
                </c:pt>
                <c:pt idx="67">
                  <c:v>118.76127366265872</c:v>
                </c:pt>
                <c:pt idx="68">
                  <c:v>102.83496043888398</c:v>
                </c:pt>
                <c:pt idx="69">
                  <c:v>95.647659231485335</c:v>
                </c:pt>
                <c:pt idx="70">
                  <c:v>88.19874568471036</c:v>
                </c:pt>
                <c:pt idx="71">
                  <c:v>73.632631615295267</c:v>
                </c:pt>
                <c:pt idx="72">
                  <c:v>54.65</c:v>
                </c:pt>
                <c:pt idx="73">
                  <c:v>54.65</c:v>
                </c:pt>
                <c:pt idx="74">
                  <c:v>50.175306270672287</c:v>
                </c:pt>
                <c:pt idx="75">
                  <c:v>44.03861688932291</c:v>
                </c:pt>
                <c:pt idx="76">
                  <c:v>80.005483349159903</c:v>
                </c:pt>
                <c:pt idx="77">
                  <c:v>120.59504885241336</c:v>
                </c:pt>
                <c:pt idx="78">
                  <c:v>130.1773592971671</c:v>
                </c:pt>
                <c:pt idx="79">
                  <c:v>123.89173149936265</c:v>
                </c:pt>
                <c:pt idx="80">
                  <c:v>107.64553480830688</c:v>
                </c:pt>
                <c:pt idx="81">
                  <c:v>100.46931605473279</c:v>
                </c:pt>
                <c:pt idx="82">
                  <c:v>92.930047407253866</c:v>
                </c:pt>
                <c:pt idx="83">
                  <c:v>77.828559665936353</c:v>
                </c:pt>
                <c:pt idx="84">
                  <c:v>57.615544553586275</c:v>
                </c:pt>
                <c:pt idx="85">
                  <c:v>52.21633263296345</c:v>
                </c:pt>
                <c:pt idx="86">
                  <c:v>47.847518810820844</c:v>
                </c:pt>
                <c:pt idx="87">
                  <c:v>42.093643714728977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414976"/>
        <c:axId val="292417920"/>
      </c:lineChart>
      <c:dateAx>
        <c:axId val="292414976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417920"/>
        <c:crossesAt val="1E-3"/>
        <c:auto val="0"/>
        <c:lblOffset val="100"/>
        <c:baseTimeUnit val="days"/>
        <c:majorUnit val="6"/>
        <c:majorTimeUnit val="months"/>
        <c:minorUnit val="2"/>
      </c:dateAx>
      <c:valAx>
        <c:axId val="292417920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Bq/kg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1.0081913563071301E-2"/>
              <c:y val="0.45516736288331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4149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961955513136615"/>
          <c:y val="0.12166120656812317"/>
          <c:w val="0.61638502257924832"/>
          <c:h val="0.15607391873870524"/>
        </c:manualLayout>
      </c:layout>
      <c:overlay val="0"/>
      <c:spPr>
        <a:noFill/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焼却灰</a:t>
            </a:r>
            <a:r>
              <a:rPr lang="en-US" altLang="ja-JP" sz="1200"/>
              <a:t>(</a:t>
            </a:r>
            <a:r>
              <a:rPr lang="ja-JP" altLang="en-US" sz="1200"/>
              <a:t>主灰</a:t>
            </a:r>
            <a:r>
              <a:rPr lang="en-US" altLang="ja-JP" sz="1200"/>
              <a:t>)</a:t>
            </a:r>
            <a:r>
              <a:rPr lang="ja-JP" altLang="en-US" sz="1200"/>
              <a:t>中の</a:t>
            </a:r>
            <a:r>
              <a:rPr lang="en-US" altLang="ja-JP" sz="1200"/>
              <a:t>Cs</a:t>
            </a:r>
            <a:r>
              <a:rPr lang="ja-JP" altLang="en-US" sz="1200"/>
              <a:t>濃度の推移</a:t>
            </a:r>
          </a:p>
        </c:rich>
      </c:tx>
      <c:layout>
        <c:manualLayout>
          <c:xMode val="edge"/>
          <c:yMode val="edge"/>
          <c:x val="0.38475456202759467"/>
          <c:y val="2.893933021414886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15133804150769E-2"/>
          <c:y val="5.189028696994271E-2"/>
          <c:w val="0.88368121510584374"/>
          <c:h val="0.82916263374054988"/>
        </c:manualLayout>
      </c:layout>
      <c:lineChart>
        <c:grouping val="standard"/>
        <c:varyColors val="0"/>
        <c:ser>
          <c:idx val="3"/>
          <c:order val="0"/>
          <c:tx>
            <c:strRef>
              <c:f>まとめ!$X$29:$X$31</c:f>
              <c:strCache>
                <c:ptCount val="1"/>
                <c:pt idx="0">
                  <c:v>登米市クリーセンター 焼却灰(主灰)※ 両Cs濃度 (Bq/kg)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まとめ!$X$32:$X$119</c:f>
              <c:numCache>
                <c:formatCode>0.0</c:formatCode>
                <c:ptCount val="88"/>
                <c:pt idx="4">
                  <c:v>103.10969560427156</c:v>
                </c:pt>
                <c:pt idx="5">
                  <c:v>147.51146972351938</c:v>
                </c:pt>
                <c:pt idx="6">
                  <c:v>150.97462562115086</c:v>
                </c:pt>
                <c:pt idx="7">
                  <c:v>136.46665031868878</c:v>
                </c:pt>
                <c:pt idx="8">
                  <c:v>112.48855516654854</c:v>
                </c:pt>
                <c:pt idx="9">
                  <c:v>99.654706284339454</c:v>
                </c:pt>
                <c:pt idx="10">
                  <c:v>87.67101936932103</c:v>
                </c:pt>
                <c:pt idx="11">
                  <c:v>69.742967013809988</c:v>
                </c:pt>
                <c:pt idx="12">
                  <c:v>49.198842174325776</c:v>
                </c:pt>
                <c:pt idx="13">
                  <c:v>42.413535535058607</c:v>
                </c:pt>
                <c:pt idx="14">
                  <c:v>36.991729067635013</c:v>
                </c:pt>
                <c:pt idx="15">
                  <c:v>33.002143751561313</c:v>
                </c:pt>
                <c:pt idx="16">
                  <c:v>54.007479415479843</c:v>
                </c:pt>
                <c:pt idx="17">
                  <c:v>77.908271653582815</c:v>
                </c:pt>
                <c:pt idx="18">
                  <c:v>80.427396813065869</c:v>
                </c:pt>
                <c:pt idx="19">
                  <c:v>73.334184210338663</c:v>
                </c:pt>
                <c:pt idx="20">
                  <c:v>61.000656643502836</c:v>
                </c:pt>
                <c:pt idx="21">
                  <c:v>54.544890281839301</c:v>
                </c:pt>
                <c:pt idx="22">
                  <c:v>48.438509428174783</c:v>
                </c:pt>
                <c:pt idx="23">
                  <c:v>38.915020878504741</c:v>
                </c:pt>
                <c:pt idx="24">
                  <c:v>27.718289292885675</c:v>
                </c:pt>
                <c:pt idx="25">
                  <c:v>24.148453181616798</c:v>
                </c:pt>
                <c:pt idx="26">
                  <c:v>21.285425733682658</c:v>
                </c:pt>
                <c:pt idx="27">
                  <c:v>18.088836102479615</c:v>
                </c:pt>
                <c:pt idx="28">
                  <c:v>31.734931997036433</c:v>
                </c:pt>
                <c:pt idx="29">
                  <c:v>46.268638994100392</c:v>
                </c:pt>
                <c:pt idx="30">
                  <c:v>48.312250414940294</c:v>
                </c:pt>
                <c:pt idx="31">
                  <c:v>44.540372029684576</c:v>
                </c:pt>
                <c:pt idx="32">
                  <c:v>37.490708177595458</c:v>
                </c:pt>
                <c:pt idx="33">
                  <c:v>33.918095088016017</c:v>
                </c:pt>
                <c:pt idx="34">
                  <c:v>30.469729910088326</c:v>
                </c:pt>
                <c:pt idx="35">
                  <c:v>24.776978050194227</c:v>
                </c:pt>
                <c:pt idx="36">
                  <c:v>17.856141970162913</c:v>
                </c:pt>
                <c:pt idx="37">
                  <c:v>15.748011535376525</c:v>
                </c:pt>
                <c:pt idx="38">
                  <c:v>14.051273662037197</c:v>
                </c:pt>
                <c:pt idx="39">
                  <c:v>12.072874291623151</c:v>
                </c:pt>
                <c:pt idx="40">
                  <c:v>21.440151185350146</c:v>
                </c:pt>
                <c:pt idx="41">
                  <c:v>31.633766436377542</c:v>
                </c:pt>
                <c:pt idx="42">
                  <c:v>33.435965458147322</c:v>
                </c:pt>
                <c:pt idx="43">
                  <c:v>31.186697818185745</c:v>
                </c:pt>
                <c:pt idx="44">
                  <c:v>26.570157400720149</c:v>
                </c:pt>
                <c:pt idx="45">
                  <c:v>24.328889765083289</c:v>
                </c:pt>
                <c:pt idx="46">
                  <c:v>22.104565116889056</c:v>
                </c:pt>
                <c:pt idx="47">
                  <c:v>18.184166268434531</c:v>
                </c:pt>
                <c:pt idx="48">
                  <c:v>13.253260986142688</c:v>
                </c:pt>
                <c:pt idx="49">
                  <c:v>11.820408248779556</c:v>
                </c:pt>
                <c:pt idx="50">
                  <c:v>10.66277890820027</c:v>
                </c:pt>
                <c:pt idx="51">
                  <c:v>9.2504723174406074</c:v>
                </c:pt>
                <c:pt idx="52">
                  <c:v>16.606696788957869</c:v>
                </c:pt>
                <c:pt idx="53">
                  <c:v>24.751889019232898</c:v>
                </c:pt>
                <c:pt idx="54">
                  <c:v>26.428758792500254</c:v>
                </c:pt>
                <c:pt idx="55">
                  <c:v>24.894681221677661</c:v>
                </c:pt>
                <c:pt idx="56">
                  <c:v>21.4156578852796</c:v>
                </c:pt>
                <c:pt idx="57">
                  <c:v>19.7997974225914</c:v>
                </c:pt>
                <c:pt idx="58">
                  <c:v>18.149871773579378</c:v>
                </c:pt>
                <c:pt idx="59">
                  <c:v>15.066751579375337</c:v>
                </c:pt>
                <c:pt idx="60">
                  <c:v>11.071548986844371</c:v>
                </c:pt>
                <c:pt idx="61">
                  <c:v>9.9576941169951496</c:v>
                </c:pt>
                <c:pt idx="62">
                  <c:v>9.0572098045148</c:v>
                </c:pt>
                <c:pt idx="63">
                  <c:v>7.9157849660780988</c:v>
                </c:pt>
                <c:pt idx="64">
                  <c:v>14.31714967949404</c:v>
                </c:pt>
                <c:pt idx="65">
                  <c:v>21.48982468034043</c:v>
                </c:pt>
                <c:pt idx="66">
                  <c:v>23.112983114241125</c:v>
                </c:pt>
                <c:pt idx="67">
                  <c:v>21.91056487107322</c:v>
                </c:pt>
                <c:pt idx="68">
                  <c:v>18.969304305307912</c:v>
                </c:pt>
                <c:pt idx="69">
                  <c:v>17.641355775275439</c:v>
                </c:pt>
                <c:pt idx="70">
                  <c:v>16.265759063865964</c:v>
                </c:pt>
                <c:pt idx="71">
                  <c:v>13.578438208992054</c:v>
                </c:pt>
                <c:pt idx="72">
                  <c:v>10.067538166944409</c:v>
                </c:pt>
                <c:pt idx="73">
                  <c:v>10.067538166944409</c:v>
                </c:pt>
                <c:pt idx="74">
                  <c:v>9.2097264712451494</c:v>
                </c:pt>
                <c:pt idx="75">
                  <c:v>8.0833162841258233</c:v>
                </c:pt>
                <c:pt idx="76">
                  <c:v>14.685509020129427</c:v>
                </c:pt>
                <c:pt idx="77">
                  <c:v>22.136729425346303</c:v>
                </c:pt>
                <c:pt idx="78">
                  <c:v>23.896993769512701</c:v>
                </c:pt>
                <c:pt idx="79">
                  <c:v>22.743495823477385</c:v>
                </c:pt>
                <c:pt idx="80">
                  <c:v>19.761939260920435</c:v>
                </c:pt>
                <c:pt idx="81">
                  <c:v>18.445321456582981</c:v>
                </c:pt>
                <c:pt idx="82">
                  <c:v>17.061991023396775</c:v>
                </c:pt>
                <c:pt idx="83">
                  <c:v>14.29022432595827</c:v>
                </c:pt>
                <c:pt idx="84">
                  <c:v>10.579953677273085</c:v>
                </c:pt>
                <c:pt idx="85">
                  <c:v>9.5893065329928078</c:v>
                </c:pt>
                <c:pt idx="86">
                  <c:v>8.7876188888967128</c:v>
                </c:pt>
                <c:pt idx="87">
                  <c:v>7.7315188915140514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まとめ!$V$30:$V$31</c:f>
              <c:strCache>
                <c:ptCount val="1"/>
                <c:pt idx="0">
                  <c:v>焼却灰(主灰)※ Cs134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まとめ!$V$32:$V$119</c:f>
              <c:numCache>
                <c:formatCode>0.00</c:formatCode>
                <c:ptCount val="88"/>
                <c:pt idx="4">
                  <c:v>30.938544494985273</c:v>
                </c:pt>
                <c:pt idx="5">
                  <c:v>43.398503672128939</c:v>
                </c:pt>
                <c:pt idx="6">
                  <c:v>43.507808884258871</c:v>
                </c:pt>
                <c:pt idx="7">
                  <c:v>38.534910166777181</c:v>
                </c:pt>
                <c:pt idx="8">
                  <c:v>31.095509646249656</c:v>
                </c:pt>
                <c:pt idx="9">
                  <c:v>26.960312962119318</c:v>
                </c:pt>
                <c:pt idx="10">
                  <c:v>23.2238580322351</c:v>
                </c:pt>
                <c:pt idx="11">
                  <c:v>18.073205516370876</c:v>
                </c:pt>
                <c:pt idx="12">
                  <c:v>12.47773570768015</c:v>
                </c:pt>
                <c:pt idx="13">
                  <c:v>10.51825062650906</c:v>
                </c:pt>
                <c:pt idx="14">
                  <c:v>8.9679710445882392</c:v>
                </c:pt>
                <c:pt idx="15">
                  <c:v>7.8383074888688515</c:v>
                </c:pt>
                <c:pt idx="16">
                  <c:v>12.537172959020962</c:v>
                </c:pt>
                <c:pt idx="17">
                  <c:v>17.686601922887316</c:v>
                </c:pt>
                <c:pt idx="18">
                  <c:v>17.839465833126251</c:v>
                </c:pt>
                <c:pt idx="19">
                  <c:v>15.902015061910779</c:v>
                </c:pt>
                <c:pt idx="20">
                  <c:v>12.921153288118187</c:v>
                </c:pt>
                <c:pt idx="21">
                  <c:v>11.286811013136163</c:v>
                </c:pt>
                <c:pt idx="22">
                  <c:v>9.7977106741726789</c:v>
                </c:pt>
                <c:pt idx="23">
                  <c:v>7.6896399384442624</c:v>
                </c:pt>
                <c:pt idx="24">
                  <c:v>5.3547303978430945</c:v>
                </c:pt>
                <c:pt idx="25">
                  <c:v>4.5575591262314363</c:v>
                </c:pt>
                <c:pt idx="26">
                  <c:v>3.9252872918365154</c:v>
                </c:pt>
                <c:pt idx="27">
                  <c:v>3.2674156485858137</c:v>
                </c:pt>
                <c:pt idx="28">
                  <c:v>5.6039324286445558</c:v>
                </c:pt>
                <c:pt idx="29">
                  <c:v>7.9949539637913523</c:v>
                </c:pt>
                <c:pt idx="30">
                  <c:v>8.1656537998676235</c:v>
                </c:pt>
                <c:pt idx="31">
                  <c:v>7.3707623013033894</c:v>
                </c:pt>
                <c:pt idx="32">
                  <c:v>6.0719377936459358</c:v>
                </c:pt>
                <c:pt idx="33">
                  <c:v>5.3793696911680611</c:v>
                </c:pt>
                <c:pt idx="34">
                  <c:v>4.7372374908642136</c:v>
                </c:pt>
                <c:pt idx="35">
                  <c:v>3.7757603870579421</c:v>
                </c:pt>
                <c:pt idx="36">
                  <c:v>2.6701982237686996</c:v>
                </c:pt>
                <c:pt idx="37">
                  <c:v>2.3108407013141075</c:v>
                </c:pt>
                <c:pt idx="38">
                  <c:v>2.0245004861318523</c:v>
                </c:pt>
                <c:pt idx="39">
                  <c:v>1.7120475099447505</c:v>
                </c:pt>
                <c:pt idx="40">
                  <c:v>2.9893692384099366</c:v>
                </c:pt>
                <c:pt idx="41">
                  <c:v>4.34173435904248</c:v>
                </c:pt>
                <c:pt idx="42">
                  <c:v>4.5186934420347749</c:v>
                </c:pt>
                <c:pt idx="43">
                  <c:v>4.1544368061684134</c:v>
                </c:pt>
                <c:pt idx="44">
                  <c:v>3.4896019778598033</c:v>
                </c:pt>
                <c:pt idx="45">
                  <c:v>3.1527963722823751</c:v>
                </c:pt>
                <c:pt idx="46">
                  <c:v>2.8297612475732574</c:v>
                </c:pt>
                <c:pt idx="47">
                  <c:v>2.3003029956445329</c:v>
                </c:pt>
                <c:pt idx="48">
                  <c:v>1.6584274064172595</c:v>
                </c:pt>
                <c:pt idx="49">
                  <c:v>1.4637588005010769</c:v>
                </c:pt>
                <c:pt idx="50">
                  <c:v>1.3076729941653857</c:v>
                </c:pt>
                <c:pt idx="51">
                  <c:v>1.1247846876731422</c:v>
                </c:pt>
                <c:pt idx="52">
                  <c:v>2.0026830983178519</c:v>
                </c:pt>
                <c:pt idx="53">
                  <c:v>2.9630962899005326</c:v>
                </c:pt>
                <c:pt idx="54">
                  <c:v>3.1414858272764921</c:v>
                </c:pt>
                <c:pt idx="55">
                  <c:v>2.9405588966565079</c:v>
                </c:pt>
                <c:pt idx="56">
                  <c:v>2.5146594086298402</c:v>
                </c:pt>
                <c:pt idx="57">
                  <c:v>2.3121864561052634</c:v>
                </c:pt>
                <c:pt idx="58">
                  <c:v>2.1096289544766407</c:v>
                </c:pt>
                <c:pt idx="59">
                  <c:v>1.7435525432927466</c:v>
                </c:pt>
                <c:pt idx="60">
                  <c:v>1.2765303064181983</c:v>
                </c:pt>
                <c:pt idx="61">
                  <c:v>1.1440195536020825</c:v>
                </c:pt>
                <c:pt idx="62">
                  <c:v>1.0373260690212212</c:v>
                </c:pt>
                <c:pt idx="63">
                  <c:v>0.90438367131269681</c:v>
                </c:pt>
                <c:pt idx="64">
                  <c:v>1.6321757823225327</c:v>
                </c:pt>
                <c:pt idx="65">
                  <c:v>2.4453710353465783</c:v>
                </c:pt>
                <c:pt idx="66">
                  <c:v>2.6253349757518092</c:v>
                </c:pt>
                <c:pt idx="67">
                  <c:v>2.4851602349441091</c:v>
                </c:pt>
                <c:pt idx="68">
                  <c:v>2.148916179967816</c:v>
                </c:pt>
                <c:pt idx="69">
                  <c:v>1.9965716990468203</c:v>
                </c:pt>
                <c:pt idx="70">
                  <c:v>1.8393701368562962</c:v>
                </c:pt>
                <c:pt idx="71">
                  <c:v>1.5345823337760878</c:v>
                </c:pt>
                <c:pt idx="72">
                  <c:v>1.1286111023869445</c:v>
                </c:pt>
                <c:pt idx="73">
                  <c:v>1.1286111023869445</c:v>
                </c:pt>
                <c:pt idx="74">
                  <c:v>1.0027108592529732</c:v>
                </c:pt>
                <c:pt idx="75">
                  <c:v>0.88005947904538284</c:v>
                </c:pt>
                <c:pt idx="76">
                  <c:v>1.5992660114778787</c:v>
                </c:pt>
                <c:pt idx="77">
                  <c:v>2.4113800010376565</c:v>
                </c:pt>
                <c:pt idx="78">
                  <c:v>2.6042962358609469</c:v>
                </c:pt>
                <c:pt idx="79">
                  <c:v>2.4789184808508646</c:v>
                </c:pt>
                <c:pt idx="80">
                  <c:v>2.1547007526544313</c:v>
                </c:pt>
                <c:pt idx="81">
                  <c:v>2.011874275627286</c:v>
                </c:pt>
                <c:pt idx="82">
                  <c:v>1.8617180887341978</c:v>
                </c:pt>
                <c:pt idx="83">
                  <c:v>1.5600538155581978</c:v>
                </c:pt>
                <c:pt idx="84">
                  <c:v>1.1559619014401703</c:v>
                </c:pt>
                <c:pt idx="85">
                  <c:v>1.048446716254799</c:v>
                </c:pt>
                <c:pt idx="86">
                  <c:v>0.9613520843227179</c:v>
                </c:pt>
                <c:pt idx="87">
                  <c:v>0.84639517609904458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まとめ!$W$30:$W$31</c:f>
              <c:strCache>
                <c:ptCount val="1"/>
                <c:pt idx="0">
                  <c:v>焼却灰(主灰)※ Cs137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まとめ!$W$32:$W$119</c:f>
              <c:numCache>
                <c:formatCode>0.00</c:formatCode>
                <c:ptCount val="88"/>
                <c:pt idx="4">
                  <c:v>72.171151109286285</c:v>
                </c:pt>
                <c:pt idx="5">
                  <c:v>104.11296605139046</c:v>
                </c:pt>
                <c:pt idx="6">
                  <c:v>107.46681673689199</c:v>
                </c:pt>
                <c:pt idx="7">
                  <c:v>97.931740151911612</c:v>
                </c:pt>
                <c:pt idx="8">
                  <c:v>81.393045520298884</c:v>
                </c:pt>
                <c:pt idx="9">
                  <c:v>72.694393322220137</c:v>
                </c:pt>
                <c:pt idx="10">
                  <c:v>64.44716133708593</c:v>
                </c:pt>
                <c:pt idx="11">
                  <c:v>51.669761497439119</c:v>
                </c:pt>
                <c:pt idx="12">
                  <c:v>36.721106466645629</c:v>
                </c:pt>
                <c:pt idx="13">
                  <c:v>31.895284908549549</c:v>
                </c:pt>
                <c:pt idx="14">
                  <c:v>28.023758023046774</c:v>
                </c:pt>
                <c:pt idx="15">
                  <c:v>25.163836262692463</c:v>
                </c:pt>
                <c:pt idx="16">
                  <c:v>41.470306456458879</c:v>
                </c:pt>
                <c:pt idx="17">
                  <c:v>60.221669730695496</c:v>
                </c:pt>
                <c:pt idx="18">
                  <c:v>62.587930979939621</c:v>
                </c:pt>
                <c:pt idx="19">
                  <c:v>57.432169148427889</c:v>
                </c:pt>
                <c:pt idx="20">
                  <c:v>48.079503355384645</c:v>
                </c:pt>
                <c:pt idx="21">
                  <c:v>43.258079268703135</c:v>
                </c:pt>
                <c:pt idx="22">
                  <c:v>38.640798754002105</c:v>
                </c:pt>
                <c:pt idx="23">
                  <c:v>31.225380940060479</c:v>
                </c:pt>
                <c:pt idx="24">
                  <c:v>22.36355889504258</c:v>
                </c:pt>
                <c:pt idx="25">
                  <c:v>19.590894055385363</c:v>
                </c:pt>
                <c:pt idx="26">
                  <c:v>17.360138441846143</c:v>
                </c:pt>
                <c:pt idx="27">
                  <c:v>14.821420453893802</c:v>
                </c:pt>
                <c:pt idx="28">
                  <c:v>26.130999568391879</c:v>
                </c:pt>
                <c:pt idx="29">
                  <c:v>38.273685030309039</c:v>
                </c:pt>
                <c:pt idx="30">
                  <c:v>40.146596615072674</c:v>
                </c:pt>
                <c:pt idx="31">
                  <c:v>37.169609728381189</c:v>
                </c:pt>
                <c:pt idx="32">
                  <c:v>31.418770383949525</c:v>
                </c:pt>
                <c:pt idx="33">
                  <c:v>28.538725396847955</c:v>
                </c:pt>
                <c:pt idx="34">
                  <c:v>25.732492419224112</c:v>
                </c:pt>
                <c:pt idx="35">
                  <c:v>21.001217663136284</c:v>
                </c:pt>
                <c:pt idx="36">
                  <c:v>15.185943746394214</c:v>
                </c:pt>
                <c:pt idx="37">
                  <c:v>13.437170834062417</c:v>
                </c:pt>
                <c:pt idx="38">
                  <c:v>12.026773175905344</c:v>
                </c:pt>
                <c:pt idx="39">
                  <c:v>10.3608267816784</c:v>
                </c:pt>
                <c:pt idx="40">
                  <c:v>18.450781946940211</c:v>
                </c:pt>
                <c:pt idx="41">
                  <c:v>27.292032077335062</c:v>
                </c:pt>
                <c:pt idx="42">
                  <c:v>28.917272016112545</c:v>
                </c:pt>
                <c:pt idx="43">
                  <c:v>27.032261012017333</c:v>
                </c:pt>
                <c:pt idx="44">
                  <c:v>23.080555422860346</c:v>
                </c:pt>
                <c:pt idx="45">
                  <c:v>21.176093392800915</c:v>
                </c:pt>
                <c:pt idx="46">
                  <c:v>19.2748038693158</c:v>
                </c:pt>
                <c:pt idx="47">
                  <c:v>15.883863272789997</c:v>
                </c:pt>
                <c:pt idx="48">
                  <c:v>11.59483357972543</c:v>
                </c:pt>
                <c:pt idx="49">
                  <c:v>10.356649448278478</c:v>
                </c:pt>
                <c:pt idx="50">
                  <c:v>9.3551059140348833</c:v>
                </c:pt>
                <c:pt idx="51">
                  <c:v>8.1256876297674658</c:v>
                </c:pt>
                <c:pt idx="52">
                  <c:v>14.604013690640018</c:v>
                </c:pt>
                <c:pt idx="53">
                  <c:v>21.788792729332364</c:v>
                </c:pt>
                <c:pt idx="54">
                  <c:v>23.287272965223764</c:v>
                </c:pt>
                <c:pt idx="55">
                  <c:v>21.954122325021153</c:v>
                </c:pt>
                <c:pt idx="56">
                  <c:v>18.900998476649761</c:v>
                </c:pt>
                <c:pt idx="57">
                  <c:v>17.487610966486137</c:v>
                </c:pt>
                <c:pt idx="58">
                  <c:v>16.040242819102737</c:v>
                </c:pt>
                <c:pt idx="59">
                  <c:v>13.32319903608259</c:v>
                </c:pt>
                <c:pt idx="60">
                  <c:v>9.795018680426173</c:v>
                </c:pt>
                <c:pt idx="61">
                  <c:v>8.813674563393068</c:v>
                </c:pt>
                <c:pt idx="62">
                  <c:v>8.019883735493579</c:v>
                </c:pt>
                <c:pt idx="63">
                  <c:v>7.0114012947654016</c:v>
                </c:pt>
                <c:pt idx="64">
                  <c:v>12.684973897171508</c:v>
                </c:pt>
                <c:pt idx="65">
                  <c:v>19.044453644993851</c:v>
                </c:pt>
                <c:pt idx="66">
                  <c:v>20.487648138489316</c:v>
                </c:pt>
                <c:pt idx="67">
                  <c:v>19.425404636129109</c:v>
                </c:pt>
                <c:pt idx="68">
                  <c:v>16.820388125340095</c:v>
                </c:pt>
                <c:pt idx="69">
                  <c:v>15.644784076228618</c:v>
                </c:pt>
                <c:pt idx="70">
                  <c:v>14.426388927009668</c:v>
                </c:pt>
                <c:pt idx="71">
                  <c:v>12.043855875215966</c:v>
                </c:pt>
                <c:pt idx="72">
                  <c:v>8.9389270645574648</c:v>
                </c:pt>
                <c:pt idx="73">
                  <c:v>8.9389270645574648</c:v>
                </c:pt>
                <c:pt idx="74">
                  <c:v>8.2070156119921762</c:v>
                </c:pt>
                <c:pt idx="75">
                  <c:v>7.2032568050804402</c:v>
                </c:pt>
                <c:pt idx="76">
                  <c:v>13.086243008651548</c:v>
                </c:pt>
                <c:pt idx="77">
                  <c:v>19.725349424308646</c:v>
                </c:pt>
                <c:pt idx="78">
                  <c:v>21.292697533651754</c:v>
                </c:pt>
                <c:pt idx="79">
                  <c:v>20.26457734262652</c:v>
                </c:pt>
                <c:pt idx="80">
                  <c:v>17.607238508266004</c:v>
                </c:pt>
                <c:pt idx="81">
                  <c:v>16.433447180955696</c:v>
                </c:pt>
                <c:pt idx="82">
                  <c:v>15.200272934662578</c:v>
                </c:pt>
                <c:pt idx="83">
                  <c:v>12.730170510400074</c:v>
                </c:pt>
                <c:pt idx="84">
                  <c:v>9.4239917758329153</c:v>
                </c:pt>
                <c:pt idx="85">
                  <c:v>8.5408598167380081</c:v>
                </c:pt>
                <c:pt idx="86">
                  <c:v>7.8262668045739954</c:v>
                </c:pt>
                <c:pt idx="87">
                  <c:v>6.8851237154150065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82144"/>
        <c:axId val="293005568"/>
      </c:lineChart>
      <c:dateAx>
        <c:axId val="292982144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005568"/>
        <c:crossesAt val="1E-3"/>
        <c:auto val="0"/>
        <c:lblOffset val="100"/>
        <c:baseTimeUnit val="days"/>
        <c:majorUnit val="6"/>
        <c:majorTimeUnit val="months"/>
        <c:minorUnit val="2"/>
      </c:dateAx>
      <c:valAx>
        <c:axId val="293005568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Bq/kg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1.0081913563071301E-2"/>
              <c:y val="0.45516736288331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98214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961955513136615"/>
          <c:y val="0.12166120656812317"/>
          <c:w val="0.61638502257924832"/>
          <c:h val="0.15607391873870524"/>
        </c:manualLayout>
      </c:layout>
      <c:overlay val="0"/>
      <c:spPr>
        <a:noFill/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3.6195255004889092E-2"/>
          <c:y val="0.12360257784678323"/>
          <c:w val="0.8595291182661573"/>
          <c:h val="0.75979534816212491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月間量回帰式!$C$20:$C$103</c:f>
              <c:numCache>
                <c:formatCode>0</c:formatCode>
                <c:ptCount val="84"/>
                <c:pt idx="0">
                  <c:v>5693.7099343496038</c:v>
                </c:pt>
                <c:pt idx="1">
                  <c:v>6461.0235251811728</c:v>
                </c:pt>
                <c:pt idx="2">
                  <c:v>6179.5927881937196</c:v>
                </c:pt>
                <c:pt idx="3">
                  <c:v>6411.8394300434275</c:v>
                </c:pt>
                <c:pt idx="4">
                  <c:v>6767.281654590066</c:v>
                </c:pt>
                <c:pt idx="5">
                  <c:v>6054.9434296986519</c:v>
                </c:pt>
                <c:pt idx="6">
                  <c:v>6164.2626032404287</c:v>
                </c:pt>
                <c:pt idx="7">
                  <c:v>5754.4110320193013</c:v>
                </c:pt>
                <c:pt idx="8">
                  <c:v>5830.9070462498912</c:v>
                </c:pt>
                <c:pt idx="9">
                  <c:v>5508.7884612072394</c:v>
                </c:pt>
                <c:pt idx="10">
                  <c:v>4728.3759929486159</c:v>
                </c:pt>
                <c:pt idx="11">
                  <c:v>5774.2107831388548</c:v>
                </c:pt>
                <c:pt idx="12">
                  <c:v>5482.3589469097042</c:v>
                </c:pt>
                <c:pt idx="13">
                  <c:v>6221.1897932797165</c:v>
                </c:pt>
                <c:pt idx="14">
                  <c:v>5950.2057887117353</c:v>
                </c:pt>
                <c:pt idx="15">
                  <c:v>6173.8314158538951</c:v>
                </c:pt>
                <c:pt idx="16">
                  <c:v>6516.079595392629</c:v>
                </c:pt>
                <c:pt idx="17">
                  <c:v>5830.1834247958523</c:v>
                </c:pt>
                <c:pt idx="18">
                  <c:v>5935.444661501966</c:v>
                </c:pt>
                <c:pt idx="19">
                  <c:v>5540.8068147733347</c:v>
                </c:pt>
                <c:pt idx="20">
                  <c:v>5614.4632905783164</c:v>
                </c:pt>
                <c:pt idx="21">
                  <c:v>5304.3017742670354</c:v>
                </c:pt>
                <c:pt idx="22">
                  <c:v>4552.8582818920968</c:v>
                </c:pt>
                <c:pt idx="23">
                  <c:v>5559.8715974806528</c:v>
                </c:pt>
                <c:pt idx="24">
                  <c:v>5397.9493997803338</c:v>
                </c:pt>
                <c:pt idx="25">
                  <c:v>6125.4047820935002</c:v>
                </c:pt>
                <c:pt idx="26">
                  <c:v>5858.5930028990097</c:v>
                </c:pt>
                <c:pt idx="27">
                  <c:v>6078.7755614467223</c:v>
                </c:pt>
                <c:pt idx="28">
                  <c:v>6415.7542914436672</c:v>
                </c:pt>
                <c:pt idx="29">
                  <c:v>5740.4185722325992</c:v>
                </c:pt>
                <c:pt idx="30">
                  <c:v>5844.0591464817899</c:v>
                </c:pt>
                <c:pt idx="31">
                  <c:v>5455.4973707009112</c:v>
                </c:pt>
                <c:pt idx="32">
                  <c:v>5528.019789099938</c:v>
                </c:pt>
                <c:pt idx="33">
                  <c:v>5222.633697634481</c:v>
                </c:pt>
                <c:pt idx="34">
                  <c:v>4482.7598608583294</c:v>
                </c:pt>
                <c:pt idx="35">
                  <c:v>5474.268621063844</c:v>
                </c:pt>
                <c:pt idx="36">
                  <c:v>4911.22</c:v>
                </c:pt>
                <c:pt idx="37">
                  <c:v>5017.6899999999996</c:v>
                </c:pt>
                <c:pt idx="38">
                  <c:v>5245.7</c:v>
                </c:pt>
                <c:pt idx="39">
                  <c:v>5444.63</c:v>
                </c:pt>
                <c:pt idx="40">
                  <c:v>5507.05</c:v>
                </c:pt>
                <c:pt idx="41">
                  <c:v>5124.37</c:v>
                </c:pt>
                <c:pt idx="42">
                  <c:v>5005.3</c:v>
                </c:pt>
                <c:pt idx="43">
                  <c:v>4810.2299999999996</c:v>
                </c:pt>
                <c:pt idx="44">
                  <c:v>5090.9399999999996</c:v>
                </c:pt>
                <c:pt idx="45">
                  <c:v>4515.71</c:v>
                </c:pt>
                <c:pt idx="46">
                  <c:v>4193.24</c:v>
                </c:pt>
                <c:pt idx="47">
                  <c:v>4900.29</c:v>
                </c:pt>
                <c:pt idx="48">
                  <c:v>4802.12</c:v>
                </c:pt>
                <c:pt idx="49">
                  <c:v>5502.55</c:v>
                </c:pt>
                <c:pt idx="50">
                  <c:v>4991.43</c:v>
                </c:pt>
                <c:pt idx="51">
                  <c:v>5226.55</c:v>
                </c:pt>
                <c:pt idx="52">
                  <c:v>5805.25</c:v>
                </c:pt>
                <c:pt idx="53">
                  <c:v>5310.79</c:v>
                </c:pt>
                <c:pt idx="54">
                  <c:v>4948.62</c:v>
                </c:pt>
                <c:pt idx="55">
                  <c:v>4702.2700000000004</c:v>
                </c:pt>
                <c:pt idx="56">
                  <c:v>5076.05</c:v>
                </c:pt>
                <c:pt idx="57">
                  <c:v>4597.87</c:v>
                </c:pt>
                <c:pt idx="58">
                  <c:v>3936.52</c:v>
                </c:pt>
                <c:pt idx="59">
                  <c:v>4818.8599999999997</c:v>
                </c:pt>
                <c:pt idx="60">
                  <c:v>4574.25</c:v>
                </c:pt>
                <c:pt idx="61">
                  <c:v>5535.09</c:v>
                </c:pt>
                <c:pt idx="62">
                  <c:v>5442.01</c:v>
                </c:pt>
                <c:pt idx="63">
                  <c:v>5365.97</c:v>
                </c:pt>
                <c:pt idx="64">
                  <c:v>5947.22</c:v>
                </c:pt>
                <c:pt idx="65">
                  <c:v>5135.9799999999996</c:v>
                </c:pt>
                <c:pt idx="66">
                  <c:v>5397.84</c:v>
                </c:pt>
                <c:pt idx="67">
                  <c:v>4808.5200000000004</c:v>
                </c:pt>
                <c:pt idx="68">
                  <c:v>4770.28</c:v>
                </c:pt>
                <c:pt idx="69">
                  <c:v>4593.75</c:v>
                </c:pt>
                <c:pt idx="70">
                  <c:v>3827.41</c:v>
                </c:pt>
                <c:pt idx="71">
                  <c:v>4817.8999999999996</c:v>
                </c:pt>
                <c:pt idx="72">
                  <c:v>4824.92</c:v>
                </c:pt>
                <c:pt idx="73">
                  <c:v>5632.88</c:v>
                </c:pt>
                <c:pt idx="74">
                  <c:v>5064.37</c:v>
                </c:pt>
                <c:pt idx="75">
                  <c:v>5485.96</c:v>
                </c:pt>
                <c:pt idx="76">
                  <c:v>5456.73</c:v>
                </c:pt>
                <c:pt idx="77">
                  <c:v>4753.95</c:v>
                </c:pt>
                <c:pt idx="78">
                  <c:v>5340.29</c:v>
                </c:pt>
                <c:pt idx="79">
                  <c:v>4995.25</c:v>
                </c:pt>
                <c:pt idx="80">
                  <c:v>4635.78</c:v>
                </c:pt>
                <c:pt idx="81">
                  <c:v>4784.4399999999996</c:v>
                </c:pt>
                <c:pt idx="82">
                  <c:v>3914.93</c:v>
                </c:pt>
                <c:pt idx="83">
                  <c:v>4000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月間量回帰式!$M$3:$M$4</c:f>
              <c:strCache>
                <c:ptCount val="1"/>
                <c:pt idx="0">
                  <c:v>今泉 600(200tx3炉)</c:v>
                </c:pt>
              </c:strCache>
            </c:strRef>
          </c:tx>
          <c:spPr>
            <a:ln w="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月間量回帰式!$M$20:$M$103</c:f>
              <c:numCache>
                <c:formatCode>General</c:formatCode>
                <c:ptCount val="84"/>
                <c:pt idx="5" formatCode="0">
                  <c:v>8409.4314775882813</c:v>
                </c:pt>
                <c:pt idx="6" formatCode="0">
                  <c:v>9585.8354394091002</c:v>
                </c:pt>
                <c:pt idx="7" formatCode="0">
                  <c:v>8357.6193886384335</c:v>
                </c:pt>
                <c:pt idx="8" formatCode="0">
                  <c:v>8213.8633036908795</c:v>
                </c:pt>
                <c:pt idx="9" formatCode="0">
                  <c:v>7647.8237192098841</c:v>
                </c:pt>
                <c:pt idx="10" formatCode="0">
                  <c:v>6563.3637533867723</c:v>
                </c:pt>
                <c:pt idx="11" formatCode="0">
                  <c:v>8125.8127016605022</c:v>
                </c:pt>
                <c:pt idx="12" formatCode="0">
                  <c:v>7499.9095391172968</c:v>
                </c:pt>
                <c:pt idx="13" formatCode="0">
                  <c:v>7905.3246838054365</c:v>
                </c:pt>
                <c:pt idx="14" formatCode="0">
                  <c:v>7716.419629738466</c:v>
                </c:pt>
                <c:pt idx="15" formatCode="0">
                  <c:v>8796.5343443248239</c:v>
                </c:pt>
                <c:pt idx="16" formatCode="0">
                  <c:v>8420.8893370970945</c:v>
                </c:pt>
                <c:pt idx="17" formatCode="0">
                  <c:v>7801.9411155338275</c:v>
                </c:pt>
                <c:pt idx="18" formatCode="0">
                  <c:v>8108.5735313760588</c:v>
                </c:pt>
                <c:pt idx="19" formatCode="0">
                  <c:v>7360.2605306666428</c:v>
                </c:pt>
                <c:pt idx="20" formatCode="0">
                  <c:v>7594.903341377335</c:v>
                </c:pt>
                <c:pt idx="21" formatCode="0">
                  <c:v>6974.6019317476857</c:v>
                </c:pt>
                <c:pt idx="22" formatCode="0">
                  <c:v>5756.1913967770561</c:v>
                </c:pt>
                <c:pt idx="23" formatCode="0">
                  <c:v>7241.4506184382763</c:v>
                </c:pt>
                <c:pt idx="24" formatCode="0">
                  <c:v>7833.835950621431</c:v>
                </c:pt>
                <c:pt idx="25" formatCode="0">
                  <c:v>8075.534268678919</c:v>
                </c:pt>
                <c:pt idx="26" formatCode="0">
                  <c:v>7912.5284262680552</c:v>
                </c:pt>
                <c:pt idx="27" formatCode="0">
                  <c:v>8763.2502969192374</c:v>
                </c:pt>
                <c:pt idx="28" formatCode="0">
                  <c:v>8350.9579334421032</c:v>
                </c:pt>
                <c:pt idx="29" formatCode="0">
                  <c:v>8393.957750491867</c:v>
                </c:pt>
                <c:pt idx="30" formatCode="0">
                  <c:v>8218.5859476222467</c:v>
                </c:pt>
                <c:pt idx="31" formatCode="0">
                  <c:v>7370.6745225298719</c:v>
                </c:pt>
                <c:pt idx="32" formatCode="0">
                  <c:v>8057.547417102548</c:v>
                </c:pt>
                <c:pt idx="33" formatCode="0">
                  <c:v>7003.9113771054272</c:v>
                </c:pt>
                <c:pt idx="34" formatCode="0">
                  <c:v>6073.9349416958585</c:v>
                </c:pt>
                <c:pt idx="35" formatCode="0">
                  <c:v>7652.2811675224339</c:v>
                </c:pt>
                <c:pt idx="36" formatCode="0">
                  <c:v>8009.8359520671502</c:v>
                </c:pt>
                <c:pt idx="37" formatCode="0">
                  <c:v>8153.4174020783857</c:v>
                </c:pt>
                <c:pt idx="38" formatCode="0">
                  <c:v>8347.8136862499778</c:v>
                </c:pt>
                <c:pt idx="39" formatCode="0">
                  <c:v>8943.4108122225116</c:v>
                </c:pt>
                <c:pt idx="40" formatCode="0">
                  <c:v>8601.2969868870987</c:v>
                </c:pt>
                <c:pt idx="41" formatCode="0">
                  <c:v>8687.8594660090985</c:v>
                </c:pt>
                <c:pt idx="42" formatCode="0">
                  <c:v>8333.3373672159232</c:v>
                </c:pt>
                <c:pt idx="43" formatCode="0">
                  <c:v>7892.8436594654013</c:v>
                </c:pt>
                <c:pt idx="44" formatCode="0">
                  <c:v>8564.3676015961428</c:v>
                </c:pt>
                <c:pt idx="45" formatCode="0">
                  <c:v>7034.0138751389331</c:v>
                </c:pt>
                <c:pt idx="46" formatCode="0">
                  <c:v>6707.5581091668846</c:v>
                </c:pt>
                <c:pt idx="47" formatCode="0">
                  <c:v>8009.2450819024943</c:v>
                </c:pt>
                <c:pt idx="48" formatCode="0">
                  <c:v>7538.2372178224805</c:v>
                </c:pt>
                <c:pt idx="49" formatCode="0">
                  <c:v>8314.6120901004288</c:v>
                </c:pt>
                <c:pt idx="50" formatCode="0">
                  <c:v>8225.2201421895479</c:v>
                </c:pt>
                <c:pt idx="51" formatCode="0">
                  <c:v>8460.889823045507</c:v>
                </c:pt>
                <c:pt idx="52" formatCode="0">
                  <c:v>8870.9898957665318</c:v>
                </c:pt>
                <c:pt idx="53" formatCode="0">
                  <c:v>8382.8169854220432</c:v>
                </c:pt>
                <c:pt idx="54" formatCode="0">
                  <c:v>8154.1129108968007</c:v>
                </c:pt>
                <c:pt idx="55" formatCode="0">
                  <c:v>7741.400735801757</c:v>
                </c:pt>
                <c:pt idx="56" formatCode="0">
                  <c:v>7960.2368680251484</c:v>
                </c:pt>
                <c:pt idx="57" formatCode="0">
                  <c:v>7017.5581446013075</c:v>
                </c:pt>
                <c:pt idx="58" formatCode="0">
                  <c:v>6293.135086206632</c:v>
                </c:pt>
                <c:pt idx="59" formatCode="0">
                  <c:v>7628.7901001218152</c:v>
                </c:pt>
                <c:pt idx="60" formatCode="0">
                  <c:v>6586.8765184825643</c:v>
                </c:pt>
                <c:pt idx="61" formatCode="0">
                  <c:v>8127.2404467861415</c:v>
                </c:pt>
                <c:pt idx="62" formatCode="0">
                  <c:v>8128.9561098090298</c:v>
                </c:pt>
                <c:pt idx="63" formatCode="0">
                  <c:v>8198.1312915328872</c:v>
                </c:pt>
                <c:pt idx="64" formatCode="0">
                  <c:v>9044.2260410248309</c:v>
                </c:pt>
                <c:pt idx="65" formatCode="0">
                  <c:v>7784.280018694195</c:v>
                </c:pt>
                <c:pt idx="66" formatCode="0">
                  <c:v>8020.1829728712382</c:v>
                </c:pt>
                <c:pt idx="67" formatCode="0">
                  <c:v>7189.3567011107125</c:v>
                </c:pt>
                <c:pt idx="68" formatCode="0">
                  <c:v>6895.7601202333353</c:v>
                </c:pt>
                <c:pt idx="69" formatCode="0">
                  <c:v>6555.1002270469198</c:v>
                </c:pt>
                <c:pt idx="70" formatCode="0">
                  <c:v>5446.2173286946254</c:v>
                </c:pt>
                <c:pt idx="71" formatCode="0">
                  <c:v>6909.5182998407727</c:v>
                </c:pt>
                <c:pt idx="72" formatCode="0">
                  <c:v>8260</c:v>
                </c:pt>
                <c:pt idx="73" formatCode="0">
                  <c:v>5792</c:v>
                </c:pt>
                <c:pt idx="74" formatCode="0">
                  <c:v>9199</c:v>
                </c:pt>
                <c:pt idx="75" formatCode="0">
                  <c:v>5673</c:v>
                </c:pt>
                <c:pt idx="76" formatCode="0">
                  <c:v>9118</c:v>
                </c:pt>
                <c:pt idx="77" formatCode="0">
                  <c:v>5957</c:v>
                </c:pt>
                <c:pt idx="78" formatCode="0">
                  <c:v>7116</c:v>
                </c:pt>
                <c:pt idx="79" formatCode="0">
                  <c:v>562</c:v>
                </c:pt>
                <c:pt idx="80" formatCode="0">
                  <c:v>4125</c:v>
                </c:pt>
                <c:pt idx="81" formatCode="0">
                  <c:v>2719</c:v>
                </c:pt>
                <c:pt idx="82" formatCode="0">
                  <c:v>4970</c:v>
                </c:pt>
                <c:pt idx="83" formatCode="0">
                  <c:v>6717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月間量回帰式!$R$3:$R$4</c:f>
              <c:strCache>
                <c:ptCount val="1"/>
                <c:pt idx="0">
                  <c:v>葛岡 600(300tx2炉〉</c:v>
                </c:pt>
              </c:strCache>
            </c:strRef>
          </c:tx>
          <c:spPr>
            <a:ln w="0">
              <a:solidFill>
                <a:srgbClr val="008000"/>
              </a:solidFill>
              <a:prstDash val="solid"/>
            </a:ln>
          </c:spPr>
          <c:marker>
            <c:symbol val="triangle"/>
            <c:size val="4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月間量回帰式!$R$20:$R$103</c:f>
              <c:numCache>
                <c:formatCode>General</c:formatCode>
                <c:ptCount val="84"/>
                <c:pt idx="5" formatCode="0">
                  <c:v>9981.4154262554948</c:v>
                </c:pt>
                <c:pt idx="6" formatCode="0">
                  <c:v>11377.725828845743</c:v>
                </c:pt>
                <c:pt idx="7" formatCode="0">
                  <c:v>9919.9180485446723</c:v>
                </c:pt>
                <c:pt idx="8" formatCode="0">
                  <c:v>9749.2894861100176</c:v>
                </c:pt>
                <c:pt idx="9" formatCode="0">
                  <c:v>9077.4395215235691</c:v>
                </c:pt>
                <c:pt idx="10" formatCode="0">
                  <c:v>7790.2603036571518</c:v>
                </c:pt>
                <c:pt idx="11" formatCode="0">
                  <c:v>9644.7794916187922</c:v>
                </c:pt>
                <c:pt idx="12" formatCode="0">
                  <c:v>9834.7629809704449</c:v>
                </c:pt>
                <c:pt idx="13" formatCode="0">
                  <c:v>10366.390974095941</c:v>
                </c:pt>
                <c:pt idx="14" formatCode="0">
                  <c:v>10118.676461945342</c:v>
                </c:pt>
                <c:pt idx="15" formatCode="0">
                  <c:v>11535.049840158861</c:v>
                </c:pt>
                <c:pt idx="16" formatCode="0">
                  <c:v>11042.459950667415</c:v>
                </c:pt>
                <c:pt idx="17" formatCode="0">
                  <c:v>10230.822286930426</c:v>
                </c:pt>
                <c:pt idx="18" formatCode="0">
                  <c:v>10632.914754361125</c:v>
                </c:pt>
                <c:pt idx="19" formatCode="0">
                  <c:v>9651.6387857416357</c:v>
                </c:pt>
                <c:pt idx="20" formatCode="0">
                  <c:v>9959.3300207481807</c:v>
                </c:pt>
                <c:pt idx="21" formatCode="0">
                  <c:v>9145.9178977551001</c:v>
                </c:pt>
                <c:pt idx="22" formatCode="0">
                  <c:v>7548.1947835688652</c:v>
                </c:pt>
                <c:pt idx="23" formatCode="0">
                  <c:v>9495.8412630566618</c:v>
                </c:pt>
                <c:pt idx="24" formatCode="0">
                  <c:v>9919.4703140745714</c:v>
                </c:pt>
                <c:pt idx="25" formatCode="0">
                  <c:v>10225.516969384327</c:v>
                </c:pt>
                <c:pt idx="26" formatCode="0">
                  <c:v>10019.113411152166</c:v>
                </c:pt>
                <c:pt idx="27" formatCode="0">
                  <c:v>11096.326464201737</c:v>
                </c:pt>
                <c:pt idx="28" formatCode="0">
                  <c:v>10574.26780915591</c:v>
                </c:pt>
                <c:pt idx="29" formatCode="0">
                  <c:v>10628.715644344738</c:v>
                </c:pt>
                <c:pt idx="30" formatCode="0">
                  <c:v>10406.653885143241</c:v>
                </c:pt>
                <c:pt idx="31" formatCode="0">
                  <c:v>9332.999514132156</c:v>
                </c:pt>
                <c:pt idx="32" formatCode="0">
                  <c:v>10202.741404338019</c:v>
                </c:pt>
                <c:pt idx="33" formatCode="0">
                  <c:v>8868.5915081097937</c:v>
                </c:pt>
                <c:pt idx="34" formatCode="0">
                  <c:v>7691.0236215749319</c:v>
                </c:pt>
                <c:pt idx="35" formatCode="0">
                  <c:v>9689.5794543884058</c:v>
                </c:pt>
                <c:pt idx="36" formatCode="0">
                  <c:v>8939.3013173638155</c:v>
                </c:pt>
                <c:pt idx="37" formatCode="0">
                  <c:v>9099.5440305623542</c:v>
                </c:pt>
                <c:pt idx="38" formatCode="0">
                  <c:v>9316.4981566624356</c:v>
                </c:pt>
                <c:pt idx="39" formatCode="0">
                  <c:v>9981.2086706711943</c:v>
                </c:pt>
                <c:pt idx="40" formatCode="0">
                  <c:v>9599.3957861364015</c:v>
                </c:pt>
                <c:pt idx="41" formatCode="0">
                  <c:v>9696.003018579142</c:v>
                </c:pt>
                <c:pt idx="42" formatCode="0">
                  <c:v>9300.3419983358344</c:v>
                </c:pt>
                <c:pt idx="43" formatCode="0">
                  <c:v>8808.7331806835227</c:v>
                </c:pt>
                <c:pt idx="44" formatCode="0">
                  <c:v>9558.1810965277236</c:v>
                </c:pt>
                <c:pt idx="45" formatCode="0">
                  <c:v>7850.2443591441079</c:v>
                </c:pt>
                <c:pt idx="46" formatCode="0">
                  <c:v>7485.9065030033953</c:v>
                </c:pt>
                <c:pt idx="47" formatCode="0">
                  <c:v>8938.6418823300755</c:v>
                </c:pt>
                <c:pt idx="48" formatCode="0">
                  <c:v>7880.8481388634045</c:v>
                </c:pt>
                <c:pt idx="49" formatCode="0">
                  <c:v>8692.5090471704771</c:v>
                </c:pt>
                <c:pt idx="50" formatCode="0">
                  <c:v>8599.0542584756822</c:v>
                </c:pt>
                <c:pt idx="51" formatCode="0">
                  <c:v>8845.4350650346878</c:v>
                </c:pt>
                <c:pt idx="52" formatCode="0">
                  <c:v>9274.1740794039943</c:v>
                </c:pt>
                <c:pt idx="53" formatCode="0">
                  <c:v>8763.8138372460526</c:v>
                </c:pt>
                <c:pt idx="54" formatCode="0">
                  <c:v>8524.7152220139124</c:v>
                </c:pt>
                <c:pt idx="55" formatCode="0">
                  <c:v>8093.2453858970312</c:v>
                </c:pt>
                <c:pt idx="56" formatCode="0">
                  <c:v>8322.027563416108</c:v>
                </c:pt>
                <c:pt idx="57" formatCode="0">
                  <c:v>7336.5043371800812</c:v>
                </c:pt>
                <c:pt idx="58" formatCode="0">
                  <c:v>6579.1564391858929</c:v>
                </c:pt>
                <c:pt idx="59" formatCode="0">
                  <c:v>7975.5166261126778</c:v>
                </c:pt>
                <c:pt idx="60" formatCode="0">
                  <c:v>8597.7094317537703</c:v>
                </c:pt>
                <c:pt idx="61" formatCode="0">
                  <c:v>10608.313613803917</c:v>
                </c:pt>
                <c:pt idx="62" formatCode="0">
                  <c:v>10610.553032155271</c:v>
                </c:pt>
                <c:pt idx="63" formatCode="0">
                  <c:v>10700.84592146049</c:v>
                </c:pt>
                <c:pt idx="64" formatCode="0">
                  <c:v>11805.235352088539</c:v>
                </c:pt>
                <c:pt idx="65" formatCode="0">
                  <c:v>10160.6546818275</c:v>
                </c:pt>
                <c:pt idx="66" formatCode="0">
                  <c:v>10468.573776472042</c:v>
                </c:pt>
                <c:pt idx="67" formatCode="0">
                  <c:v>9384.1139641739519</c:v>
                </c:pt>
                <c:pt idx="68" formatCode="0">
                  <c:v>9000.8886091127042</c:v>
                </c:pt>
                <c:pt idx="69" formatCode="0">
                  <c:v>8556.2325162816487</c:v>
                </c:pt>
                <c:pt idx="70" formatCode="0">
                  <c:v>7108.8313198082842</c:v>
                </c:pt>
                <c:pt idx="71" formatCode="0">
                  <c:v>9018.8468675137392</c:v>
                </c:pt>
                <c:pt idx="72" formatCode="0">
                  <c:v>7180</c:v>
                </c:pt>
                <c:pt idx="73" formatCode="0">
                  <c:v>8158</c:v>
                </c:pt>
                <c:pt idx="74" formatCode="0">
                  <c:v>2246</c:v>
                </c:pt>
                <c:pt idx="75" formatCode="0">
                  <c:v>8431</c:v>
                </c:pt>
                <c:pt idx="76" formatCode="0">
                  <c:v>9175</c:v>
                </c:pt>
                <c:pt idx="77" formatCode="0">
                  <c:v>16153</c:v>
                </c:pt>
                <c:pt idx="78" formatCode="0">
                  <c:v>14477</c:v>
                </c:pt>
                <c:pt idx="79" formatCode="0">
                  <c:v>14199</c:v>
                </c:pt>
                <c:pt idx="80" formatCode="0">
                  <c:v>10566</c:v>
                </c:pt>
                <c:pt idx="81" formatCode="0">
                  <c:v>10461</c:v>
                </c:pt>
                <c:pt idx="82" formatCode="0">
                  <c:v>10958</c:v>
                </c:pt>
                <c:pt idx="83" formatCode="0">
                  <c:v>12260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月間量回帰式!$V$3:$V$4</c:f>
              <c:strCache>
                <c:ptCount val="1"/>
                <c:pt idx="0">
                  <c:v>松森 600(200tx3炉〉</c:v>
                </c:pt>
              </c:strCache>
            </c:strRef>
          </c:tx>
          <c:spPr>
            <a:ln w="0">
              <a:solidFill>
                <a:srgbClr val="66FFFF"/>
              </a:solidFill>
              <a:prstDash val="solid"/>
            </a:ln>
          </c:spPr>
          <c:marker>
            <c:symbol val="circle"/>
            <c:size val="4"/>
            <c:spPr>
              <a:noFill/>
              <a:ln>
                <a:solidFill>
                  <a:srgbClr val="66FFFF"/>
                </a:solidFill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月間量回帰式!$V$20:$V$103</c:f>
              <c:numCache>
                <c:formatCode>General</c:formatCode>
                <c:ptCount val="84"/>
                <c:pt idx="5" formatCode="0">
                  <c:v>9688.1530961562239</c:v>
                </c:pt>
                <c:pt idx="6" formatCode="0">
                  <c:v>11043.438731745156</c:v>
                </c:pt>
                <c:pt idx="7" formatCode="0">
                  <c:v>9628.4625628168942</c:v>
                </c:pt>
                <c:pt idx="8" formatCode="0">
                  <c:v>9462.8472101991028</c:v>
                </c:pt>
                <c:pt idx="9" formatCode="0">
                  <c:v>8810.7367592665469</c:v>
                </c:pt>
                <c:pt idx="10" formatCode="0">
                  <c:v>7561.375942956076</c:v>
                </c:pt>
                <c:pt idx="11" formatCode="0">
                  <c:v>9361.4078067207047</c:v>
                </c:pt>
                <c:pt idx="12" formatCode="0">
                  <c:v>11670.401149312698</c:v>
                </c:pt>
                <c:pt idx="13" formatCode="0">
                  <c:v>12301.256407744801</c:v>
                </c:pt>
                <c:pt idx="14" formatCode="0">
                  <c:v>12007.306494269762</c:v>
                </c:pt>
                <c:pt idx="15" formatCode="0">
                  <c:v>13688.043033924316</c:v>
                </c:pt>
                <c:pt idx="16" formatCode="0">
                  <c:v>13103.512260423809</c:v>
                </c:pt>
                <c:pt idx="17" formatCode="0">
                  <c:v>12140.384105527803</c:v>
                </c:pt>
                <c:pt idx="18" formatCode="0">
                  <c:v>12617.526300323245</c:v>
                </c:pt>
                <c:pt idx="19" formatCode="0">
                  <c:v>11453.097201815392</c:v>
                </c:pt>
                <c:pt idx="20" formatCode="0">
                  <c:v>11818.218369412611</c:v>
                </c:pt>
                <c:pt idx="21" formatCode="0">
                  <c:v>10852.984556110621</c:v>
                </c:pt>
                <c:pt idx="22" formatCode="0">
                  <c:v>8957.0497273647434</c:v>
                </c:pt>
                <c:pt idx="23" formatCode="0">
                  <c:v>11268.220393770203</c:v>
                </c:pt>
                <c:pt idx="24" formatCode="0">
                  <c:v>11451.259573396037</c:v>
                </c:pt>
                <c:pt idx="25" formatCode="0">
                  <c:v>11804.566713853832</c:v>
                </c:pt>
                <c:pt idx="26" formatCode="0">
                  <c:v>11566.289805172994</c:v>
                </c:pt>
                <c:pt idx="27" formatCode="0">
                  <c:v>12809.848775133163</c:v>
                </c:pt>
                <c:pt idx="28" formatCode="0">
                  <c:v>12207.17252507318</c:v>
                </c:pt>
                <c:pt idx="29" formatCode="0">
                  <c:v>12270.028330294161</c:v>
                </c:pt>
                <c:pt idx="30" formatCode="0">
                  <c:v>12013.675242334086</c:v>
                </c:pt>
                <c:pt idx="31" formatCode="0">
                  <c:v>10774.224494937376</c:v>
                </c:pt>
                <c:pt idx="32" formatCode="0">
                  <c:v>11778.27408944767</c:v>
                </c:pt>
                <c:pt idx="33" formatCode="0">
                  <c:v>10238.101450405489</c:v>
                </c:pt>
                <c:pt idx="34" formatCode="0">
                  <c:v>8878.6906041556704</c:v>
                </c:pt>
                <c:pt idx="35" formatCode="0">
                  <c:v>11185.868395796344</c:v>
                </c:pt>
                <c:pt idx="36" formatCode="0">
                  <c:v>11442.987409427442</c:v>
                </c:pt>
                <c:pt idx="37" formatCode="0">
                  <c:v>11648.110302647483</c:v>
                </c:pt>
                <c:pt idx="38" formatCode="0">
                  <c:v>11925.8281292705</c:v>
                </c:pt>
                <c:pt idx="39" formatCode="0">
                  <c:v>12776.708278924001</c:v>
                </c:pt>
                <c:pt idx="40" formatCode="0">
                  <c:v>12287.958669152793</c:v>
                </c:pt>
                <c:pt idx="41" formatCode="0">
                  <c:v>12411.623294077634</c:v>
                </c:pt>
                <c:pt idx="42" formatCode="0">
                  <c:v>11905.147014521977</c:v>
                </c:pt>
                <c:pt idx="43" formatCode="0">
                  <c:v>11275.850237174076</c:v>
                </c:pt>
                <c:pt idx="44" formatCode="0">
                  <c:v>12235.200723365746</c:v>
                </c:pt>
                <c:pt idx="45" formatCode="0">
                  <c:v>10048.911449950499</c:v>
                </c:pt>
                <c:pt idx="46" formatCode="0">
                  <c:v>9582.5312091930009</c:v>
                </c:pt>
                <c:pt idx="47" formatCode="0">
                  <c:v>11442.143282294848</c:v>
                </c:pt>
                <c:pt idx="48" formatCode="0">
                  <c:v>11813.18311583508</c:v>
                </c:pt>
                <c:pt idx="49" formatCode="0">
                  <c:v>13029.841369978183</c:v>
                </c:pt>
                <c:pt idx="50" formatCode="0">
                  <c:v>12889.755111183389</c:v>
                </c:pt>
                <c:pt idx="51" formatCode="0">
                  <c:v>13259.073429824211</c:v>
                </c:pt>
                <c:pt idx="52" formatCode="0">
                  <c:v>13901.74188332111</c:v>
                </c:pt>
                <c:pt idx="53" formatCode="0">
                  <c:v>13136.72536613655</c:v>
                </c:pt>
                <c:pt idx="54" formatCode="0">
                  <c:v>12778.322859869348</c:v>
                </c:pt>
                <c:pt idx="55" formatCode="0">
                  <c:v>12131.56097673234</c:v>
                </c:pt>
                <c:pt idx="56" formatCode="0">
                  <c:v>12474.499415470247</c:v>
                </c:pt>
                <c:pt idx="57" formatCode="0">
                  <c:v>10997.226140906958</c:v>
                </c:pt>
                <c:pt idx="58" formatCode="0">
                  <c:v>9861.981654050438</c:v>
                </c:pt>
                <c:pt idx="59" formatCode="0">
                  <c:v>11955.088676692145</c:v>
                </c:pt>
                <c:pt idx="60" formatCode="0">
                  <c:v>9158.978953961845</c:v>
                </c:pt>
                <c:pt idx="61" formatCode="0">
                  <c:v>11300.837961214738</c:v>
                </c:pt>
                <c:pt idx="62" formatCode="0">
                  <c:v>11303.223571674358</c:v>
                </c:pt>
                <c:pt idx="63" formatCode="0">
                  <c:v>11399.410896845478</c:v>
                </c:pt>
                <c:pt idx="64" formatCode="0">
                  <c:v>12575.89628895961</c:v>
                </c:pt>
                <c:pt idx="65" formatCode="0">
                  <c:v>10823.955278789786</c:v>
                </c:pt>
                <c:pt idx="66" formatCode="0">
                  <c:v>11151.975727696383</c:v>
                </c:pt>
                <c:pt idx="67" formatCode="0">
                  <c:v>9996.7209850120216</c:v>
                </c:pt>
                <c:pt idx="68" formatCode="0">
                  <c:v>9588.478186218741</c:v>
                </c:pt>
                <c:pt idx="69" formatCode="0">
                  <c:v>9114.7943721380652</c:v>
                </c:pt>
                <c:pt idx="70" formatCode="0">
                  <c:v>7572.9049652365075</c:v>
                </c:pt>
                <c:pt idx="71" formatCode="0">
                  <c:v>9607.6087828096697</c:v>
                </c:pt>
                <c:pt idx="72" formatCode="0">
                  <c:v>13619</c:v>
                </c:pt>
                <c:pt idx="73" formatCode="0">
                  <c:v>12139</c:v>
                </c:pt>
                <c:pt idx="74" formatCode="0">
                  <c:v>12060</c:v>
                </c:pt>
                <c:pt idx="75" formatCode="0">
                  <c:v>9208</c:v>
                </c:pt>
                <c:pt idx="76" formatCode="0">
                  <c:v>12284</c:v>
                </c:pt>
                <c:pt idx="77" formatCode="0">
                  <c:v>12338</c:v>
                </c:pt>
                <c:pt idx="78" formatCode="0">
                  <c:v>770</c:v>
                </c:pt>
                <c:pt idx="79" formatCode="0">
                  <c:v>11814</c:v>
                </c:pt>
                <c:pt idx="80" formatCode="0">
                  <c:v>12084</c:v>
                </c:pt>
                <c:pt idx="81" formatCode="0">
                  <c:v>9318</c:v>
                </c:pt>
                <c:pt idx="82" formatCode="0">
                  <c:v>10658</c:v>
                </c:pt>
                <c:pt idx="83" formatCode="0">
                  <c:v>11827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月間量回帰式!$F$20:$F$103</c:f>
              <c:numCache>
                <c:formatCode>0</c:formatCode>
                <c:ptCount val="84"/>
                <c:pt idx="0">
                  <c:v>3453.58</c:v>
                </c:pt>
                <c:pt idx="1">
                  <c:v>3056.66</c:v>
                </c:pt>
                <c:pt idx="2">
                  <c:v>3703.76</c:v>
                </c:pt>
                <c:pt idx="3">
                  <c:v>3890.44</c:v>
                </c:pt>
                <c:pt idx="4">
                  <c:v>4693.46</c:v>
                </c:pt>
                <c:pt idx="5">
                  <c:v>4639.37</c:v>
                </c:pt>
                <c:pt idx="6">
                  <c:v>4819.8100000000004</c:v>
                </c:pt>
                <c:pt idx="7">
                  <c:v>4550.29</c:v>
                </c:pt>
                <c:pt idx="8">
                  <c:v>4161.66</c:v>
                </c:pt>
                <c:pt idx="9">
                  <c:v>3121.59</c:v>
                </c:pt>
                <c:pt idx="10">
                  <c:v>2658.44</c:v>
                </c:pt>
                <c:pt idx="11">
                  <c:v>3137.77</c:v>
                </c:pt>
                <c:pt idx="12">
                  <c:v>3274.12</c:v>
                </c:pt>
                <c:pt idx="13">
                  <c:v>3669.2</c:v>
                </c:pt>
                <c:pt idx="14">
                  <c:v>3632.79</c:v>
                </c:pt>
                <c:pt idx="15">
                  <c:v>4241.7700000000004</c:v>
                </c:pt>
                <c:pt idx="16">
                  <c:v>4204.96</c:v>
                </c:pt>
                <c:pt idx="17">
                  <c:v>3639.07</c:v>
                </c:pt>
                <c:pt idx="18">
                  <c:v>3922.53</c:v>
                </c:pt>
                <c:pt idx="19">
                  <c:v>3376.88</c:v>
                </c:pt>
                <c:pt idx="20">
                  <c:v>3260.82</c:v>
                </c:pt>
                <c:pt idx="21">
                  <c:v>3094.86</c:v>
                </c:pt>
                <c:pt idx="22">
                  <c:v>2416.7399999999998</c:v>
                </c:pt>
                <c:pt idx="23">
                  <c:v>3025.7</c:v>
                </c:pt>
                <c:pt idx="24">
                  <c:v>3232.15</c:v>
                </c:pt>
                <c:pt idx="25">
                  <c:v>3633.7</c:v>
                </c:pt>
                <c:pt idx="26">
                  <c:v>3717.2</c:v>
                </c:pt>
                <c:pt idx="27">
                  <c:v>3963.2</c:v>
                </c:pt>
                <c:pt idx="28">
                  <c:v>3892.13</c:v>
                </c:pt>
                <c:pt idx="29">
                  <c:v>3780.22</c:v>
                </c:pt>
                <c:pt idx="30">
                  <c:v>3844.77</c:v>
                </c:pt>
                <c:pt idx="31">
                  <c:v>3193.13</c:v>
                </c:pt>
                <c:pt idx="32">
                  <c:v>3325.02</c:v>
                </c:pt>
                <c:pt idx="33">
                  <c:v>3093.86</c:v>
                </c:pt>
                <c:pt idx="34">
                  <c:v>2539.4899999999998</c:v>
                </c:pt>
                <c:pt idx="35">
                  <c:v>3137.62</c:v>
                </c:pt>
                <c:pt idx="36">
                  <c:v>3213.16</c:v>
                </c:pt>
                <c:pt idx="37">
                  <c:v>3508.9</c:v>
                </c:pt>
                <c:pt idx="38">
                  <c:v>3648.39</c:v>
                </c:pt>
                <c:pt idx="39">
                  <c:v>3828.38</c:v>
                </c:pt>
                <c:pt idx="40">
                  <c:v>3788.74</c:v>
                </c:pt>
                <c:pt idx="41">
                  <c:v>3700.23</c:v>
                </c:pt>
                <c:pt idx="42">
                  <c:v>3571.69</c:v>
                </c:pt>
                <c:pt idx="43">
                  <c:v>3233.36</c:v>
                </c:pt>
                <c:pt idx="44">
                  <c:v>3359.44</c:v>
                </c:pt>
                <c:pt idx="45">
                  <c:v>2915.17</c:v>
                </c:pt>
                <c:pt idx="46">
                  <c:v>2728.16</c:v>
                </c:pt>
                <c:pt idx="47">
                  <c:v>3122.56</c:v>
                </c:pt>
                <c:pt idx="48">
                  <c:v>3162.5</c:v>
                </c:pt>
                <c:pt idx="49">
                  <c:v>3654.06</c:v>
                </c:pt>
                <c:pt idx="50">
                  <c:v>3658.47</c:v>
                </c:pt>
                <c:pt idx="51">
                  <c:v>3848.64</c:v>
                </c:pt>
                <c:pt idx="52">
                  <c:v>3988.3</c:v>
                </c:pt>
                <c:pt idx="53">
                  <c:v>3674.49</c:v>
                </c:pt>
                <c:pt idx="54">
                  <c:v>3668.54</c:v>
                </c:pt>
                <c:pt idx="55">
                  <c:v>3240.38</c:v>
                </c:pt>
                <c:pt idx="56">
                  <c:v>3200.46</c:v>
                </c:pt>
                <c:pt idx="57">
                  <c:v>2885.05</c:v>
                </c:pt>
                <c:pt idx="58">
                  <c:v>2475.5</c:v>
                </c:pt>
                <c:pt idx="59">
                  <c:v>2975.21</c:v>
                </c:pt>
                <c:pt idx="60">
                  <c:v>2943.86</c:v>
                </c:pt>
                <c:pt idx="61">
                  <c:v>3705.96</c:v>
                </c:pt>
                <c:pt idx="62">
                  <c:v>3770.52</c:v>
                </c:pt>
                <c:pt idx="63">
                  <c:v>3885.4</c:v>
                </c:pt>
                <c:pt idx="64">
                  <c:v>4267.82</c:v>
                </c:pt>
                <c:pt idx="65">
                  <c:v>3661.59</c:v>
                </c:pt>
                <c:pt idx="66">
                  <c:v>3700.68</c:v>
                </c:pt>
                <c:pt idx="67">
                  <c:v>3337.72</c:v>
                </c:pt>
                <c:pt idx="68">
                  <c:v>3094.41</c:v>
                </c:pt>
                <c:pt idx="69">
                  <c:v>2901.53</c:v>
                </c:pt>
                <c:pt idx="70">
                  <c:v>2403.42</c:v>
                </c:pt>
                <c:pt idx="71">
                  <c:v>3074.8</c:v>
                </c:pt>
                <c:pt idx="72">
                  <c:v>2997.38</c:v>
                </c:pt>
                <c:pt idx="73">
                  <c:v>3801.51</c:v>
                </c:pt>
                <c:pt idx="74">
                  <c:v>3646.96</c:v>
                </c:pt>
                <c:pt idx="75">
                  <c:v>3865.93</c:v>
                </c:pt>
                <c:pt idx="76">
                  <c:v>3797.17</c:v>
                </c:pt>
                <c:pt idx="77">
                  <c:v>3534.99</c:v>
                </c:pt>
                <c:pt idx="78">
                  <c:v>3963.28</c:v>
                </c:pt>
                <c:pt idx="79">
                  <c:v>3357.65</c:v>
                </c:pt>
                <c:pt idx="80">
                  <c:v>3025.6</c:v>
                </c:pt>
                <c:pt idx="81">
                  <c:v>2986.16</c:v>
                </c:pt>
                <c:pt idx="82">
                  <c:v>2479.9899999999998</c:v>
                </c:pt>
                <c:pt idx="83">
                  <c:v>2988.55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454976"/>
        <c:axId val="293462016"/>
      </c:lineChart>
      <c:catAx>
        <c:axId val="29345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462016"/>
        <c:crosses val="autoZero"/>
        <c:auto val="0"/>
        <c:lblAlgn val="ctr"/>
        <c:lblOffset val="0"/>
        <c:tickLblSkip val="6"/>
        <c:tickMarkSkip val="6"/>
        <c:noMultiLvlLbl val="0"/>
      </c:catAx>
      <c:valAx>
        <c:axId val="2934620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45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721654842649619"/>
          <c:y val="1.4121474252337099E-4"/>
          <c:w val="0.5419510927470701"/>
          <c:h val="0.227341582302212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398950131233596"/>
          <c:y val="3.4776368518234818E-2"/>
          <c:w val="0.87334611670950457"/>
          <c:h val="0.84553093905542276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月間量回帰式!$E$5:$E$16</c:f>
              <c:numCache>
                <c:formatCode>0.000</c:formatCode>
                <c:ptCount val="12"/>
                <c:pt idx="0">
                  <c:v>7.9992816066502742E-2</c:v>
                </c:pt>
                <c:pt idx="1">
                  <c:v>9.0772615392838429E-2</c:v>
                </c:pt>
                <c:pt idx="2">
                  <c:v>8.6804076534505711E-2</c:v>
                </c:pt>
                <c:pt idx="3">
                  <c:v>9.0079743785774907E-2</c:v>
                </c:pt>
                <c:pt idx="4">
                  <c:v>9.5056963183888205E-2</c:v>
                </c:pt>
                <c:pt idx="5">
                  <c:v>8.5050031214917471E-2</c:v>
                </c:pt>
                <c:pt idx="6">
                  <c:v>8.6599482936585273E-2</c:v>
                </c:pt>
                <c:pt idx="7">
                  <c:v>8.0846255404083966E-2</c:v>
                </c:pt>
                <c:pt idx="8">
                  <c:v>8.1908249764947372E-2</c:v>
                </c:pt>
                <c:pt idx="9">
                  <c:v>7.7395832614512952E-2</c:v>
                </c:pt>
                <c:pt idx="10">
                  <c:v>6.6426641054386296E-2</c:v>
                </c:pt>
                <c:pt idx="11">
                  <c:v>7.9067334425156469E-2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月間量回帰式!$M$3:$M$4</c:f>
              <c:strCache>
                <c:ptCount val="1"/>
                <c:pt idx="0">
                  <c:v>今泉 600(200tx3炉)</c:v>
                </c:pt>
              </c:strCache>
            </c:strRef>
          </c:tx>
          <c:spPr>
            <a:ln w="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月間量回帰式!$P$5:$P$16</c:f>
              <c:numCache>
                <c:formatCode>0.000</c:formatCode>
                <c:ptCount val="12"/>
                <c:pt idx="0">
                  <c:v>8.1971266995696179E-2</c:v>
                </c:pt>
                <c:pt idx="1">
                  <c:v>8.61486694425114E-2</c:v>
                </c:pt>
                <c:pt idx="2">
                  <c:v>8.5459112238232091E-2</c:v>
                </c:pt>
                <c:pt idx="3">
                  <c:v>9.284376445839071E-2</c:v>
                </c:pt>
                <c:pt idx="4">
                  <c:v>9.0918583138403744E-2</c:v>
                </c:pt>
                <c:pt idx="5">
                  <c:v>8.8268380080710113E-2</c:v>
                </c:pt>
                <c:pt idx="6">
                  <c:v>8.7125754441793143E-2</c:v>
                </c:pt>
                <c:pt idx="7">
                  <c:v>8.0589023142928984E-2</c:v>
                </c:pt>
                <c:pt idx="8">
                  <c:v>8.5368950939801916E-2</c:v>
                </c:pt>
                <c:pt idx="9">
                  <c:v>7.4432954139816931E-2</c:v>
                </c:pt>
                <c:pt idx="10">
                  <c:v>6.5857499191818117E-2</c:v>
                </c:pt>
                <c:pt idx="11">
                  <c:v>8.1016041789896673E-2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月間量回帰式!$R$3:$R$4</c:f>
              <c:strCache>
                <c:ptCount val="1"/>
                <c:pt idx="0">
                  <c:v>葛岡 600(300tx2炉〉</c:v>
                </c:pt>
              </c:strCache>
            </c:strRef>
          </c:tx>
          <c:spPr>
            <a:ln w="0">
              <a:solidFill>
                <a:srgbClr val="008000"/>
              </a:solidFill>
              <a:prstDash val="solid"/>
            </a:ln>
          </c:spPr>
          <c:marker>
            <c:symbol val="triangle"/>
            <c:size val="4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月間量回帰式!$U$5:$U$16</c:f>
              <c:numCache>
                <c:formatCode>0.000</c:formatCode>
                <c:ptCount val="12"/>
                <c:pt idx="0">
                  <c:v>8.1971266995696179E-2</c:v>
                </c:pt>
                <c:pt idx="1">
                  <c:v>8.61486694425114E-2</c:v>
                </c:pt>
                <c:pt idx="2">
                  <c:v>8.5459112238232091E-2</c:v>
                </c:pt>
                <c:pt idx="3">
                  <c:v>9.284376445839071E-2</c:v>
                </c:pt>
                <c:pt idx="4">
                  <c:v>9.0918583138403758E-2</c:v>
                </c:pt>
                <c:pt idx="5">
                  <c:v>8.8268380080710113E-2</c:v>
                </c:pt>
                <c:pt idx="6">
                  <c:v>8.7125754441793143E-2</c:v>
                </c:pt>
                <c:pt idx="7">
                  <c:v>8.0589023142928984E-2</c:v>
                </c:pt>
                <c:pt idx="8">
                  <c:v>8.5368950939801916E-2</c:v>
                </c:pt>
                <c:pt idx="9">
                  <c:v>7.4432954139816931E-2</c:v>
                </c:pt>
                <c:pt idx="10">
                  <c:v>6.5857499191818117E-2</c:v>
                </c:pt>
                <c:pt idx="11">
                  <c:v>8.1167817239138546E-2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月間量回帰式!$V$3:$V$4</c:f>
              <c:strCache>
                <c:ptCount val="1"/>
                <c:pt idx="0">
                  <c:v>松森 600(200tx3炉〉</c:v>
                </c:pt>
              </c:strCache>
            </c:strRef>
          </c:tx>
          <c:spPr>
            <a:ln w="0">
              <a:solidFill>
                <a:srgbClr val="66FFFF"/>
              </a:solidFill>
              <a:prstDash val="solid"/>
            </a:ln>
          </c:spPr>
          <c:marker>
            <c:symbol val="circle"/>
            <c:size val="4"/>
            <c:spPr>
              <a:noFill/>
              <a:ln>
                <a:solidFill>
                  <a:srgbClr val="66FFFF"/>
                </a:solidFill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月間量回帰式!$Y$5:$Y$16</c:f>
              <c:numCache>
                <c:formatCode>0.000</c:formatCode>
                <c:ptCount val="12"/>
                <c:pt idx="0">
                  <c:v>8.1675098411791908E-2</c:v>
                </c:pt>
                <c:pt idx="1">
                  <c:v>8.5843363132333275E-2</c:v>
                </c:pt>
                <c:pt idx="2">
                  <c:v>8.5159968580657261E-2</c:v>
                </c:pt>
                <c:pt idx="3">
                  <c:v>9.2512458129384509E-2</c:v>
                </c:pt>
                <c:pt idx="4">
                  <c:v>9.0602864070378653E-2</c:v>
                </c:pt>
                <c:pt idx="5">
                  <c:v>8.7951035347429332E-2</c:v>
                </c:pt>
                <c:pt idx="6">
                  <c:v>8.6815039872692457E-2</c:v>
                </c:pt>
                <c:pt idx="7">
                  <c:v>8.0310364992628586E-2</c:v>
                </c:pt>
                <c:pt idx="8">
                  <c:v>8.5064324646462783E-2</c:v>
                </c:pt>
                <c:pt idx="9">
                  <c:v>7.4168161957873957E-2</c:v>
                </c:pt>
                <c:pt idx="10">
                  <c:v>6.5627866005503313E-2</c:v>
                </c:pt>
                <c:pt idx="11">
                  <c:v>8.0726737125960915E-2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月間量回帰式!$H$5:$H$16</c:f>
              <c:numCache>
                <c:formatCode>0.000</c:formatCode>
                <c:ptCount val="12"/>
                <c:pt idx="0">
                  <c:v>7.6501400928994254E-2</c:v>
                </c:pt>
                <c:pt idx="1">
                  <c:v>8.6293553760327171E-2</c:v>
                </c:pt>
                <c:pt idx="2">
                  <c:v>8.8658664053806027E-2</c:v>
                </c:pt>
                <c:pt idx="3">
                  <c:v>9.4654152965531743E-2</c:v>
                </c:pt>
                <c:pt idx="4">
                  <c:v>9.8234579568867289E-2</c:v>
                </c:pt>
                <c:pt idx="5">
                  <c:v>9.1272178635522935E-2</c:v>
                </c:pt>
                <c:pt idx="6">
                  <c:v>9.4203355868508101E-2</c:v>
                </c:pt>
                <c:pt idx="7">
                  <c:v>8.3132019547620395E-2</c:v>
                </c:pt>
                <c:pt idx="8">
                  <c:v>8.0257245665374927E-2</c:v>
                </c:pt>
                <c:pt idx="9">
                  <c:v>7.2160448244430783E-2</c:v>
                </c:pt>
                <c:pt idx="10">
                  <c:v>6.084459991821816E-2</c:v>
                </c:pt>
                <c:pt idx="11">
                  <c:v>7.3789273141264447E-2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月間量回帰式!$AB$3</c:f>
              <c:strCache>
                <c:ptCount val="1"/>
                <c:pt idx="0">
                  <c:v>3事業体平均</c:v>
                </c:pt>
              </c:strCache>
            </c:strRef>
          </c:tx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月間量回帰式!$AB$5:$AB$16</c:f>
              <c:numCache>
                <c:formatCode>0.000</c:formatCode>
                <c:ptCount val="12"/>
                <c:pt idx="0">
                  <c:v>7.9322176308980252E-2</c:v>
                </c:pt>
                <c:pt idx="1">
                  <c:v>8.9128643618102618E-2</c:v>
                </c:pt>
                <c:pt idx="2">
                  <c:v>8.7466418700092655E-2</c:v>
                </c:pt>
                <c:pt idx="3">
                  <c:v>9.3057188641443564E-2</c:v>
                </c:pt>
                <c:pt idx="4">
                  <c:v>9.4364251114423536E-2</c:v>
                </c:pt>
                <c:pt idx="5">
                  <c:v>8.7498753172037952E-2</c:v>
                </c:pt>
                <c:pt idx="6">
                  <c:v>9.00306780289966E-2</c:v>
                </c:pt>
                <c:pt idx="7">
                  <c:v>8.1438010045640843E-2</c:v>
                </c:pt>
                <c:pt idx="8">
                  <c:v>8.1735217189744303E-2</c:v>
                </c:pt>
                <c:pt idx="9">
                  <c:v>7.4890020694885998E-2</c:v>
                </c:pt>
                <c:pt idx="10">
                  <c:v>6.4081858761377689E-2</c:v>
                </c:pt>
                <c:pt idx="11">
                  <c:v>7.7688555125821387E-2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641600"/>
        <c:axId val="293655680"/>
      </c:lineChart>
      <c:catAx>
        <c:axId val="293641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65568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293655680"/>
        <c:scaling>
          <c:orientation val="minMax"/>
          <c:min val="6.0000000000000012E-2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641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305418355447502"/>
          <c:y val="0.60253684635845717"/>
          <c:w val="0.55651826384850789"/>
          <c:h val="0.219207798440347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3229951827366013"/>
          <c:y val="2.9827313942753019E-2"/>
          <c:w val="0.84649455658221817"/>
          <c:h val="0.85357051377042836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月間量回帰式!$C$20:$C$103</c:f>
              <c:numCache>
                <c:formatCode>0</c:formatCode>
                <c:ptCount val="84"/>
                <c:pt idx="0">
                  <c:v>5693.7099343496038</c:v>
                </c:pt>
                <c:pt idx="1">
                  <c:v>6461.0235251811728</c:v>
                </c:pt>
                <c:pt idx="2">
                  <c:v>6179.5927881937196</c:v>
                </c:pt>
                <c:pt idx="3">
                  <c:v>6411.8394300434275</c:v>
                </c:pt>
                <c:pt idx="4">
                  <c:v>6767.281654590066</c:v>
                </c:pt>
                <c:pt idx="5">
                  <c:v>6054.9434296986519</c:v>
                </c:pt>
                <c:pt idx="6">
                  <c:v>6164.2626032404287</c:v>
                </c:pt>
                <c:pt idx="7">
                  <c:v>5754.4110320193013</c:v>
                </c:pt>
                <c:pt idx="8">
                  <c:v>5830.9070462498912</c:v>
                </c:pt>
                <c:pt idx="9">
                  <c:v>5508.7884612072394</c:v>
                </c:pt>
                <c:pt idx="10">
                  <c:v>4728.3759929486159</c:v>
                </c:pt>
                <c:pt idx="11">
                  <c:v>5774.2107831388548</c:v>
                </c:pt>
                <c:pt idx="12">
                  <c:v>5482.3589469097042</c:v>
                </c:pt>
                <c:pt idx="13">
                  <c:v>6221.1897932797165</c:v>
                </c:pt>
                <c:pt idx="14">
                  <c:v>5950.2057887117353</c:v>
                </c:pt>
                <c:pt idx="15">
                  <c:v>6173.8314158538951</c:v>
                </c:pt>
                <c:pt idx="16">
                  <c:v>6516.079595392629</c:v>
                </c:pt>
                <c:pt idx="17">
                  <c:v>5830.1834247958523</c:v>
                </c:pt>
                <c:pt idx="18">
                  <c:v>5935.444661501966</c:v>
                </c:pt>
                <c:pt idx="19">
                  <c:v>5540.8068147733347</c:v>
                </c:pt>
                <c:pt idx="20">
                  <c:v>5614.4632905783164</c:v>
                </c:pt>
                <c:pt idx="21">
                  <c:v>5304.3017742670354</c:v>
                </c:pt>
                <c:pt idx="22">
                  <c:v>4552.8582818920968</c:v>
                </c:pt>
                <c:pt idx="23">
                  <c:v>5559.8715974806528</c:v>
                </c:pt>
                <c:pt idx="24">
                  <c:v>5397.9493997803338</c:v>
                </c:pt>
                <c:pt idx="25">
                  <c:v>6125.4047820935002</c:v>
                </c:pt>
                <c:pt idx="26">
                  <c:v>5858.5930028990097</c:v>
                </c:pt>
                <c:pt idx="27">
                  <c:v>6078.7755614467223</c:v>
                </c:pt>
                <c:pt idx="28">
                  <c:v>6415.7542914436672</c:v>
                </c:pt>
                <c:pt idx="29">
                  <c:v>5740.4185722325992</c:v>
                </c:pt>
                <c:pt idx="30">
                  <c:v>5844.0591464817899</c:v>
                </c:pt>
                <c:pt idx="31">
                  <c:v>5455.4973707009112</c:v>
                </c:pt>
                <c:pt idx="32">
                  <c:v>5528.019789099938</c:v>
                </c:pt>
                <c:pt idx="33">
                  <c:v>5222.633697634481</c:v>
                </c:pt>
                <c:pt idx="34">
                  <c:v>4482.7598608583294</c:v>
                </c:pt>
                <c:pt idx="35">
                  <c:v>5474.268621063844</c:v>
                </c:pt>
                <c:pt idx="36">
                  <c:v>4911.22</c:v>
                </c:pt>
                <c:pt idx="37">
                  <c:v>5017.6899999999996</c:v>
                </c:pt>
                <c:pt idx="38">
                  <c:v>5245.7</c:v>
                </c:pt>
                <c:pt idx="39">
                  <c:v>5444.63</c:v>
                </c:pt>
                <c:pt idx="40">
                  <c:v>5507.05</c:v>
                </c:pt>
                <c:pt idx="41">
                  <c:v>5124.37</c:v>
                </c:pt>
                <c:pt idx="42">
                  <c:v>5005.3</c:v>
                </c:pt>
                <c:pt idx="43">
                  <c:v>4810.2299999999996</c:v>
                </c:pt>
                <c:pt idx="44">
                  <c:v>5090.9399999999996</c:v>
                </c:pt>
                <c:pt idx="45">
                  <c:v>4515.71</c:v>
                </c:pt>
                <c:pt idx="46">
                  <c:v>4193.24</c:v>
                </c:pt>
                <c:pt idx="47">
                  <c:v>4900.29</c:v>
                </c:pt>
                <c:pt idx="48">
                  <c:v>4802.12</c:v>
                </c:pt>
                <c:pt idx="49">
                  <c:v>5502.55</c:v>
                </c:pt>
                <c:pt idx="50">
                  <c:v>4991.43</c:v>
                </c:pt>
                <c:pt idx="51">
                  <c:v>5226.55</c:v>
                </c:pt>
                <c:pt idx="52">
                  <c:v>5805.25</c:v>
                </c:pt>
                <c:pt idx="53">
                  <c:v>5310.79</c:v>
                </c:pt>
                <c:pt idx="54">
                  <c:v>4948.62</c:v>
                </c:pt>
                <c:pt idx="55">
                  <c:v>4702.2700000000004</c:v>
                </c:pt>
                <c:pt idx="56">
                  <c:v>5076.05</c:v>
                </c:pt>
                <c:pt idx="57">
                  <c:v>4597.87</c:v>
                </c:pt>
                <c:pt idx="58">
                  <c:v>3936.52</c:v>
                </c:pt>
                <c:pt idx="59">
                  <c:v>4818.8599999999997</c:v>
                </c:pt>
                <c:pt idx="60">
                  <c:v>4574.25</c:v>
                </c:pt>
                <c:pt idx="61">
                  <c:v>5535.09</c:v>
                </c:pt>
                <c:pt idx="62">
                  <c:v>5442.01</c:v>
                </c:pt>
                <c:pt idx="63">
                  <c:v>5365.97</c:v>
                </c:pt>
                <c:pt idx="64">
                  <c:v>5947.22</c:v>
                </c:pt>
                <c:pt idx="65">
                  <c:v>5135.9799999999996</c:v>
                </c:pt>
                <c:pt idx="66">
                  <c:v>5397.84</c:v>
                </c:pt>
                <c:pt idx="67">
                  <c:v>4808.5200000000004</c:v>
                </c:pt>
                <c:pt idx="68">
                  <c:v>4770.28</c:v>
                </c:pt>
                <c:pt idx="69">
                  <c:v>4593.75</c:v>
                </c:pt>
                <c:pt idx="70">
                  <c:v>3827.41</c:v>
                </c:pt>
                <c:pt idx="71">
                  <c:v>4817.8999999999996</c:v>
                </c:pt>
                <c:pt idx="72">
                  <c:v>4824.92</c:v>
                </c:pt>
                <c:pt idx="73">
                  <c:v>5632.88</c:v>
                </c:pt>
                <c:pt idx="74">
                  <c:v>5064.37</c:v>
                </c:pt>
                <c:pt idx="75">
                  <c:v>5485.96</c:v>
                </c:pt>
                <c:pt idx="76">
                  <c:v>5456.73</c:v>
                </c:pt>
                <c:pt idx="77">
                  <c:v>4753.95</c:v>
                </c:pt>
                <c:pt idx="78">
                  <c:v>5340.29</c:v>
                </c:pt>
                <c:pt idx="79">
                  <c:v>4995.25</c:v>
                </c:pt>
                <c:pt idx="80">
                  <c:v>4635.78</c:v>
                </c:pt>
                <c:pt idx="81">
                  <c:v>4784.4399999999996</c:v>
                </c:pt>
                <c:pt idx="82">
                  <c:v>3914.93</c:v>
                </c:pt>
                <c:pt idx="83">
                  <c:v>4000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月間量回帰式!$F$20:$F$103</c:f>
              <c:numCache>
                <c:formatCode>0</c:formatCode>
                <c:ptCount val="84"/>
                <c:pt idx="0">
                  <c:v>3453.58</c:v>
                </c:pt>
                <c:pt idx="1">
                  <c:v>3056.66</c:v>
                </c:pt>
                <c:pt idx="2">
                  <c:v>3703.76</c:v>
                </c:pt>
                <c:pt idx="3">
                  <c:v>3890.44</c:v>
                </c:pt>
                <c:pt idx="4">
                  <c:v>4693.46</c:v>
                </c:pt>
                <c:pt idx="5">
                  <c:v>4639.37</c:v>
                </c:pt>
                <c:pt idx="6">
                  <c:v>4819.8100000000004</c:v>
                </c:pt>
                <c:pt idx="7">
                  <c:v>4550.29</c:v>
                </c:pt>
                <c:pt idx="8">
                  <c:v>4161.66</c:v>
                </c:pt>
                <c:pt idx="9">
                  <c:v>3121.59</c:v>
                </c:pt>
                <c:pt idx="10">
                  <c:v>2658.44</c:v>
                </c:pt>
                <c:pt idx="11">
                  <c:v>3137.77</c:v>
                </c:pt>
                <c:pt idx="12">
                  <c:v>3274.12</c:v>
                </c:pt>
                <c:pt idx="13">
                  <c:v>3669.2</c:v>
                </c:pt>
                <c:pt idx="14">
                  <c:v>3632.79</c:v>
                </c:pt>
                <c:pt idx="15">
                  <c:v>4241.7700000000004</c:v>
                </c:pt>
                <c:pt idx="16">
                  <c:v>4204.96</c:v>
                </c:pt>
                <c:pt idx="17">
                  <c:v>3639.07</c:v>
                </c:pt>
                <c:pt idx="18">
                  <c:v>3922.53</c:v>
                </c:pt>
                <c:pt idx="19">
                  <c:v>3376.88</c:v>
                </c:pt>
                <c:pt idx="20">
                  <c:v>3260.82</c:v>
                </c:pt>
                <c:pt idx="21">
                  <c:v>3094.86</c:v>
                </c:pt>
                <c:pt idx="22">
                  <c:v>2416.7399999999998</c:v>
                </c:pt>
                <c:pt idx="23">
                  <c:v>3025.7</c:v>
                </c:pt>
                <c:pt idx="24">
                  <c:v>3232.15</c:v>
                </c:pt>
                <c:pt idx="25">
                  <c:v>3633.7</c:v>
                </c:pt>
                <c:pt idx="26">
                  <c:v>3717.2</c:v>
                </c:pt>
                <c:pt idx="27">
                  <c:v>3963.2</c:v>
                </c:pt>
                <c:pt idx="28">
                  <c:v>3892.13</c:v>
                </c:pt>
                <c:pt idx="29">
                  <c:v>3780.22</c:v>
                </c:pt>
                <c:pt idx="30">
                  <c:v>3844.77</c:v>
                </c:pt>
                <c:pt idx="31">
                  <c:v>3193.13</c:v>
                </c:pt>
                <c:pt idx="32">
                  <c:v>3325.02</c:v>
                </c:pt>
                <c:pt idx="33">
                  <c:v>3093.86</c:v>
                </c:pt>
                <c:pt idx="34">
                  <c:v>2539.4899999999998</c:v>
                </c:pt>
                <c:pt idx="35">
                  <c:v>3137.62</c:v>
                </c:pt>
                <c:pt idx="36">
                  <c:v>3213.16</c:v>
                </c:pt>
                <c:pt idx="37">
                  <c:v>3508.9</c:v>
                </c:pt>
                <c:pt idx="38">
                  <c:v>3648.39</c:v>
                </c:pt>
                <c:pt idx="39">
                  <c:v>3828.38</c:v>
                </c:pt>
                <c:pt idx="40">
                  <c:v>3788.74</c:v>
                </c:pt>
                <c:pt idx="41">
                  <c:v>3700.23</c:v>
                </c:pt>
                <c:pt idx="42">
                  <c:v>3571.69</c:v>
                </c:pt>
                <c:pt idx="43">
                  <c:v>3233.36</c:v>
                </c:pt>
                <c:pt idx="44">
                  <c:v>3359.44</c:v>
                </c:pt>
                <c:pt idx="45">
                  <c:v>2915.17</c:v>
                </c:pt>
                <c:pt idx="46">
                  <c:v>2728.16</c:v>
                </c:pt>
                <c:pt idx="47">
                  <c:v>3122.56</c:v>
                </c:pt>
                <c:pt idx="48">
                  <c:v>3162.5</c:v>
                </c:pt>
                <c:pt idx="49">
                  <c:v>3654.06</c:v>
                </c:pt>
                <c:pt idx="50">
                  <c:v>3658.47</c:v>
                </c:pt>
                <c:pt idx="51">
                  <c:v>3848.64</c:v>
                </c:pt>
                <c:pt idx="52">
                  <c:v>3988.3</c:v>
                </c:pt>
                <c:pt idx="53">
                  <c:v>3674.49</c:v>
                </c:pt>
                <c:pt idx="54">
                  <c:v>3668.54</c:v>
                </c:pt>
                <c:pt idx="55">
                  <c:v>3240.38</c:v>
                </c:pt>
                <c:pt idx="56">
                  <c:v>3200.46</c:v>
                </c:pt>
                <c:pt idx="57">
                  <c:v>2885.05</c:v>
                </c:pt>
                <c:pt idx="58">
                  <c:v>2475.5</c:v>
                </c:pt>
                <c:pt idx="59">
                  <c:v>2975.21</c:v>
                </c:pt>
                <c:pt idx="60">
                  <c:v>2943.86</c:v>
                </c:pt>
                <c:pt idx="61">
                  <c:v>3705.96</c:v>
                </c:pt>
                <c:pt idx="62">
                  <c:v>3770.52</c:v>
                </c:pt>
                <c:pt idx="63">
                  <c:v>3885.4</c:v>
                </c:pt>
                <c:pt idx="64">
                  <c:v>4267.82</c:v>
                </c:pt>
                <c:pt idx="65">
                  <c:v>3661.59</c:v>
                </c:pt>
                <c:pt idx="66">
                  <c:v>3700.68</c:v>
                </c:pt>
                <c:pt idx="67">
                  <c:v>3337.72</c:v>
                </c:pt>
                <c:pt idx="68">
                  <c:v>3094.41</c:v>
                </c:pt>
                <c:pt idx="69">
                  <c:v>2901.53</c:v>
                </c:pt>
                <c:pt idx="70">
                  <c:v>2403.42</c:v>
                </c:pt>
                <c:pt idx="71">
                  <c:v>3074.8</c:v>
                </c:pt>
                <c:pt idx="72">
                  <c:v>2997.38</c:v>
                </c:pt>
                <c:pt idx="73">
                  <c:v>3801.51</c:v>
                </c:pt>
                <c:pt idx="74">
                  <c:v>3646.96</c:v>
                </c:pt>
                <c:pt idx="75">
                  <c:v>3865.93</c:v>
                </c:pt>
                <c:pt idx="76">
                  <c:v>3797.17</c:v>
                </c:pt>
                <c:pt idx="77">
                  <c:v>3534.99</c:v>
                </c:pt>
                <c:pt idx="78">
                  <c:v>3963.28</c:v>
                </c:pt>
                <c:pt idx="79">
                  <c:v>3357.65</c:v>
                </c:pt>
                <c:pt idx="80">
                  <c:v>3025.6</c:v>
                </c:pt>
                <c:pt idx="81">
                  <c:v>2986.16</c:v>
                </c:pt>
                <c:pt idx="82">
                  <c:v>2479.9899999999998</c:v>
                </c:pt>
                <c:pt idx="83">
                  <c:v>2988.55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月間量回帰式!$J$18:$J$19</c:f>
              <c:strCache>
                <c:ptCount val="1"/>
                <c:pt idx="0">
                  <c:v>仙台市合計</c:v>
                </c:pt>
              </c:strCache>
            </c:strRef>
          </c:tx>
          <c:spPr>
            <a:ln w="0">
              <a:solidFill>
                <a:srgbClr val="C00000"/>
              </a:solidFill>
            </a:ln>
          </c:spPr>
          <c:marker>
            <c:symbol val="square"/>
            <c:size val="4"/>
            <c:spPr>
              <a:solidFill>
                <a:srgbClr val="C00000"/>
              </a:solidFill>
              <a:ln w="0">
                <a:solidFill>
                  <a:srgbClr val="C00000"/>
                </a:solidFill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月間量回帰式!$J$20:$J$103</c:f>
              <c:numCache>
                <c:formatCode>General</c:formatCode>
                <c:ptCount val="84"/>
                <c:pt idx="5" formatCode="0">
                  <c:v>28079</c:v>
                </c:pt>
                <c:pt idx="6" formatCode="0">
                  <c:v>32007</c:v>
                </c:pt>
                <c:pt idx="7" formatCode="0">
                  <c:v>27906</c:v>
                </c:pt>
                <c:pt idx="8" formatCode="0">
                  <c:v>27426</c:v>
                </c:pt>
                <c:pt idx="9" formatCode="0">
                  <c:v>25536</c:v>
                </c:pt>
                <c:pt idx="10" formatCode="0">
                  <c:v>21915</c:v>
                </c:pt>
                <c:pt idx="11" formatCode="0">
                  <c:v>27132</c:v>
                </c:pt>
                <c:pt idx="12" formatCode="0">
                  <c:v>29005.073669400437</c:v>
                </c:pt>
                <c:pt idx="13" formatCode="0">
                  <c:v>30572.972065646176</c:v>
                </c:pt>
                <c:pt idx="14" formatCode="0">
                  <c:v>29842.402585953572</c:v>
                </c:pt>
                <c:pt idx="15" formatCode="0">
                  <c:v>34019.627218408001</c:v>
                </c:pt>
                <c:pt idx="16" formatCode="0">
                  <c:v>32566.861548188321</c:v>
                </c:pt>
                <c:pt idx="17" formatCode="0">
                  <c:v>30173.147507992056</c:v>
                </c:pt>
                <c:pt idx="18" formatCode="0">
                  <c:v>31359.014586060432</c:v>
                </c:pt>
                <c:pt idx="19" formatCode="0">
                  <c:v>28464.99651822367</c:v>
                </c:pt>
                <c:pt idx="20" formatCode="0">
                  <c:v>29372.451731538127</c:v>
                </c:pt>
                <c:pt idx="21" formatCode="0">
                  <c:v>26973.504385613407</c:v>
                </c:pt>
                <c:pt idx="22" formatCode="0">
                  <c:v>22261.435907710664</c:v>
                </c:pt>
                <c:pt idx="23" formatCode="0">
                  <c:v>28005.512275265144</c:v>
                </c:pt>
                <c:pt idx="24" formatCode="0">
                  <c:v>29204.565838092043</c:v>
                </c:pt>
                <c:pt idx="25" formatCode="0">
                  <c:v>30105.61795191708</c:v>
                </c:pt>
                <c:pt idx="26" formatCode="0">
                  <c:v>29497.931642593216</c:v>
                </c:pt>
                <c:pt idx="27" formatCode="0">
                  <c:v>32669.425536254137</c:v>
                </c:pt>
                <c:pt idx="28" formatCode="0">
                  <c:v>31132.398267671193</c:v>
                </c:pt>
                <c:pt idx="29" formatCode="0">
                  <c:v>31292.701725130766</c:v>
                </c:pt>
                <c:pt idx="30" formatCode="0">
                  <c:v>30638.915075099576</c:v>
                </c:pt>
                <c:pt idx="31" formatCode="0">
                  <c:v>27477.898531599407</c:v>
                </c:pt>
                <c:pt idx="32" formatCode="0">
                  <c:v>30038.562910888239</c:v>
                </c:pt>
                <c:pt idx="33" formatCode="0">
                  <c:v>26110.604335620708</c:v>
                </c:pt>
                <c:pt idx="34" formatCode="0">
                  <c:v>22643.649167426462</c:v>
                </c:pt>
                <c:pt idx="35" formatCode="0">
                  <c:v>28527.729017707181</c:v>
                </c:pt>
                <c:pt idx="36" formatCode="0">
                  <c:v>28392.12467885841</c:v>
                </c:pt>
                <c:pt idx="37" formatCode="0">
                  <c:v>28901.071735288224</c:v>
                </c:pt>
                <c:pt idx="38" formatCode="0">
                  <c:v>29590.139972182911</c:v>
                </c:pt>
                <c:pt idx="39" formatCode="0">
                  <c:v>31701.327761817705</c:v>
                </c:pt>
                <c:pt idx="40" formatCode="0">
                  <c:v>30488.651442176291</c:v>
                </c:pt>
                <c:pt idx="41" formatCode="0">
                  <c:v>30795.485778665876</c:v>
                </c:pt>
                <c:pt idx="42" formatCode="0">
                  <c:v>29538.826380073733</c:v>
                </c:pt>
                <c:pt idx="43" formatCode="0">
                  <c:v>27977.427077322998</c:v>
                </c:pt>
                <c:pt idx="44" formatCode="0">
                  <c:v>30357.749421489611</c:v>
                </c:pt>
                <c:pt idx="45" formatCode="0">
                  <c:v>24933.169684233537</c:v>
                </c:pt>
                <c:pt idx="46" formatCode="0">
                  <c:v>23775.995821363278</c:v>
                </c:pt>
                <c:pt idx="47" formatCode="0">
                  <c:v>28390.030246527422</c:v>
                </c:pt>
                <c:pt idx="48" formatCode="0">
                  <c:v>27232.268472520966</c:v>
                </c:pt>
                <c:pt idx="49" formatCode="0">
                  <c:v>30036.962507249089</c:v>
                </c:pt>
                <c:pt idx="50" formatCode="0">
                  <c:v>29714.029511848621</c:v>
                </c:pt>
                <c:pt idx="51" formatCode="0">
                  <c:v>30565.398317904408</c:v>
                </c:pt>
                <c:pt idx="52" formatCode="0">
                  <c:v>32046.905858491638</c:v>
                </c:pt>
                <c:pt idx="53" formatCode="0">
                  <c:v>30283.356188804646</c:v>
                </c:pt>
                <c:pt idx="54" formatCode="0">
                  <c:v>29457.150992780062</c:v>
                </c:pt>
                <c:pt idx="55" formatCode="0">
                  <c:v>27966.207098431129</c:v>
                </c:pt>
                <c:pt idx="56" formatCode="0">
                  <c:v>28756.763846911505</c:v>
                </c:pt>
                <c:pt idx="57" formatCode="0">
                  <c:v>25351.288622688349</c:v>
                </c:pt>
                <c:pt idx="58" formatCode="0">
                  <c:v>22734.273179442964</c:v>
                </c:pt>
                <c:pt idx="59" formatCode="0">
                  <c:v>27559.395402926639</c:v>
                </c:pt>
                <c:pt idx="60" formatCode="0">
                  <c:v>24343.564904198178</c:v>
                </c:pt>
                <c:pt idx="61" formatCode="0">
                  <c:v>30036.392021804797</c:v>
                </c:pt>
                <c:pt idx="62" formatCode="0">
                  <c:v>30042.732713638659</c:v>
                </c:pt>
                <c:pt idx="63" formatCode="0">
                  <c:v>30298.388109838859</c:v>
                </c:pt>
                <c:pt idx="64" formatCode="0">
                  <c:v>33425.35768207298</c:v>
                </c:pt>
                <c:pt idx="65" formatCode="0">
                  <c:v>28768.889979311483</c:v>
                </c:pt>
                <c:pt idx="66" formatCode="0">
                  <c:v>29640.732477039666</c:v>
                </c:pt>
                <c:pt idx="67" formatCode="0">
                  <c:v>26570.191650296685</c:v>
                </c:pt>
                <c:pt idx="68" formatCode="0">
                  <c:v>25485.126915564779</c:v>
                </c:pt>
                <c:pt idx="69" formatCode="0">
                  <c:v>24226.127115466632</c:v>
                </c:pt>
                <c:pt idx="70" formatCode="0">
                  <c:v>20127.953613739417</c:v>
                </c:pt>
                <c:pt idx="71" formatCode="0">
                  <c:v>25535.973950164182</c:v>
                </c:pt>
                <c:pt idx="72" formatCode="0">
                  <c:v>29059</c:v>
                </c:pt>
                <c:pt idx="73" formatCode="0">
                  <c:v>26089</c:v>
                </c:pt>
                <c:pt idx="74" formatCode="0">
                  <c:v>23505</c:v>
                </c:pt>
                <c:pt idx="75" formatCode="0">
                  <c:v>23312</c:v>
                </c:pt>
                <c:pt idx="76" formatCode="0">
                  <c:v>30577</c:v>
                </c:pt>
                <c:pt idx="77" formatCode="0">
                  <c:v>34448</c:v>
                </c:pt>
                <c:pt idx="78" formatCode="0">
                  <c:v>22363</c:v>
                </c:pt>
                <c:pt idx="79" formatCode="0">
                  <c:v>26575</c:v>
                </c:pt>
                <c:pt idx="80" formatCode="0">
                  <c:v>26775</c:v>
                </c:pt>
                <c:pt idx="81" formatCode="0">
                  <c:v>22498</c:v>
                </c:pt>
                <c:pt idx="82" formatCode="0">
                  <c:v>26586</c:v>
                </c:pt>
                <c:pt idx="83" formatCode="0">
                  <c:v>30804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711872"/>
        <c:axId val="293714560"/>
      </c:lineChart>
      <c:catAx>
        <c:axId val="29371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714560"/>
        <c:crosses val="autoZero"/>
        <c:auto val="0"/>
        <c:lblAlgn val="ctr"/>
        <c:lblOffset val="0"/>
        <c:tickLblSkip val="6"/>
        <c:tickMarkSkip val="6"/>
        <c:noMultiLvlLbl val="0"/>
      </c:catAx>
      <c:valAx>
        <c:axId val="2937145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71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738943589467096"/>
          <c:y val="1.4121474252337099E-4"/>
          <c:w val="0.64666866535036738"/>
          <c:h val="0.1322346118650308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84993864403313213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濃度回帰式!$F$57</c:f>
              <c:strCache>
                <c:ptCount val="1"/>
                <c:pt idx="0">
                  <c:v>Cs-134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濃度回帰式!$F$64:$F$148</c:f>
              <c:numCache>
                <c:formatCode>General</c:formatCode>
                <c:ptCount val="85"/>
                <c:pt idx="1">
                  <c:v>340</c:v>
                </c:pt>
                <c:pt idx="2">
                  <c:v>550</c:v>
                </c:pt>
                <c:pt idx="3">
                  <c:v>550</c:v>
                </c:pt>
                <c:pt idx="4">
                  <c:v>460</c:v>
                </c:pt>
                <c:pt idx="5">
                  <c:v>390</c:v>
                </c:pt>
                <c:pt idx="6">
                  <c:v>300</c:v>
                </c:pt>
                <c:pt idx="7">
                  <c:v>260</c:v>
                </c:pt>
                <c:pt idx="8">
                  <c:v>250</c:v>
                </c:pt>
                <c:pt idx="9">
                  <c:v>180</c:v>
                </c:pt>
                <c:pt idx="10">
                  <c:v>160</c:v>
                </c:pt>
                <c:pt idx="11">
                  <c:v>98</c:v>
                </c:pt>
                <c:pt idx="12">
                  <c:v>160</c:v>
                </c:pt>
                <c:pt idx="13">
                  <c:v>220</c:v>
                </c:pt>
                <c:pt idx="14">
                  <c:v>250</c:v>
                </c:pt>
                <c:pt idx="15">
                  <c:v>260</c:v>
                </c:pt>
                <c:pt idx="16">
                  <c:v>200</c:v>
                </c:pt>
                <c:pt idx="17">
                  <c:v>190</c:v>
                </c:pt>
                <c:pt idx="18">
                  <c:v>150</c:v>
                </c:pt>
                <c:pt idx="19">
                  <c:v>130</c:v>
                </c:pt>
                <c:pt idx="20">
                  <c:v>120</c:v>
                </c:pt>
                <c:pt idx="21">
                  <c:v>110</c:v>
                </c:pt>
                <c:pt idx="22">
                  <c:v>76</c:v>
                </c:pt>
                <c:pt idx="23">
                  <c:v>46</c:v>
                </c:pt>
                <c:pt idx="24">
                  <c:v>49</c:v>
                </c:pt>
                <c:pt idx="25">
                  <c:v>74</c:v>
                </c:pt>
                <c:pt idx="26">
                  <c:v>120</c:v>
                </c:pt>
                <c:pt idx="27">
                  <c:v>110</c:v>
                </c:pt>
                <c:pt idx="28">
                  <c:v>91</c:v>
                </c:pt>
                <c:pt idx="29">
                  <c:v>74</c:v>
                </c:pt>
                <c:pt idx="30">
                  <c:v>72</c:v>
                </c:pt>
                <c:pt idx="31">
                  <c:v>63</c:v>
                </c:pt>
                <c:pt idx="32">
                  <c:v>60</c:v>
                </c:pt>
                <c:pt idx="33">
                  <c:v>60</c:v>
                </c:pt>
                <c:pt idx="34">
                  <c:v>33</c:v>
                </c:pt>
                <c:pt idx="35">
                  <c:v>20</c:v>
                </c:pt>
                <c:pt idx="36">
                  <c:v>26</c:v>
                </c:pt>
                <c:pt idx="37">
                  <c:v>47</c:v>
                </c:pt>
                <c:pt idx="38">
                  <c:v>67</c:v>
                </c:pt>
                <c:pt idx="39">
                  <c:v>58</c:v>
                </c:pt>
                <c:pt idx="40">
                  <c:v>56</c:v>
                </c:pt>
                <c:pt idx="41">
                  <c:v>39</c:v>
                </c:pt>
                <c:pt idx="42">
                  <c:v>35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23</c:v>
                </c:pt>
                <c:pt idx="47">
                  <c:v>24</c:v>
                </c:pt>
                <c:pt idx="48">
                  <c:v>17</c:v>
                </c:pt>
                <c:pt idx="49">
                  <c:v>22</c:v>
                </c:pt>
                <c:pt idx="50">
                  <c:v>33</c:v>
                </c:pt>
                <c:pt idx="51">
                  <c:v>42</c:v>
                </c:pt>
                <c:pt idx="52">
                  <c:v>33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12</c:v>
                </c:pt>
                <c:pt idx="61">
                  <c:v>17</c:v>
                </c:pt>
                <c:pt idx="62">
                  <c:v>25</c:v>
                </c:pt>
                <c:pt idx="63">
                  <c:v>22</c:v>
                </c:pt>
                <c:pt idx="64">
                  <c:v>20</c:v>
                </c:pt>
                <c:pt idx="65">
                  <c:v>14</c:v>
                </c:pt>
                <c:pt idx="66">
                  <c:v>15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11</c:v>
                </c:pt>
                <c:pt idx="71">
                  <c:v>5.5</c:v>
                </c:pt>
                <c:pt idx="72" formatCode="0.0">
                  <c:v>5.383998161135243</c:v>
                </c:pt>
                <c:pt idx="73">
                  <c:v>11</c:v>
                </c:pt>
                <c:pt idx="74">
                  <c:v>14</c:v>
                </c:pt>
                <c:pt idx="75">
                  <c:v>16</c:v>
                </c:pt>
                <c:pt idx="76">
                  <c:v>12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 formatCode="0.0">
                  <c:v>4.2971331004994537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濃度回帰式!$O$57</c:f>
              <c:strCache>
                <c:ptCount val="1"/>
                <c:pt idx="0">
                  <c:v>回帰式_Cs-134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濃度回帰式!$O$64:$O$148</c:f>
              <c:numCache>
                <c:formatCode>0</c:formatCode>
                <c:ptCount val="85"/>
                <c:pt idx="1">
                  <c:v>411.19404766024519</c:v>
                </c:pt>
                <c:pt idx="2">
                  <c:v>576.79527846674182</c:v>
                </c:pt>
                <c:pt idx="3">
                  <c:v>578.2480181912415</c:v>
                </c:pt>
                <c:pt idx="4">
                  <c:v>512.15485234831783</c:v>
                </c:pt>
                <c:pt idx="5">
                  <c:v>413.28022000427598</c:v>
                </c:pt>
                <c:pt idx="6">
                  <c:v>358.32067713714514</c:v>
                </c:pt>
                <c:pt idx="7">
                  <c:v>308.66068014639461</c:v>
                </c:pt>
                <c:pt idx="8">
                  <c:v>240.20504686885241</c:v>
                </c:pt>
                <c:pt idx="9">
                  <c:v>165.83749284351126</c:v>
                </c:pt>
                <c:pt idx="10">
                  <c:v>139.794619301506</c:v>
                </c:pt>
                <c:pt idx="11">
                  <c:v>119.19036183883253</c:v>
                </c:pt>
                <c:pt idx="12">
                  <c:v>104.17637402677464</c:v>
                </c:pt>
                <c:pt idx="13">
                  <c:v>166.62745385685463</c:v>
                </c:pt>
                <c:pt idx="14">
                  <c:v>235.06682530609376</c:v>
                </c:pt>
                <c:pt idx="15">
                  <c:v>237.09848940078018</c:v>
                </c:pt>
                <c:pt idx="16">
                  <c:v>211.3484666455829</c:v>
                </c:pt>
                <c:pt idx="17">
                  <c:v>171.73081047303268</c:v>
                </c:pt>
                <c:pt idx="18">
                  <c:v>150.0093033277615</c:v>
                </c:pt>
                <c:pt idx="19">
                  <c:v>130.21815911766831</c:v>
                </c:pt>
                <c:pt idx="20">
                  <c:v>102.20048237405877</c:v>
                </c:pt>
                <c:pt idx="21">
                  <c:v>71.167965473467731</c:v>
                </c:pt>
                <c:pt idx="22">
                  <c:v>60.573023558679431</c:v>
                </c:pt>
                <c:pt idx="23">
                  <c:v>52.16970598022786</c:v>
                </c:pt>
                <c:pt idx="24">
                  <c:v>46.045067018585954</c:v>
                </c:pt>
                <c:pt idx="25">
                  <c:v>74.480027931577709</c:v>
                </c:pt>
                <c:pt idx="26">
                  <c:v>106.25831094806493</c:v>
                </c:pt>
                <c:pt idx="27">
                  <c:v>108.52702648322915</c:v>
                </c:pt>
                <c:pt idx="28">
                  <c:v>97.962384284294274</c:v>
                </c:pt>
                <c:pt idx="29">
                  <c:v>80.700133741429894</c:v>
                </c:pt>
                <c:pt idx="30">
                  <c:v>71.495438239855417</c:v>
                </c:pt>
                <c:pt idx="31">
                  <c:v>62.961069772110726</c:v>
                </c:pt>
                <c:pt idx="32">
                  <c:v>50.182392930644177</c:v>
                </c:pt>
                <c:pt idx="33">
                  <c:v>35.488728820601594</c:v>
                </c:pt>
                <c:pt idx="34">
                  <c:v>30.712625851723661</c:v>
                </c:pt>
                <c:pt idx="35">
                  <c:v>26.906971965588799</c:v>
                </c:pt>
                <c:pt idx="36">
                  <c:v>24.126511840796447</c:v>
                </c:pt>
                <c:pt idx="37">
                  <c:v>39.730726094501478</c:v>
                </c:pt>
                <c:pt idx="38">
                  <c:v>57.704567364169641</c:v>
                </c:pt>
                <c:pt idx="39">
                  <c:v>60.056472497187173</c:v>
                </c:pt>
                <c:pt idx="40">
                  <c:v>55.21525701876444</c:v>
                </c:pt>
                <c:pt idx="41">
                  <c:v>46.379155368215486</c:v>
                </c:pt>
                <c:pt idx="42">
                  <c:v>41.902782529975127</c:v>
                </c:pt>
                <c:pt idx="43">
                  <c:v>37.609428636513712</c:v>
                </c:pt>
                <c:pt idx="44">
                  <c:v>30.572572661825639</c:v>
                </c:pt>
                <c:pt idx="45">
                  <c:v>22.041614727736405</c:v>
                </c:pt>
                <c:pt idx="46">
                  <c:v>19.454338133906116</c:v>
                </c:pt>
                <c:pt idx="47">
                  <c:v>17.379852874915056</c:v>
                </c:pt>
                <c:pt idx="48">
                  <c:v>15.850688095897727</c:v>
                </c:pt>
                <c:pt idx="49">
                  <c:v>26.617004219818917</c:v>
                </c:pt>
                <c:pt idx="50">
                  <c:v>39.381540952863595</c:v>
                </c:pt>
                <c:pt idx="51">
                  <c:v>41.752457785934048</c:v>
                </c:pt>
                <c:pt idx="52">
                  <c:v>39.082003851070617</c:v>
                </c:pt>
                <c:pt idx="53">
                  <c:v>33.421513442205473</c:v>
                </c:pt>
                <c:pt idx="54">
                  <c:v>30.730511837272314</c:v>
                </c:pt>
                <c:pt idx="55">
                  <c:v>28.038386517927691</c:v>
                </c:pt>
                <c:pt idx="56">
                  <c:v>23.172985002609465</c:v>
                </c:pt>
                <c:pt idx="57">
                  <c:v>16.965945626244689</c:v>
                </c:pt>
                <c:pt idx="58">
                  <c:v>15.204788671437178</c:v>
                </c:pt>
                <c:pt idx="59">
                  <c:v>13.786760561197816</c:v>
                </c:pt>
                <c:pt idx="60">
                  <c:v>12.744753418234804</c:v>
                </c:pt>
                <c:pt idx="61">
                  <c:v>21.692713001900024</c:v>
                </c:pt>
                <c:pt idx="62">
                  <c:v>32.500624398095582</c:v>
                </c:pt>
                <c:pt idx="63">
                  <c:v>34.892466105455419</c:v>
                </c:pt>
                <c:pt idx="64">
                  <c:v>33.029449599886242</c:v>
                </c:pt>
                <c:pt idx="65">
                  <c:v>28.560540146508234</c:v>
                </c:pt>
                <c:pt idx="66">
                  <c:v>26.535779616524128</c:v>
                </c:pt>
                <c:pt idx="67">
                  <c:v>24.446465212412043</c:v>
                </c:pt>
                <c:pt idx="68">
                  <c:v>20.395630485964634</c:v>
                </c:pt>
                <c:pt idx="69">
                  <c:v>15.060558423692514</c:v>
                </c:pt>
                <c:pt idx="70">
                  <c:v>13.610010365075995</c:v>
                </c:pt>
                <c:pt idx="71">
                  <c:v>12.43825441717896</c:v>
                </c:pt>
                <c:pt idx="72">
                  <c:v>11.575173954321821</c:v>
                </c:pt>
                <c:pt idx="73">
                  <c:v>19.838298695925801</c:v>
                </c:pt>
                <c:pt idx="74">
                  <c:v>29.912269995508876</c:v>
                </c:pt>
                <c:pt idx="75">
                  <c:v>32.305323972927646</c:v>
                </c:pt>
                <c:pt idx="76">
                  <c:v>30.750059660509645</c:v>
                </c:pt>
                <c:pt idx="77">
                  <c:v>26.728259604537971</c:v>
                </c:pt>
                <c:pt idx="78">
                  <c:v>24.956550400055523</c:v>
                </c:pt>
                <c:pt idx="79">
                  <c:v>23.093918877064798</c:v>
                </c:pt>
                <c:pt idx="80">
                  <c:v>19.351886023115394</c:v>
                </c:pt>
                <c:pt idx="81">
                  <c:v>14.339276466388934</c:v>
                </c:pt>
                <c:pt idx="82">
                  <c:v>13.005590673814535</c:v>
                </c:pt>
                <c:pt idx="83">
                  <c:v>11.925214231946883</c:v>
                </c:pt>
                <c:pt idx="84">
                  <c:v>11.132396878529701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濃度回帰式!$M$57</c:f>
              <c:strCache>
                <c:ptCount val="1"/>
                <c:pt idx="0">
                  <c:v>Cs-134:事故日1200から減衰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濃度回帰式!$M$64:$M$148</c:f>
              <c:numCache>
                <c:formatCode>0</c:formatCode>
                <c:ptCount val="85"/>
                <c:pt idx="0">
                  <c:v>1200</c:v>
                </c:pt>
                <c:pt idx="1">
                  <c:v>429.96057295534786</c:v>
                </c:pt>
                <c:pt idx="2">
                  <c:v>396.8297377955073</c:v>
                </c:pt>
                <c:pt idx="3">
                  <c:v>365.274178794161</c:v>
                </c:pt>
                <c:pt idx="4">
                  <c:v>337.12778731786102</c:v>
                </c:pt>
                <c:pt idx="5">
                  <c:v>310.31967600342068</c:v>
                </c:pt>
                <c:pt idx="6">
                  <c:v>285.64332261366877</c:v>
                </c:pt>
                <c:pt idx="7">
                  <c:v>263.63292810011075</c:v>
                </c:pt>
                <c:pt idx="8">
                  <c:v>242.66906469719279</c:v>
                </c:pt>
                <c:pt idx="9">
                  <c:v>223.97007393714856</c:v>
                </c:pt>
                <c:pt idx="10">
                  <c:v>206.16016653978119</c:v>
                </c:pt>
                <c:pt idx="11">
                  <c:v>189.76648764083276</c:v>
                </c:pt>
                <c:pt idx="12">
                  <c:v>176.08271448801199</c:v>
                </c:pt>
                <c:pt idx="13">
                  <c:v>162.08076867364113</c:v>
                </c:pt>
                <c:pt idx="14">
                  <c:v>149.59155090049353</c:v>
                </c:pt>
                <c:pt idx="15">
                  <c:v>137.69615960052013</c:v>
                </c:pt>
                <c:pt idx="16">
                  <c:v>127.08591053858643</c:v>
                </c:pt>
                <c:pt idx="17">
                  <c:v>116.98014837842611</c:v>
                </c:pt>
                <c:pt idx="18">
                  <c:v>107.67798772220063</c:v>
                </c:pt>
                <c:pt idx="19">
                  <c:v>99.380804478056803</c:v>
                </c:pt>
                <c:pt idx="20">
                  <c:v>91.47812849230543</c:v>
                </c:pt>
                <c:pt idx="21">
                  <c:v>84.429233811155129</c:v>
                </c:pt>
                <c:pt idx="22">
                  <c:v>77.715493848604027</c:v>
                </c:pt>
                <c:pt idx="23">
                  <c:v>71.535624706029509</c:v>
                </c:pt>
                <c:pt idx="24">
                  <c:v>66.377299476996811</c:v>
                </c:pt>
                <c:pt idx="25">
                  <c:v>61.099033786445759</c:v>
                </c:pt>
                <c:pt idx="26">
                  <c:v>56.391016018931779</c:v>
                </c:pt>
                <c:pt idx="27">
                  <c:v>51.906850988819428</c:v>
                </c:pt>
                <c:pt idx="28">
                  <c:v>47.90714163882847</c:v>
                </c:pt>
                <c:pt idx="29">
                  <c:v>44.097606993143899</c:v>
                </c:pt>
                <c:pt idx="30">
                  <c:v>40.591003261728481</c:v>
                </c:pt>
                <c:pt idx="31">
                  <c:v>37.463242432884911</c:v>
                </c:pt>
                <c:pt idx="32">
                  <c:v>34.484197657813567</c:v>
                </c:pt>
                <c:pt idx="33">
                  <c:v>31.82699990508139</c:v>
                </c:pt>
                <c:pt idx="34">
                  <c:v>29.296144281911886</c:v>
                </c:pt>
                <c:pt idx="35">
                  <c:v>26.966540118334276</c:v>
                </c:pt>
                <c:pt idx="36">
                  <c:v>25.02202387480169</c:v>
                </c:pt>
                <c:pt idx="37">
                  <c:v>23.032294085142407</c:v>
                </c:pt>
                <c:pt idx="38">
                  <c:v>21.257528707371208</c:v>
                </c:pt>
                <c:pt idx="39">
                  <c:v>19.56714833145811</c:v>
                </c:pt>
                <c:pt idx="40">
                  <c:v>18.059391558641138</c:v>
                </c:pt>
                <c:pt idx="41">
                  <c:v>16.623324294572381</c:v>
                </c:pt>
                <c:pt idx="42">
                  <c:v>15.301451862607109</c:v>
                </c:pt>
                <c:pt idx="43">
                  <c:v>14.122390545701395</c:v>
                </c:pt>
                <c:pt idx="44">
                  <c:v>12.999390211652385</c:v>
                </c:pt>
                <c:pt idx="45">
                  <c:v>11.997715450358793</c:v>
                </c:pt>
                <c:pt idx="46">
                  <c:v>11.043667450129895</c:v>
                </c:pt>
                <c:pt idx="47">
                  <c:v>10.165484525256952</c:v>
                </c:pt>
                <c:pt idx="48">
                  <c:v>9.4072887540524057</c:v>
                </c:pt>
                <c:pt idx="49">
                  <c:v>8.6592292538488902</c:v>
                </c:pt>
                <c:pt idx="50">
                  <c:v>7.9919878483204458</c:v>
                </c:pt>
                <c:pt idx="51">
                  <c:v>7.356471857289363</c:v>
                </c:pt>
                <c:pt idx="52">
                  <c:v>6.7896150992694295</c:v>
                </c:pt>
                <c:pt idx="53">
                  <c:v>6.2497107537643739</c:v>
                </c:pt>
                <c:pt idx="54">
                  <c:v>5.7527391368504537</c:v>
                </c:pt>
                <c:pt idx="55">
                  <c:v>5.309458836169604</c:v>
                </c:pt>
                <c:pt idx="56">
                  <c:v>4.8872552420017019</c:v>
                </c:pt>
                <c:pt idx="57">
                  <c:v>4.5106652521478168</c:v>
                </c:pt>
                <c:pt idx="58">
                  <c:v>4.1519810358635496</c:v>
                </c:pt>
                <c:pt idx="59">
                  <c:v>3.8218190795608216</c:v>
                </c:pt>
                <c:pt idx="60">
                  <c:v>3.5462335113923613</c:v>
                </c:pt>
                <c:pt idx="61">
                  <c:v>3.2642400765682833</c:v>
                </c:pt>
                <c:pt idx="62">
                  <c:v>3.0127123628628638</c:v>
                </c:pt>
                <c:pt idx="63">
                  <c:v>2.7731440703036161</c:v>
                </c:pt>
                <c:pt idx="64">
                  <c:v>2.5594580143096848</c:v>
                </c:pt>
                <c:pt idx="65">
                  <c:v>2.3559321172065868</c:v>
                </c:pt>
                <c:pt idx="66">
                  <c:v>2.168590424165457</c:v>
                </c:pt>
                <c:pt idx="67">
                  <c:v>2.0014885632241368</c:v>
                </c:pt>
                <c:pt idx="68">
                  <c:v>1.8423319163503449</c:v>
                </c:pt>
                <c:pt idx="69">
                  <c:v>1.7003700741033461</c:v>
                </c:pt>
                <c:pt idx="70">
                  <c:v>1.5651581101624239</c:v>
                </c:pt>
                <c:pt idx="71">
                  <c:v>1.4406980851500915</c:v>
                </c:pt>
                <c:pt idx="72">
                  <c:v>1.3368115347692384</c:v>
                </c:pt>
                <c:pt idx="73">
                  <c:v>1.2305094327810326</c:v>
                </c:pt>
                <c:pt idx="74">
                  <c:v>1.1356918896284625</c:v>
                </c:pt>
                <c:pt idx="75">
                  <c:v>1.0453826486184323</c:v>
                </c:pt>
                <c:pt idx="76">
                  <c:v>0.96483014592667526</c:v>
                </c:pt>
                <c:pt idx="77">
                  <c:v>0.88810768363037507</c:v>
                </c:pt>
                <c:pt idx="78">
                  <c:v>0.8174861254628043</c:v>
                </c:pt>
                <c:pt idx="79">
                  <c:v>0.75449430767355352</c:v>
                </c:pt>
                <c:pt idx="80">
                  <c:v>0.69449757009477442</c:v>
                </c:pt>
                <c:pt idx="81">
                  <c:v>0.64098269928798202</c:v>
                </c:pt>
                <c:pt idx="82">
                  <c:v>0.59001230705228924</c:v>
                </c:pt>
                <c:pt idx="83">
                  <c:v>0.54309503651168545</c:v>
                </c:pt>
                <c:pt idx="84">
                  <c:v>0.50393327843501956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751424"/>
        <c:axId val="293757312"/>
      </c:lineChart>
      <c:dateAx>
        <c:axId val="293751424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93757312"/>
        <c:crosses val="autoZero"/>
        <c:auto val="0"/>
        <c:lblOffset val="100"/>
        <c:baseTimeUnit val="days"/>
        <c:majorUnit val="6"/>
        <c:majorTimeUnit val="months"/>
      </c:dateAx>
      <c:valAx>
        <c:axId val="29375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93751424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6206132749129929"/>
          <c:y val="5.7577241086361648E-2"/>
          <c:w val="0.64053003517237239"/>
          <c:h val="0.16433548483007396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48408952995464"/>
          <c:y val="3.6627296587926503E-2"/>
          <c:w val="0.85804969593517944"/>
          <c:h val="0.82193852659481148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濃度回帰式!$G$57</c:f>
              <c:strCache>
                <c:ptCount val="1"/>
                <c:pt idx="0">
                  <c:v>Cs-137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濃度回帰式!$G$64:$G$148</c:f>
              <c:numCache>
                <c:formatCode>General</c:formatCode>
                <c:ptCount val="85"/>
                <c:pt idx="1">
                  <c:v>510</c:v>
                </c:pt>
                <c:pt idx="2">
                  <c:v>850</c:v>
                </c:pt>
                <c:pt idx="3">
                  <c:v>890</c:v>
                </c:pt>
                <c:pt idx="4">
                  <c:v>760</c:v>
                </c:pt>
                <c:pt idx="5">
                  <c:v>660</c:v>
                </c:pt>
                <c:pt idx="6">
                  <c:v>510</c:v>
                </c:pt>
                <c:pt idx="7">
                  <c:v>450</c:v>
                </c:pt>
                <c:pt idx="8">
                  <c:v>450</c:v>
                </c:pt>
                <c:pt idx="9">
                  <c:v>330</c:v>
                </c:pt>
                <c:pt idx="10">
                  <c:v>300</c:v>
                </c:pt>
                <c:pt idx="11">
                  <c:v>180</c:v>
                </c:pt>
                <c:pt idx="12">
                  <c:v>320</c:v>
                </c:pt>
                <c:pt idx="13">
                  <c:v>460</c:v>
                </c:pt>
                <c:pt idx="14">
                  <c:v>540</c:v>
                </c:pt>
                <c:pt idx="15">
                  <c:v>560</c:v>
                </c:pt>
                <c:pt idx="16">
                  <c:v>430</c:v>
                </c:pt>
                <c:pt idx="17">
                  <c:v>390</c:v>
                </c:pt>
                <c:pt idx="18">
                  <c:v>360</c:v>
                </c:pt>
                <c:pt idx="19">
                  <c:v>290</c:v>
                </c:pt>
                <c:pt idx="20">
                  <c:v>300</c:v>
                </c:pt>
                <c:pt idx="21">
                  <c:v>280</c:v>
                </c:pt>
                <c:pt idx="22">
                  <c:v>190</c:v>
                </c:pt>
                <c:pt idx="23">
                  <c:v>120</c:v>
                </c:pt>
                <c:pt idx="24">
                  <c:v>130</c:v>
                </c:pt>
                <c:pt idx="25">
                  <c:v>210</c:v>
                </c:pt>
                <c:pt idx="26">
                  <c:v>320</c:v>
                </c:pt>
                <c:pt idx="27">
                  <c:v>330</c:v>
                </c:pt>
                <c:pt idx="28">
                  <c:v>290</c:v>
                </c:pt>
                <c:pt idx="29">
                  <c:v>220</c:v>
                </c:pt>
                <c:pt idx="30">
                  <c:v>230</c:v>
                </c:pt>
                <c:pt idx="31">
                  <c:v>200</c:v>
                </c:pt>
                <c:pt idx="32">
                  <c:v>190</c:v>
                </c:pt>
                <c:pt idx="33">
                  <c:v>180</c:v>
                </c:pt>
                <c:pt idx="34">
                  <c:v>110</c:v>
                </c:pt>
                <c:pt idx="35">
                  <c:v>71</c:v>
                </c:pt>
                <c:pt idx="36">
                  <c:v>100</c:v>
                </c:pt>
                <c:pt idx="37">
                  <c:v>170</c:v>
                </c:pt>
                <c:pt idx="38">
                  <c:v>230</c:v>
                </c:pt>
                <c:pt idx="39">
                  <c:v>240</c:v>
                </c:pt>
                <c:pt idx="40">
                  <c:v>230</c:v>
                </c:pt>
                <c:pt idx="41">
                  <c:v>170</c:v>
                </c:pt>
                <c:pt idx="42">
                  <c:v>160</c:v>
                </c:pt>
                <c:pt idx="43">
                  <c:v>160</c:v>
                </c:pt>
                <c:pt idx="44">
                  <c:v>170</c:v>
                </c:pt>
                <c:pt idx="45">
                  <c:v>140</c:v>
                </c:pt>
                <c:pt idx="46">
                  <c:v>110</c:v>
                </c:pt>
                <c:pt idx="47">
                  <c:v>120</c:v>
                </c:pt>
                <c:pt idx="48">
                  <c:v>75</c:v>
                </c:pt>
                <c:pt idx="49">
                  <c:v>120</c:v>
                </c:pt>
                <c:pt idx="50">
                  <c:v>180</c:v>
                </c:pt>
                <c:pt idx="51">
                  <c:v>210</c:v>
                </c:pt>
                <c:pt idx="52">
                  <c:v>180</c:v>
                </c:pt>
                <c:pt idx="53">
                  <c:v>150</c:v>
                </c:pt>
                <c:pt idx="54">
                  <c:v>110</c:v>
                </c:pt>
                <c:pt idx="55">
                  <c:v>120</c:v>
                </c:pt>
                <c:pt idx="56">
                  <c:v>110</c:v>
                </c:pt>
                <c:pt idx="57">
                  <c:v>120</c:v>
                </c:pt>
                <c:pt idx="58">
                  <c:v>93</c:v>
                </c:pt>
                <c:pt idx="59">
                  <c:v>70</c:v>
                </c:pt>
                <c:pt idx="60">
                  <c:v>72</c:v>
                </c:pt>
                <c:pt idx="61">
                  <c:v>120</c:v>
                </c:pt>
                <c:pt idx="62">
                  <c:v>170</c:v>
                </c:pt>
                <c:pt idx="63">
                  <c:v>150</c:v>
                </c:pt>
                <c:pt idx="64">
                  <c:v>140</c:v>
                </c:pt>
                <c:pt idx="65">
                  <c:v>120</c:v>
                </c:pt>
                <c:pt idx="66">
                  <c:v>130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81</c:v>
                </c:pt>
                <c:pt idx="71">
                  <c:v>48</c:v>
                </c:pt>
                <c:pt idx="72">
                  <c:v>51</c:v>
                </c:pt>
                <c:pt idx="73">
                  <c:v>100</c:v>
                </c:pt>
                <c:pt idx="74">
                  <c:v>130</c:v>
                </c:pt>
                <c:pt idx="75">
                  <c:v>170</c:v>
                </c:pt>
                <c:pt idx="76">
                  <c:v>130</c:v>
                </c:pt>
                <c:pt idx="77">
                  <c:v>120</c:v>
                </c:pt>
                <c:pt idx="78">
                  <c:v>110</c:v>
                </c:pt>
                <c:pt idx="79">
                  <c:v>100</c:v>
                </c:pt>
                <c:pt idx="80">
                  <c:v>80</c:v>
                </c:pt>
                <c:pt idx="81">
                  <c:v>180</c:v>
                </c:pt>
                <c:pt idx="82">
                  <c:v>200</c:v>
                </c:pt>
                <c:pt idx="83">
                  <c:v>200</c:v>
                </c:pt>
                <c:pt idx="84">
                  <c:v>190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濃度回帰式!$R$57</c:f>
              <c:strCache>
                <c:ptCount val="1"/>
                <c:pt idx="0">
                  <c:v>回帰式_Cs-137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濃度回帰式!$R$64:$R$148</c:f>
              <c:numCache>
                <c:formatCode>0</c:formatCode>
                <c:ptCount val="85"/>
                <c:pt idx="1">
                  <c:v>621.11469389456863</c:v>
                </c:pt>
                <c:pt idx="2">
                  <c:v>896.01027620500838</c:v>
                </c:pt>
                <c:pt idx="3">
                  <c:v>924.87396910549933</c:v>
                </c:pt>
                <c:pt idx="4">
                  <c:v>842.81380956372755</c:v>
                </c:pt>
                <c:pt idx="5">
                  <c:v>700.47956526194685</c:v>
                </c:pt>
                <c:pt idx="6">
                  <c:v>625.61778719326082</c:v>
                </c:pt>
                <c:pt idx="7">
                  <c:v>554.64099257116402</c:v>
                </c:pt>
                <c:pt idx="8">
                  <c:v>444.67696029248822</c:v>
                </c:pt>
                <c:pt idx="9">
                  <c:v>316.02681198700947</c:v>
                </c:pt>
                <c:pt idx="10">
                  <c:v>274.49513854442</c:v>
                </c:pt>
                <c:pt idx="11">
                  <c:v>241.17625420582388</c:v>
                </c:pt>
                <c:pt idx="12">
                  <c:v>216.56338048215233</c:v>
                </c:pt>
                <c:pt idx="13">
                  <c:v>356.89906984320146</c:v>
                </c:pt>
                <c:pt idx="14">
                  <c:v>518.27583993998246</c:v>
                </c:pt>
                <c:pt idx="15">
                  <c:v>538.64020449436373</c:v>
                </c:pt>
                <c:pt idx="16">
                  <c:v>494.26902040553642</c:v>
                </c:pt>
                <c:pt idx="17">
                  <c:v>413.77871282615791</c:v>
                </c:pt>
                <c:pt idx="18">
                  <c:v>372.28488461770411</c:v>
                </c:pt>
                <c:pt idx="19">
                  <c:v>332.54794361795223</c:v>
                </c:pt>
                <c:pt idx="20">
                  <c:v>268.72985432861498</c:v>
                </c:pt>
                <c:pt idx="21">
                  <c:v>192.46381447420555</c:v>
                </c:pt>
                <c:pt idx="22">
                  <c:v>168.60188561916837</c:v>
                </c:pt>
                <c:pt idx="23">
                  <c:v>149.40370090462912</c:v>
                </c:pt>
                <c:pt idx="24">
                  <c:v>135.24766713798084</c:v>
                </c:pt>
                <c:pt idx="25">
                  <c:v>224.88691878426286</c:v>
                </c:pt>
                <c:pt idx="26">
                  <c:v>329.388513227673</c:v>
                </c:pt>
                <c:pt idx="27">
                  <c:v>345.50704380092827</c:v>
                </c:pt>
                <c:pt idx="28">
                  <c:v>319.88669175672192</c:v>
                </c:pt>
                <c:pt idx="29">
                  <c:v>270.39419005552747</c:v>
                </c:pt>
                <c:pt idx="30">
                  <c:v>245.60813311904602</c:v>
                </c:pt>
                <c:pt idx="31">
                  <c:v>221.45731232564722</c:v>
                </c:pt>
                <c:pt idx="32">
                  <c:v>180.73932145684876</c:v>
                </c:pt>
                <c:pt idx="33">
                  <c:v>130.6922871059505</c:v>
                </c:pt>
                <c:pt idx="34">
                  <c:v>115.64211074823523</c:v>
                </c:pt>
                <c:pt idx="35">
                  <c:v>103.50403762273774</c:v>
                </c:pt>
                <c:pt idx="36">
                  <c:v>94.544086121960135</c:v>
                </c:pt>
                <c:pt idx="37">
                  <c:v>158.78992651420566</c:v>
                </c:pt>
                <c:pt idx="38">
                  <c:v>234.87892168722195</c:v>
                </c:pt>
                <c:pt idx="39">
                  <c:v>248.86595655591088</c:v>
                </c:pt>
                <c:pt idx="40">
                  <c:v>232.64329674238542</c:v>
                </c:pt>
                <c:pt idx="41">
                  <c:v>198.63438362897273</c:v>
                </c:pt>
                <c:pt idx="42">
                  <c:v>182.24432565355005</c:v>
                </c:pt>
                <c:pt idx="43">
                  <c:v>165.88157069906435</c:v>
                </c:pt>
                <c:pt idx="44">
                  <c:v>136.69867700465039</c:v>
                </c:pt>
                <c:pt idx="45">
                  <c:v>99.786707000478728</c:v>
                </c:pt>
                <c:pt idx="46">
                  <c:v>89.13072679276064</c:v>
                </c:pt>
                <c:pt idx="47">
                  <c:v>80.511307590871922</c:v>
                </c:pt>
                <c:pt idx="48">
                  <c:v>74.148108761686231</c:v>
                </c:pt>
                <c:pt idx="49">
                  <c:v>125.68411828929283</c:v>
                </c:pt>
                <c:pt idx="50">
                  <c:v>187.51729906480782</c:v>
                </c:pt>
                <c:pt idx="51">
                  <c:v>200.41342277514434</c:v>
                </c:pt>
                <c:pt idx="52">
                  <c:v>188.94014794056511</c:v>
                </c:pt>
                <c:pt idx="53">
                  <c:v>162.6645508999714</c:v>
                </c:pt>
                <c:pt idx="54">
                  <c:v>150.50074670346703</c:v>
                </c:pt>
                <c:pt idx="55">
                  <c:v>138.04450054420192</c:v>
                </c:pt>
                <c:pt idx="56">
                  <c:v>114.66125403018648</c:v>
                </c:pt>
                <c:pt idx="57">
                  <c:v>84.297256395037266</c:v>
                </c:pt>
                <c:pt idx="58">
                  <c:v>75.851676111396415</c:v>
                </c:pt>
                <c:pt idx="59">
                  <c:v>69.020204816993456</c:v>
                </c:pt>
                <c:pt idx="60">
                  <c:v>63.980080143810582</c:v>
                </c:pt>
                <c:pt idx="61">
                  <c:v>109.16860210905661</c:v>
                </c:pt>
                <c:pt idx="62">
                  <c:v>163.89914549357442</c:v>
                </c:pt>
                <c:pt idx="63">
                  <c:v>176.31947262262895</c:v>
                </c:pt>
                <c:pt idx="64">
                  <c:v>167.17766128015941</c:v>
                </c:pt>
                <c:pt idx="65">
                  <c:v>144.75853663243265</c:v>
                </c:pt>
                <c:pt idx="66">
                  <c:v>134.64112908271244</c:v>
                </c:pt>
                <c:pt idx="67">
                  <c:v>124.15545553423578</c:v>
                </c:pt>
                <c:pt idx="68">
                  <c:v>103.65105364493117</c:v>
                </c:pt>
                <c:pt idx="69">
                  <c:v>76.573010492435301</c:v>
                </c:pt>
                <c:pt idx="70">
                  <c:v>69.235842446987093</c:v>
                </c:pt>
                <c:pt idx="71">
                  <c:v>63.292433869769425</c:v>
                </c:pt>
                <c:pt idx="72">
                  <c:v>58.901617214096284</c:v>
                </c:pt>
                <c:pt idx="73">
                  <c:v>100.92099362142656</c:v>
                </c:pt>
                <c:pt idx="74">
                  <c:v>152.12172524344646</c:v>
                </c:pt>
                <c:pt idx="75">
                  <c:v>164.20910039313583</c:v>
                </c:pt>
                <c:pt idx="76">
                  <c:v>156.2802463154666</c:v>
                </c:pt>
                <c:pt idx="77">
                  <c:v>135.7868720616668</c:v>
                </c:pt>
                <c:pt idx="78">
                  <c:v>126.73460343284391</c:v>
                </c:pt>
                <c:pt idx="79">
                  <c:v>117.22437424315387</c:v>
                </c:pt>
                <c:pt idx="80">
                  <c:v>98.174965574947123</c:v>
                </c:pt>
                <c:pt idx="81">
                  <c:v>72.677743586790726</c:v>
                </c:pt>
                <c:pt idx="82">
                  <c:v>65.867037507760102</c:v>
                </c:pt>
                <c:pt idx="83">
                  <c:v>60.356102339061025</c:v>
                </c:pt>
                <c:pt idx="84">
                  <c:v>56.300217045023473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濃度回帰式!$P$57</c:f>
              <c:strCache>
                <c:ptCount val="1"/>
                <c:pt idx="0">
                  <c:v>Cs-137:事故日1200から減衰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濃度回帰式!$P$64:$P$148</c:f>
              <c:numCache>
                <c:formatCode>0</c:formatCode>
                <c:ptCount val="85"/>
                <c:pt idx="0">
                  <c:v>1200</c:v>
                </c:pt>
                <c:pt idx="1">
                  <c:v>579.02443403557709</c:v>
                </c:pt>
                <c:pt idx="2">
                  <c:v>546.98013046011727</c:v>
                </c:pt>
                <c:pt idx="3">
                  <c:v>515.72956914725592</c:v>
                </c:pt>
                <c:pt idx="4">
                  <c:v>487.18812269841669</c:v>
                </c:pt>
                <c:pt idx="5">
                  <c:v>459.35365220955737</c:v>
                </c:pt>
                <c:pt idx="6">
                  <c:v>433.10944575074848</c:v>
                </c:pt>
                <c:pt idx="7">
                  <c:v>409.14035266031175</c:v>
                </c:pt>
                <c:pt idx="8">
                  <c:v>385.76497764326814</c:v>
                </c:pt>
                <c:pt idx="9">
                  <c:v>364.4160166568966</c:v>
                </c:pt>
                <c:pt idx="10">
                  <c:v>343.59587267406971</c:v>
                </c:pt>
                <c:pt idx="11">
                  <c:v>323.96524390367057</c:v>
                </c:pt>
                <c:pt idx="12">
                  <c:v>307.20015880962615</c:v>
                </c:pt>
                <c:pt idx="13">
                  <c:v>289.64892273433162</c:v>
                </c:pt>
                <c:pt idx="14">
                  <c:v>273.61920539457333</c:v>
                </c:pt>
                <c:pt idx="15">
                  <c:v>257.9865465859861</c:v>
                </c:pt>
                <c:pt idx="16">
                  <c:v>243.70908482229493</c:v>
                </c:pt>
                <c:pt idx="17">
                  <c:v>229.78527795323402</c:v>
                </c:pt>
                <c:pt idx="18">
                  <c:v>216.65697855517388</c:v>
                </c:pt>
                <c:pt idx="19">
                  <c:v>204.666772987895</c:v>
                </c:pt>
                <c:pt idx="20">
                  <c:v>192.97356663214782</c:v>
                </c:pt>
                <c:pt idx="21">
                  <c:v>182.29404572125679</c:v>
                </c:pt>
                <c:pt idx="22">
                  <c:v>171.87905816404964</c:v>
                </c:pt>
                <c:pt idx="23">
                  <c:v>162.05910905358715</c:v>
                </c:pt>
                <c:pt idx="24">
                  <c:v>153.67260832650209</c:v>
                </c:pt>
                <c:pt idx="25">
                  <c:v>144.892846501196</c:v>
                </c:pt>
                <c:pt idx="26">
                  <c:v>136.87420326910137</c:v>
                </c:pt>
                <c:pt idx="27">
                  <c:v>129.05418304677269</c:v>
                </c:pt>
                <c:pt idx="28">
                  <c:v>121.91208130434494</c:v>
                </c:pt>
                <c:pt idx="29">
                  <c:v>114.94689050596043</c:v>
                </c:pt>
                <c:pt idx="30">
                  <c:v>108.379641259708</c:v>
                </c:pt>
                <c:pt idx="31">
                  <c:v>102.38170762896225</c:v>
                </c:pt>
                <c:pt idx="32">
                  <c:v>96.532343724494723</c:v>
                </c:pt>
                <c:pt idx="33">
                  <c:v>91.190061870170936</c:v>
                </c:pt>
                <c:pt idx="34">
                  <c:v>85.980109148121969</c:v>
                </c:pt>
                <c:pt idx="35">
                  <c:v>81.067816136016361</c:v>
                </c:pt>
                <c:pt idx="36">
                  <c:v>76.872585747929449</c:v>
                </c:pt>
                <c:pt idx="37">
                  <c:v>72.480631963112728</c:v>
                </c:pt>
                <c:pt idx="38">
                  <c:v>68.469417172435229</c:v>
                </c:pt>
                <c:pt idx="39">
                  <c:v>64.557560780863653</c:v>
                </c:pt>
                <c:pt idx="40">
                  <c:v>60.984823683509859</c:v>
                </c:pt>
                <c:pt idx="41">
                  <c:v>57.500583826255081</c:v>
                </c:pt>
                <c:pt idx="42">
                  <c:v>54.215408697725017</c:v>
                </c:pt>
                <c:pt idx="43">
                  <c:v>51.215025790445544</c:v>
                </c:pt>
                <c:pt idx="44">
                  <c:v>48.288962823116613</c:v>
                </c:pt>
                <c:pt idx="45">
                  <c:v>45.616560601221842</c:v>
                </c:pt>
                <c:pt idx="46">
                  <c:v>43.010354187926396</c:v>
                </c:pt>
                <c:pt idx="47">
                  <c:v>40.553047906056491</c:v>
                </c:pt>
                <c:pt idx="48">
                  <c:v>38.381534900653818</c:v>
                </c:pt>
                <c:pt idx="49">
                  <c:v>36.188686490080592</c:v>
                </c:pt>
                <c:pt idx="50">
                  <c:v>34.185936368115911</c:v>
                </c:pt>
                <c:pt idx="51">
                  <c:v>32.232794670609067</c:v>
                </c:pt>
                <c:pt idx="52">
                  <c:v>30.448971058345069</c:v>
                </c:pt>
                <c:pt idx="53">
                  <c:v>28.709333027669416</c:v>
                </c:pt>
                <c:pt idx="54">
                  <c:v>27.069085563327651</c:v>
                </c:pt>
                <c:pt idx="55">
                  <c:v>25.571031346071461</c:v>
                </c:pt>
                <c:pt idx="56">
                  <c:v>24.110084159121001</c:v>
                </c:pt>
                <c:pt idx="57">
                  <c:v>22.775786656958445</c:v>
                </c:pt>
                <c:pt idx="58">
                  <c:v>21.474539906417068</c:v>
                </c:pt>
                <c:pt idx="59">
                  <c:v>20.247637156866631</c:v>
                </c:pt>
                <c:pt idx="60">
                  <c:v>19.199829201303537</c:v>
                </c:pt>
                <c:pt idx="61">
                  <c:v>18.102887271900947</c:v>
                </c:pt>
                <c:pt idx="62">
                  <c:v>17.101039368367609</c:v>
                </c:pt>
                <c:pt idx="63">
                  <c:v>16.124007389444941</c:v>
                </c:pt>
                <c:pt idx="64">
                  <c:v>15.231674428572715</c:v>
                </c:pt>
                <c:pt idx="65">
                  <c:v>14.361444690561491</c:v>
                </c:pt>
                <c:pt idx="66">
                  <c:v>13.540933701494803</c:v>
                </c:pt>
                <c:pt idx="67">
                  <c:v>12.791552907317092</c:v>
                </c:pt>
                <c:pt idx="68">
                  <c:v>12.060734389137</c:v>
                </c:pt>
                <c:pt idx="69">
                  <c:v>11.393270614914396</c:v>
                </c:pt>
                <c:pt idx="70">
                  <c:v>10.742340019673399</c:v>
                </c:pt>
                <c:pt idx="71">
                  <c:v>10.128598977295837</c:v>
                </c:pt>
                <c:pt idx="72">
                  <c:v>9.6044476155889402</c:v>
                </c:pt>
                <c:pt idx="73">
                  <c:v>9.05571766659674</c:v>
                </c:pt>
                <c:pt idx="74">
                  <c:v>8.5545571819180317</c:v>
                </c:pt>
                <c:pt idx="75">
                  <c:v>8.0658105185007951</c:v>
                </c:pt>
                <c:pt idx="76">
                  <c:v>7.6194333612613532</c:v>
                </c:pt>
                <c:pt idx="77">
                  <c:v>7.1841130339488126</c:v>
                </c:pt>
                <c:pt idx="78">
                  <c:v>6.773663819537517</c:v>
                </c:pt>
                <c:pt idx="79">
                  <c:v>6.39879649616989</c:v>
                </c:pt>
                <c:pt idx="80">
                  <c:v>6.0332146932918436</c:v>
                </c:pt>
                <c:pt idx="81">
                  <c:v>5.6993252202339759</c:v>
                </c:pt>
                <c:pt idx="82">
                  <c:v>5.3737062400947249</c:v>
                </c:pt>
                <c:pt idx="83">
                  <c:v>5.0666908167152274</c:v>
                </c:pt>
                <c:pt idx="84">
                  <c:v>4.804491385492593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355520"/>
        <c:axId val="293357056"/>
      </c:lineChart>
      <c:dateAx>
        <c:axId val="293355520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93357056"/>
        <c:crosses val="autoZero"/>
        <c:auto val="0"/>
        <c:lblOffset val="100"/>
        <c:baseTimeUnit val="days"/>
        <c:majorUnit val="6"/>
        <c:majorTimeUnit val="months"/>
      </c:dateAx>
      <c:valAx>
        <c:axId val="293357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93355520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7289817648419867"/>
          <c:y val="5.7577241086361648E-2"/>
          <c:w val="0.62969330489865238"/>
          <c:h val="0.148335479790702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93600428036521222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濃度回帰式!$F$57</c:f>
              <c:strCache>
                <c:ptCount val="1"/>
                <c:pt idx="0">
                  <c:v>Cs-134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濃度回帰式!$F$64:$F$148</c:f>
              <c:numCache>
                <c:formatCode>General</c:formatCode>
                <c:ptCount val="85"/>
                <c:pt idx="1">
                  <c:v>340</c:v>
                </c:pt>
                <c:pt idx="2">
                  <c:v>550</c:v>
                </c:pt>
                <c:pt idx="3">
                  <c:v>550</c:v>
                </c:pt>
                <c:pt idx="4">
                  <c:v>460</c:v>
                </c:pt>
                <c:pt idx="5">
                  <c:v>390</c:v>
                </c:pt>
                <c:pt idx="6">
                  <c:v>300</c:v>
                </c:pt>
                <c:pt idx="7">
                  <c:v>260</c:v>
                </c:pt>
                <c:pt idx="8">
                  <c:v>250</c:v>
                </c:pt>
                <c:pt idx="9">
                  <c:v>180</c:v>
                </c:pt>
                <c:pt idx="10">
                  <c:v>160</c:v>
                </c:pt>
                <c:pt idx="11">
                  <c:v>98</c:v>
                </c:pt>
                <c:pt idx="12">
                  <c:v>160</c:v>
                </c:pt>
                <c:pt idx="13">
                  <c:v>220</c:v>
                </c:pt>
                <c:pt idx="14">
                  <c:v>250</c:v>
                </c:pt>
                <c:pt idx="15">
                  <c:v>260</c:v>
                </c:pt>
                <c:pt idx="16">
                  <c:v>200</c:v>
                </c:pt>
                <c:pt idx="17">
                  <c:v>190</c:v>
                </c:pt>
                <c:pt idx="18">
                  <c:v>150</c:v>
                </c:pt>
                <c:pt idx="19">
                  <c:v>130</c:v>
                </c:pt>
                <c:pt idx="20">
                  <c:v>120</c:v>
                </c:pt>
                <c:pt idx="21">
                  <c:v>110</c:v>
                </c:pt>
                <c:pt idx="22">
                  <c:v>76</c:v>
                </c:pt>
                <c:pt idx="23">
                  <c:v>46</c:v>
                </c:pt>
                <c:pt idx="24">
                  <c:v>49</c:v>
                </c:pt>
                <c:pt idx="25">
                  <c:v>74</c:v>
                </c:pt>
                <c:pt idx="26">
                  <c:v>120</c:v>
                </c:pt>
                <c:pt idx="27">
                  <c:v>110</c:v>
                </c:pt>
                <c:pt idx="28">
                  <c:v>91</c:v>
                </c:pt>
                <c:pt idx="29">
                  <c:v>74</c:v>
                </c:pt>
                <c:pt idx="30">
                  <c:v>72</c:v>
                </c:pt>
                <c:pt idx="31">
                  <c:v>63</c:v>
                </c:pt>
                <c:pt idx="32">
                  <c:v>60</c:v>
                </c:pt>
                <c:pt idx="33">
                  <c:v>60</c:v>
                </c:pt>
                <c:pt idx="34">
                  <c:v>33</c:v>
                </c:pt>
                <c:pt idx="35">
                  <c:v>20</c:v>
                </c:pt>
                <c:pt idx="36">
                  <c:v>26</c:v>
                </c:pt>
                <c:pt idx="37">
                  <c:v>47</c:v>
                </c:pt>
                <c:pt idx="38">
                  <c:v>67</c:v>
                </c:pt>
                <c:pt idx="39">
                  <c:v>58</c:v>
                </c:pt>
                <c:pt idx="40">
                  <c:v>56</c:v>
                </c:pt>
                <c:pt idx="41">
                  <c:v>39</c:v>
                </c:pt>
                <c:pt idx="42">
                  <c:v>35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23</c:v>
                </c:pt>
                <c:pt idx="47">
                  <c:v>24</c:v>
                </c:pt>
                <c:pt idx="48">
                  <c:v>17</c:v>
                </c:pt>
                <c:pt idx="49">
                  <c:v>22</c:v>
                </c:pt>
                <c:pt idx="50">
                  <c:v>33</c:v>
                </c:pt>
                <c:pt idx="51">
                  <c:v>42</c:v>
                </c:pt>
                <c:pt idx="52">
                  <c:v>33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12</c:v>
                </c:pt>
                <c:pt idx="61">
                  <c:v>17</c:v>
                </c:pt>
                <c:pt idx="62">
                  <c:v>25</c:v>
                </c:pt>
                <c:pt idx="63">
                  <c:v>22</c:v>
                </c:pt>
                <c:pt idx="64">
                  <c:v>20</c:v>
                </c:pt>
                <c:pt idx="65">
                  <c:v>14</c:v>
                </c:pt>
                <c:pt idx="66">
                  <c:v>15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11</c:v>
                </c:pt>
                <c:pt idx="71">
                  <c:v>5.5</c:v>
                </c:pt>
                <c:pt idx="72" formatCode="0.0">
                  <c:v>5.383998161135243</c:v>
                </c:pt>
                <c:pt idx="73">
                  <c:v>11</c:v>
                </c:pt>
                <c:pt idx="74">
                  <c:v>14</c:v>
                </c:pt>
                <c:pt idx="75">
                  <c:v>16</c:v>
                </c:pt>
                <c:pt idx="76">
                  <c:v>12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 formatCode="0.0">
                  <c:v>4.2971331004994537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濃度回帰式!$O$57</c:f>
              <c:strCache>
                <c:ptCount val="1"/>
                <c:pt idx="0">
                  <c:v>回帰式_Cs-134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濃度回帰式!$O$64:$O$148</c:f>
              <c:numCache>
                <c:formatCode>0</c:formatCode>
                <c:ptCount val="85"/>
                <c:pt idx="1">
                  <c:v>411.19404766024519</c:v>
                </c:pt>
                <c:pt idx="2">
                  <c:v>576.79527846674182</c:v>
                </c:pt>
                <c:pt idx="3">
                  <c:v>578.2480181912415</c:v>
                </c:pt>
                <c:pt idx="4">
                  <c:v>512.15485234831783</c:v>
                </c:pt>
                <c:pt idx="5">
                  <c:v>413.28022000427598</c:v>
                </c:pt>
                <c:pt idx="6">
                  <c:v>358.32067713714514</c:v>
                </c:pt>
                <c:pt idx="7">
                  <c:v>308.66068014639461</c:v>
                </c:pt>
                <c:pt idx="8">
                  <c:v>240.20504686885241</c:v>
                </c:pt>
                <c:pt idx="9">
                  <c:v>165.83749284351126</c:v>
                </c:pt>
                <c:pt idx="10">
                  <c:v>139.794619301506</c:v>
                </c:pt>
                <c:pt idx="11">
                  <c:v>119.19036183883253</c:v>
                </c:pt>
                <c:pt idx="12">
                  <c:v>104.17637402677464</c:v>
                </c:pt>
                <c:pt idx="13">
                  <c:v>166.62745385685463</c:v>
                </c:pt>
                <c:pt idx="14">
                  <c:v>235.06682530609376</c:v>
                </c:pt>
                <c:pt idx="15">
                  <c:v>237.09848940078018</c:v>
                </c:pt>
                <c:pt idx="16">
                  <c:v>211.3484666455829</c:v>
                </c:pt>
                <c:pt idx="17">
                  <c:v>171.73081047303268</c:v>
                </c:pt>
                <c:pt idx="18">
                  <c:v>150.0093033277615</c:v>
                </c:pt>
                <c:pt idx="19">
                  <c:v>130.21815911766831</c:v>
                </c:pt>
                <c:pt idx="20">
                  <c:v>102.20048237405877</c:v>
                </c:pt>
                <c:pt idx="21">
                  <c:v>71.167965473467731</c:v>
                </c:pt>
                <c:pt idx="22">
                  <c:v>60.573023558679431</c:v>
                </c:pt>
                <c:pt idx="23">
                  <c:v>52.16970598022786</c:v>
                </c:pt>
                <c:pt idx="24">
                  <c:v>46.045067018585954</c:v>
                </c:pt>
                <c:pt idx="25">
                  <c:v>74.480027931577709</c:v>
                </c:pt>
                <c:pt idx="26">
                  <c:v>106.25831094806493</c:v>
                </c:pt>
                <c:pt idx="27">
                  <c:v>108.52702648322915</c:v>
                </c:pt>
                <c:pt idx="28">
                  <c:v>97.962384284294274</c:v>
                </c:pt>
                <c:pt idx="29">
                  <c:v>80.700133741429894</c:v>
                </c:pt>
                <c:pt idx="30">
                  <c:v>71.495438239855417</c:v>
                </c:pt>
                <c:pt idx="31">
                  <c:v>62.961069772110726</c:v>
                </c:pt>
                <c:pt idx="32">
                  <c:v>50.182392930644177</c:v>
                </c:pt>
                <c:pt idx="33">
                  <c:v>35.488728820601594</c:v>
                </c:pt>
                <c:pt idx="34">
                  <c:v>30.712625851723661</c:v>
                </c:pt>
                <c:pt idx="35">
                  <c:v>26.906971965588799</c:v>
                </c:pt>
                <c:pt idx="36">
                  <c:v>24.126511840796447</c:v>
                </c:pt>
                <c:pt idx="37">
                  <c:v>39.730726094501478</c:v>
                </c:pt>
                <c:pt idx="38">
                  <c:v>57.704567364169641</c:v>
                </c:pt>
                <c:pt idx="39">
                  <c:v>60.056472497187173</c:v>
                </c:pt>
                <c:pt idx="40">
                  <c:v>55.21525701876444</c:v>
                </c:pt>
                <c:pt idx="41">
                  <c:v>46.379155368215486</c:v>
                </c:pt>
                <c:pt idx="42">
                  <c:v>41.902782529975127</c:v>
                </c:pt>
                <c:pt idx="43">
                  <c:v>37.609428636513712</c:v>
                </c:pt>
                <c:pt idx="44">
                  <c:v>30.572572661825639</c:v>
                </c:pt>
                <c:pt idx="45">
                  <c:v>22.041614727736405</c:v>
                </c:pt>
                <c:pt idx="46">
                  <c:v>19.454338133906116</c:v>
                </c:pt>
                <c:pt idx="47">
                  <c:v>17.379852874915056</c:v>
                </c:pt>
                <c:pt idx="48">
                  <c:v>15.850688095897727</c:v>
                </c:pt>
                <c:pt idx="49">
                  <c:v>26.617004219818917</c:v>
                </c:pt>
                <c:pt idx="50">
                  <c:v>39.381540952863595</c:v>
                </c:pt>
                <c:pt idx="51">
                  <c:v>41.752457785934048</c:v>
                </c:pt>
                <c:pt idx="52">
                  <c:v>39.082003851070617</c:v>
                </c:pt>
                <c:pt idx="53">
                  <c:v>33.421513442205473</c:v>
                </c:pt>
                <c:pt idx="54">
                  <c:v>30.730511837272314</c:v>
                </c:pt>
                <c:pt idx="55">
                  <c:v>28.038386517927691</c:v>
                </c:pt>
                <c:pt idx="56">
                  <c:v>23.172985002609465</c:v>
                </c:pt>
                <c:pt idx="57">
                  <c:v>16.965945626244689</c:v>
                </c:pt>
                <c:pt idx="58">
                  <c:v>15.204788671437178</c:v>
                </c:pt>
                <c:pt idx="59">
                  <c:v>13.786760561197816</c:v>
                </c:pt>
                <c:pt idx="60">
                  <c:v>12.744753418234804</c:v>
                </c:pt>
                <c:pt idx="61">
                  <c:v>21.692713001900024</c:v>
                </c:pt>
                <c:pt idx="62">
                  <c:v>32.500624398095582</c:v>
                </c:pt>
                <c:pt idx="63">
                  <c:v>34.892466105455419</c:v>
                </c:pt>
                <c:pt idx="64">
                  <c:v>33.029449599886242</c:v>
                </c:pt>
                <c:pt idx="65">
                  <c:v>28.560540146508234</c:v>
                </c:pt>
                <c:pt idx="66">
                  <c:v>26.535779616524128</c:v>
                </c:pt>
                <c:pt idx="67">
                  <c:v>24.446465212412043</c:v>
                </c:pt>
                <c:pt idx="68">
                  <c:v>20.395630485964634</c:v>
                </c:pt>
                <c:pt idx="69">
                  <c:v>15.060558423692514</c:v>
                </c:pt>
                <c:pt idx="70">
                  <c:v>13.610010365075995</c:v>
                </c:pt>
                <c:pt idx="71">
                  <c:v>12.43825441717896</c:v>
                </c:pt>
                <c:pt idx="72">
                  <c:v>11.575173954321821</c:v>
                </c:pt>
                <c:pt idx="73">
                  <c:v>19.838298695925801</c:v>
                </c:pt>
                <c:pt idx="74">
                  <c:v>29.912269995508876</c:v>
                </c:pt>
                <c:pt idx="75">
                  <c:v>32.305323972927646</c:v>
                </c:pt>
                <c:pt idx="76">
                  <c:v>30.750059660509645</c:v>
                </c:pt>
                <c:pt idx="77">
                  <c:v>26.728259604537971</c:v>
                </c:pt>
                <c:pt idx="78">
                  <c:v>24.956550400055523</c:v>
                </c:pt>
                <c:pt idx="79">
                  <c:v>23.093918877064798</c:v>
                </c:pt>
                <c:pt idx="80">
                  <c:v>19.351886023115394</c:v>
                </c:pt>
                <c:pt idx="81">
                  <c:v>14.339276466388934</c:v>
                </c:pt>
                <c:pt idx="82">
                  <c:v>13.005590673814535</c:v>
                </c:pt>
                <c:pt idx="83">
                  <c:v>11.925214231946883</c:v>
                </c:pt>
                <c:pt idx="84">
                  <c:v>11.132396878529701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濃度回帰式!$M$57</c:f>
              <c:strCache>
                <c:ptCount val="1"/>
                <c:pt idx="0">
                  <c:v>Cs-134:事故日1200から減衰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濃度回帰式!$E$64:$E$148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濃度回帰式!$M$64:$M$148</c:f>
              <c:numCache>
                <c:formatCode>0</c:formatCode>
                <c:ptCount val="85"/>
                <c:pt idx="0">
                  <c:v>1200</c:v>
                </c:pt>
                <c:pt idx="1">
                  <c:v>429.96057295534786</c:v>
                </c:pt>
                <c:pt idx="2">
                  <c:v>396.8297377955073</c:v>
                </c:pt>
                <c:pt idx="3">
                  <c:v>365.274178794161</c:v>
                </c:pt>
                <c:pt idx="4">
                  <c:v>337.12778731786102</c:v>
                </c:pt>
                <c:pt idx="5">
                  <c:v>310.31967600342068</c:v>
                </c:pt>
                <c:pt idx="6">
                  <c:v>285.64332261366877</c:v>
                </c:pt>
                <c:pt idx="7">
                  <c:v>263.63292810011075</c:v>
                </c:pt>
                <c:pt idx="8">
                  <c:v>242.66906469719279</c:v>
                </c:pt>
                <c:pt idx="9">
                  <c:v>223.97007393714856</c:v>
                </c:pt>
                <c:pt idx="10">
                  <c:v>206.16016653978119</c:v>
                </c:pt>
                <c:pt idx="11">
                  <c:v>189.76648764083276</c:v>
                </c:pt>
                <c:pt idx="12">
                  <c:v>176.08271448801199</c:v>
                </c:pt>
                <c:pt idx="13">
                  <c:v>162.08076867364113</c:v>
                </c:pt>
                <c:pt idx="14">
                  <c:v>149.59155090049353</c:v>
                </c:pt>
                <c:pt idx="15">
                  <c:v>137.69615960052013</c:v>
                </c:pt>
                <c:pt idx="16">
                  <c:v>127.08591053858643</c:v>
                </c:pt>
                <c:pt idx="17">
                  <c:v>116.98014837842611</c:v>
                </c:pt>
                <c:pt idx="18">
                  <c:v>107.67798772220063</c:v>
                </c:pt>
                <c:pt idx="19">
                  <c:v>99.380804478056803</c:v>
                </c:pt>
                <c:pt idx="20">
                  <c:v>91.47812849230543</c:v>
                </c:pt>
                <c:pt idx="21">
                  <c:v>84.429233811155129</c:v>
                </c:pt>
                <c:pt idx="22">
                  <c:v>77.715493848604027</c:v>
                </c:pt>
                <c:pt idx="23">
                  <c:v>71.535624706029509</c:v>
                </c:pt>
                <c:pt idx="24">
                  <c:v>66.377299476996811</c:v>
                </c:pt>
                <c:pt idx="25">
                  <c:v>61.099033786445759</c:v>
                </c:pt>
                <c:pt idx="26">
                  <c:v>56.391016018931779</c:v>
                </c:pt>
                <c:pt idx="27">
                  <c:v>51.906850988819428</c:v>
                </c:pt>
                <c:pt idx="28">
                  <c:v>47.90714163882847</c:v>
                </c:pt>
                <c:pt idx="29">
                  <c:v>44.097606993143899</c:v>
                </c:pt>
                <c:pt idx="30">
                  <c:v>40.591003261728481</c:v>
                </c:pt>
                <c:pt idx="31">
                  <c:v>37.463242432884911</c:v>
                </c:pt>
                <c:pt idx="32">
                  <c:v>34.484197657813567</c:v>
                </c:pt>
                <c:pt idx="33">
                  <c:v>31.82699990508139</c:v>
                </c:pt>
                <c:pt idx="34">
                  <c:v>29.296144281911886</c:v>
                </c:pt>
                <c:pt idx="35">
                  <c:v>26.966540118334276</c:v>
                </c:pt>
                <c:pt idx="36">
                  <c:v>25.02202387480169</c:v>
                </c:pt>
                <c:pt idx="37">
                  <c:v>23.032294085142407</c:v>
                </c:pt>
                <c:pt idx="38">
                  <c:v>21.257528707371208</c:v>
                </c:pt>
                <c:pt idx="39">
                  <c:v>19.56714833145811</c:v>
                </c:pt>
                <c:pt idx="40">
                  <c:v>18.059391558641138</c:v>
                </c:pt>
                <c:pt idx="41">
                  <c:v>16.623324294572381</c:v>
                </c:pt>
                <c:pt idx="42">
                  <c:v>15.301451862607109</c:v>
                </c:pt>
                <c:pt idx="43">
                  <c:v>14.122390545701395</c:v>
                </c:pt>
                <c:pt idx="44">
                  <c:v>12.999390211652385</c:v>
                </c:pt>
                <c:pt idx="45">
                  <c:v>11.997715450358793</c:v>
                </c:pt>
                <c:pt idx="46">
                  <c:v>11.043667450129895</c:v>
                </c:pt>
                <c:pt idx="47">
                  <c:v>10.165484525256952</c:v>
                </c:pt>
                <c:pt idx="48">
                  <c:v>9.4072887540524057</c:v>
                </c:pt>
                <c:pt idx="49">
                  <c:v>8.6592292538488902</c:v>
                </c:pt>
                <c:pt idx="50">
                  <c:v>7.9919878483204458</c:v>
                </c:pt>
                <c:pt idx="51">
                  <c:v>7.356471857289363</c:v>
                </c:pt>
                <c:pt idx="52">
                  <c:v>6.7896150992694295</c:v>
                </c:pt>
                <c:pt idx="53">
                  <c:v>6.2497107537643739</c:v>
                </c:pt>
                <c:pt idx="54">
                  <c:v>5.7527391368504537</c:v>
                </c:pt>
                <c:pt idx="55">
                  <c:v>5.309458836169604</c:v>
                </c:pt>
                <c:pt idx="56">
                  <c:v>4.8872552420017019</c:v>
                </c:pt>
                <c:pt idx="57">
                  <c:v>4.5106652521478168</c:v>
                </c:pt>
                <c:pt idx="58">
                  <c:v>4.1519810358635496</c:v>
                </c:pt>
                <c:pt idx="59">
                  <c:v>3.8218190795608216</c:v>
                </c:pt>
                <c:pt idx="60">
                  <c:v>3.5462335113923613</c:v>
                </c:pt>
                <c:pt idx="61">
                  <c:v>3.2642400765682833</c:v>
                </c:pt>
                <c:pt idx="62">
                  <c:v>3.0127123628628638</c:v>
                </c:pt>
                <c:pt idx="63">
                  <c:v>2.7731440703036161</c:v>
                </c:pt>
                <c:pt idx="64">
                  <c:v>2.5594580143096848</c:v>
                </c:pt>
                <c:pt idx="65">
                  <c:v>2.3559321172065868</c:v>
                </c:pt>
                <c:pt idx="66">
                  <c:v>2.168590424165457</c:v>
                </c:pt>
                <c:pt idx="67">
                  <c:v>2.0014885632241368</c:v>
                </c:pt>
                <c:pt idx="68">
                  <c:v>1.8423319163503449</c:v>
                </c:pt>
                <c:pt idx="69">
                  <c:v>1.7003700741033461</c:v>
                </c:pt>
                <c:pt idx="70">
                  <c:v>1.5651581101624239</c:v>
                </c:pt>
                <c:pt idx="71">
                  <c:v>1.4406980851500915</c:v>
                </c:pt>
                <c:pt idx="72">
                  <c:v>1.3368115347692384</c:v>
                </c:pt>
                <c:pt idx="73">
                  <c:v>1.2305094327810326</c:v>
                </c:pt>
                <c:pt idx="74">
                  <c:v>1.1356918896284625</c:v>
                </c:pt>
                <c:pt idx="75">
                  <c:v>1.0453826486184323</c:v>
                </c:pt>
                <c:pt idx="76">
                  <c:v>0.96483014592667526</c:v>
                </c:pt>
                <c:pt idx="77">
                  <c:v>0.88810768363037507</c:v>
                </c:pt>
                <c:pt idx="78">
                  <c:v>0.8174861254628043</c:v>
                </c:pt>
                <c:pt idx="79">
                  <c:v>0.75449430767355352</c:v>
                </c:pt>
                <c:pt idx="80">
                  <c:v>0.69449757009477442</c:v>
                </c:pt>
                <c:pt idx="81">
                  <c:v>0.64098269928798202</c:v>
                </c:pt>
                <c:pt idx="82">
                  <c:v>0.59001230705228924</c:v>
                </c:pt>
                <c:pt idx="83">
                  <c:v>0.54309503651168545</c:v>
                </c:pt>
                <c:pt idx="84">
                  <c:v>0.50393327843501956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126720"/>
        <c:axId val="294128256"/>
      </c:lineChart>
      <c:dateAx>
        <c:axId val="294126720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94128256"/>
        <c:crosses val="autoZero"/>
        <c:auto val="0"/>
        <c:lblOffset val="100"/>
        <c:baseTimeUnit val="days"/>
        <c:majorUnit val="6"/>
        <c:majorTimeUnit val="months"/>
      </c:dateAx>
      <c:valAx>
        <c:axId val="294128256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94126720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9507875653415783"/>
          <c:y val="5.7577241086361648E-2"/>
          <c:w val="0.60751260612951385"/>
          <c:h val="0.16082736516478471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101600</xdr:rowOff>
    </xdr:from>
    <xdr:to>
      <xdr:col>16</xdr:col>
      <xdr:colOff>431800</xdr:colOff>
      <xdr:row>51</xdr:row>
      <xdr:rowOff>12700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95250</xdr:colOff>
      <xdr:row>55</xdr:row>
      <xdr:rowOff>101600</xdr:rowOff>
    </xdr:from>
    <xdr:to>
      <xdr:col>16</xdr:col>
      <xdr:colOff>190500</xdr:colOff>
      <xdr:row>85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107950</xdr:colOff>
      <xdr:row>86</xdr:row>
      <xdr:rowOff>88900</xdr:rowOff>
    </xdr:from>
    <xdr:to>
      <xdr:col>16</xdr:col>
      <xdr:colOff>203200</xdr:colOff>
      <xdr:row>116</xdr:row>
      <xdr:rowOff>101600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113242</xdr:colOff>
      <xdr:row>58</xdr:row>
      <xdr:rowOff>78316</xdr:rowOff>
    </xdr:from>
    <xdr:to>
      <xdr:col>39</xdr:col>
      <xdr:colOff>349250</xdr:colOff>
      <xdr:row>89</xdr:row>
      <xdr:rowOff>10583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124884</xdr:colOff>
      <xdr:row>1</xdr:row>
      <xdr:rowOff>89957</xdr:rowOff>
    </xdr:from>
    <xdr:to>
      <xdr:col>39</xdr:col>
      <xdr:colOff>254000</xdr:colOff>
      <xdr:row>28</xdr:row>
      <xdr:rowOff>51857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113241</xdr:colOff>
      <xdr:row>29</xdr:row>
      <xdr:rowOff>35983</xdr:rowOff>
    </xdr:from>
    <xdr:to>
      <xdr:col>39</xdr:col>
      <xdr:colOff>275166</xdr:colOff>
      <xdr:row>56</xdr:row>
      <xdr:rowOff>84666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5293</xdr:colOff>
      <xdr:row>3</xdr:row>
      <xdr:rowOff>63500</xdr:rowOff>
    </xdr:from>
    <xdr:to>
      <xdr:col>12</xdr:col>
      <xdr:colOff>127001</xdr:colOff>
      <xdr:row>26</xdr:row>
      <xdr:rowOff>190499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132292</xdr:colOff>
      <xdr:row>3</xdr:row>
      <xdr:rowOff>25401</xdr:rowOff>
    </xdr:from>
    <xdr:to>
      <xdr:col>23</xdr:col>
      <xdr:colOff>127000</xdr:colOff>
      <xdr:row>26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17993</xdr:colOff>
      <xdr:row>25</xdr:row>
      <xdr:rowOff>38100</xdr:rowOff>
    </xdr:from>
    <xdr:to>
      <xdr:col>12</xdr:col>
      <xdr:colOff>139701</xdr:colOff>
      <xdr:row>48</xdr:row>
      <xdr:rowOff>38101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119592</xdr:colOff>
      <xdr:row>24</xdr:row>
      <xdr:rowOff>63501</xdr:rowOff>
    </xdr:from>
    <xdr:to>
      <xdr:col>23</xdr:col>
      <xdr:colOff>114300</xdr:colOff>
      <xdr:row>48</xdr:row>
      <xdr:rowOff>63501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469900</xdr:colOff>
      <xdr:row>74</xdr:row>
      <xdr:rowOff>50800</xdr:rowOff>
    </xdr:from>
    <xdr:to>
      <xdr:col>17</xdr:col>
      <xdr:colOff>279400</xdr:colOff>
      <xdr:row>95</xdr:row>
      <xdr:rowOff>25400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72;&#12415;&#28784;Cs_&#30707;&#24059;&#24195;&#2249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まとめ"/>
      <sheetName val="試験+本焼却"/>
      <sheetName val="Bq元表"/>
      <sheetName val="月間量回帰式"/>
      <sheetName val="濃度回帰式"/>
      <sheetName val="施設概要"/>
      <sheetName val="ごみし尿受入量"/>
      <sheetName val="公害基準"/>
    </sheetNames>
    <sheetDataSet>
      <sheetData sheetId="0">
        <row r="7">
          <cell r="X7">
            <v>5.0000000000000001E-3</v>
          </cell>
          <cell r="AD7">
            <v>0.13</v>
          </cell>
          <cell r="AJ7">
            <v>0.05</v>
          </cell>
          <cell r="AL7">
            <v>2.1960301163586587E-2</v>
          </cell>
          <cell r="AM7">
            <v>2.0619999999999998</v>
          </cell>
          <cell r="AN7">
            <v>30.07</v>
          </cell>
        </row>
        <row r="15">
          <cell r="S15">
            <v>40614</v>
          </cell>
        </row>
        <row r="16">
          <cell r="S16">
            <v>41012</v>
          </cell>
          <cell r="AQ16">
            <v>346.64908559107795</v>
          </cell>
          <cell r="AR16">
            <v>487.59737949952199</v>
          </cell>
        </row>
      </sheetData>
      <sheetData sheetId="1"/>
      <sheetData sheetId="2"/>
      <sheetData sheetId="3"/>
      <sheetData sheetId="4"/>
      <sheetData sheetId="5"/>
      <sheetData sheetId="6">
        <row r="20">
          <cell r="U20">
            <v>59786.102500000001</v>
          </cell>
          <cell r="V20">
            <v>59570.25</v>
          </cell>
          <cell r="W20">
            <v>60501.77</v>
          </cell>
          <cell r="X20">
            <v>62834.18</v>
          </cell>
          <cell r="Y20">
            <v>50077.59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y.tome.miyagi.jp/koho/shisetsuannai/ese/eis_002.html" TargetMode="External"/><Relationship Id="rId1" Type="http://schemas.openxmlformats.org/officeDocument/2006/relationships/hyperlink" Target="https://www.city.tome.miyagi.jp/koho/shisetsuannai/ese/eis_002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268"/>
  <sheetViews>
    <sheetView tabSelected="1" zoomScale="75" zoomScaleNormal="75" workbookViewId="0">
      <selection activeCell="AU67" sqref="AU67"/>
    </sheetView>
  </sheetViews>
  <sheetFormatPr defaultColWidth="4.875" defaultRowHeight="12" customHeight="1" x14ac:dyDescent="0.15"/>
  <cols>
    <col min="1" max="1" width="1" style="57" customWidth="1"/>
    <col min="2" max="2" width="6.25" style="58" customWidth="1"/>
    <col min="3" max="4" width="4.375" style="9" customWidth="1"/>
    <col min="5" max="5" width="5.125" style="9" customWidth="1"/>
    <col min="6" max="6" width="6.25" style="58" customWidth="1"/>
    <col min="7" max="10" width="4.375" style="9" customWidth="1"/>
    <col min="11" max="11" width="5.125" style="9" customWidth="1"/>
    <col min="12" max="15" width="4.375" style="9" customWidth="1"/>
    <col min="16" max="16" width="5.125" style="9" customWidth="1"/>
    <col min="17" max="17" width="5.875" style="9" customWidth="1"/>
    <col min="18" max="18" width="5.375" style="9" customWidth="1"/>
    <col min="19" max="19" width="4.5" style="9" customWidth="1"/>
    <col min="20" max="20" width="5" style="58" customWidth="1"/>
    <col min="21" max="23" width="5" style="9" customWidth="1"/>
    <col min="24" max="24" width="5" style="58" customWidth="1"/>
    <col min="25" max="31" width="5" style="9" customWidth="1"/>
    <col min="32" max="33" width="4.625" style="117" customWidth="1"/>
    <col min="34" max="36" width="4.625" style="86" customWidth="1"/>
    <col min="37" max="37" width="4.625" style="117" customWidth="1"/>
    <col min="38" max="38" width="2.75" style="117" customWidth="1"/>
    <col min="39" max="40" width="4.375" style="9" customWidth="1"/>
    <col min="41" max="41" width="2" style="9" customWidth="1"/>
    <col min="42" max="42" width="4.625" style="9" customWidth="1"/>
    <col min="43" max="51" width="4.375" style="9" customWidth="1"/>
    <col min="52" max="16384" width="4.875" style="9"/>
  </cols>
  <sheetData>
    <row r="1" spans="1:37" ht="6.75" customHeight="1" x14ac:dyDescent="0.15">
      <c r="AH1" s="117"/>
      <c r="AI1" s="117"/>
      <c r="AJ1" s="117"/>
    </row>
    <row r="2" spans="1:37" ht="15.75" customHeight="1" x14ac:dyDescent="0.2">
      <c r="B2" s="142" t="s">
        <v>295</v>
      </c>
      <c r="Q2" s="190" t="s">
        <v>429</v>
      </c>
      <c r="R2" s="161"/>
      <c r="S2" s="161"/>
      <c r="T2" s="161"/>
      <c r="U2" s="161"/>
      <c r="W2" s="161" t="s">
        <v>425</v>
      </c>
      <c r="AF2" s="118"/>
      <c r="AG2" s="115"/>
      <c r="AK2" s="86"/>
    </row>
    <row r="3" spans="1:37" ht="9.9499999999999993" customHeight="1" x14ac:dyDescent="0.2">
      <c r="A3" s="9"/>
      <c r="K3" s="53"/>
      <c r="P3" s="48"/>
      <c r="R3" s="9" t="s">
        <v>426</v>
      </c>
      <c r="T3" s="9"/>
      <c r="X3" s="9"/>
      <c r="AF3" s="118"/>
      <c r="AG3" s="115"/>
      <c r="AK3" s="86"/>
    </row>
    <row r="4" spans="1:37" ht="12" customHeight="1" x14ac:dyDescent="0.2">
      <c r="A4" s="9"/>
      <c r="K4" s="53"/>
      <c r="P4" s="48"/>
      <c r="T4" s="115"/>
      <c r="U4" s="115"/>
      <c r="V4" s="115"/>
      <c r="W4" s="58"/>
    </row>
    <row r="5" spans="1:37" ht="11.25" customHeight="1" x14ac:dyDescent="0.15">
      <c r="A5" s="9"/>
      <c r="K5" s="53"/>
      <c r="P5" s="48"/>
    </row>
    <row r="6" spans="1:37" ht="9.9499999999999993" customHeight="1" x14ac:dyDescent="0.15">
      <c r="A6" s="9"/>
      <c r="K6" s="53"/>
      <c r="P6" s="48"/>
      <c r="R6" s="189" t="s">
        <v>424</v>
      </c>
      <c r="T6" s="9"/>
      <c r="W6" s="136" t="s">
        <v>461</v>
      </c>
      <c r="Z6" s="136" t="s">
        <v>446</v>
      </c>
      <c r="AE6" s="136" t="s">
        <v>438</v>
      </c>
      <c r="AF6" s="9"/>
      <c r="AG6" s="9"/>
      <c r="AH6" s="9"/>
      <c r="AI6" s="9"/>
    </row>
    <row r="7" spans="1:37" ht="9.9499999999999993" customHeight="1" x14ac:dyDescent="0.15">
      <c r="A7" s="9"/>
      <c r="K7" s="53"/>
      <c r="P7" s="48"/>
      <c r="R7" s="100" t="s">
        <v>441</v>
      </c>
      <c r="S7" s="101" t="s">
        <v>423</v>
      </c>
      <c r="T7" s="9"/>
      <c r="U7" s="58"/>
      <c r="W7" s="54" t="s">
        <v>442</v>
      </c>
      <c r="X7" s="51" t="s">
        <v>430</v>
      </c>
      <c r="Z7" s="112" t="s">
        <v>447</v>
      </c>
      <c r="AA7" s="130"/>
      <c r="AB7" s="182">
        <v>8.2899999999999991</v>
      </c>
      <c r="AC7" s="52"/>
      <c r="AE7" s="54"/>
      <c r="AF7" s="179" t="s">
        <v>431</v>
      </c>
      <c r="AG7" s="179" t="s">
        <v>433</v>
      </c>
      <c r="AH7" s="179" t="s">
        <v>435</v>
      </c>
      <c r="AI7" s="54" t="s">
        <v>436</v>
      </c>
      <c r="AJ7" s="48"/>
    </row>
    <row r="8" spans="1:37" ht="9.9499999999999993" customHeight="1" x14ac:dyDescent="0.15">
      <c r="A8" s="9"/>
      <c r="K8" s="53"/>
      <c r="P8" s="48"/>
      <c r="R8" s="100">
        <v>4</v>
      </c>
      <c r="S8" s="139">
        <v>7.9322176308980252E-2</v>
      </c>
      <c r="T8" s="9"/>
      <c r="U8" s="58"/>
      <c r="W8" s="66">
        <v>2011</v>
      </c>
      <c r="X8" s="55">
        <v>24250</v>
      </c>
      <c r="Z8" s="112" t="s">
        <v>448</v>
      </c>
      <c r="AA8" s="130"/>
      <c r="AB8" s="182">
        <v>3.46</v>
      </c>
      <c r="AC8" s="52"/>
      <c r="AE8" s="116">
        <v>43081</v>
      </c>
      <c r="AF8" s="54" t="s">
        <v>130</v>
      </c>
      <c r="AG8" s="54">
        <v>4.3</v>
      </c>
      <c r="AH8" s="54">
        <v>77.599999999999994</v>
      </c>
      <c r="AI8" s="54">
        <v>81.900000000000006</v>
      </c>
      <c r="AJ8" s="47"/>
    </row>
    <row r="9" spans="1:37" ht="9.9499999999999993" customHeight="1" x14ac:dyDescent="0.15">
      <c r="A9" s="9"/>
      <c r="P9" s="48"/>
      <c r="R9" s="100">
        <v>5</v>
      </c>
      <c r="S9" s="139">
        <v>8.9128643618102618E-2</v>
      </c>
      <c r="T9" s="9"/>
      <c r="U9" s="58"/>
      <c r="W9" s="66">
        <v>2012</v>
      </c>
      <c r="X9" s="55">
        <v>24934</v>
      </c>
      <c r="Z9" s="112" t="s">
        <v>449</v>
      </c>
      <c r="AA9" s="130"/>
      <c r="AB9" s="182">
        <v>3.1</v>
      </c>
      <c r="AC9" s="52"/>
      <c r="AE9" s="116">
        <v>43109</v>
      </c>
      <c r="AF9" s="54" t="s">
        <v>130</v>
      </c>
      <c r="AG9" s="54">
        <v>9.5</v>
      </c>
      <c r="AH9" s="54">
        <v>31.7</v>
      </c>
      <c r="AI9" s="54">
        <v>41.2</v>
      </c>
      <c r="AJ9" s="51"/>
    </row>
    <row r="10" spans="1:37" ht="9.9499999999999993" customHeight="1" x14ac:dyDescent="0.15">
      <c r="A10" s="9"/>
      <c r="P10" s="48"/>
      <c r="R10" s="100">
        <v>6</v>
      </c>
      <c r="S10" s="139">
        <v>8.7466418700092655E-2</v>
      </c>
      <c r="T10" s="9"/>
      <c r="U10" s="58"/>
      <c r="W10" s="66">
        <v>2013</v>
      </c>
      <c r="X10" s="55">
        <v>22453</v>
      </c>
      <c r="Z10" s="112" t="s">
        <v>450</v>
      </c>
      <c r="AA10" s="130"/>
      <c r="AB10" s="182">
        <v>3.99</v>
      </c>
      <c r="AC10" s="52"/>
      <c r="AE10" s="60" t="s">
        <v>439</v>
      </c>
      <c r="AF10" s="60" t="s">
        <v>440</v>
      </c>
      <c r="AG10" s="183">
        <f>AVERAGE(AG9,AG8)</f>
        <v>6.9</v>
      </c>
      <c r="AH10" s="183">
        <f t="shared" ref="AH10:AI10" si="0">AVERAGE(AH9,AH8)</f>
        <v>54.65</v>
      </c>
      <c r="AI10" s="183">
        <f t="shared" si="0"/>
        <v>61.550000000000004</v>
      </c>
      <c r="AJ10" s="9"/>
    </row>
    <row r="11" spans="1:37" ht="9.9499999999999993" customHeight="1" x14ac:dyDescent="0.15">
      <c r="A11" s="9"/>
      <c r="P11" s="48"/>
      <c r="R11" s="100">
        <v>7</v>
      </c>
      <c r="S11" s="139">
        <v>9.3057188641443564E-2</v>
      </c>
      <c r="T11" s="9"/>
      <c r="U11" s="58"/>
      <c r="W11" s="66">
        <v>2014</v>
      </c>
      <c r="X11" s="55">
        <v>21724</v>
      </c>
      <c r="Z11" s="112" t="s">
        <v>451</v>
      </c>
      <c r="AA11" s="130"/>
      <c r="AB11" s="182">
        <v>6.57</v>
      </c>
      <c r="AC11" s="52"/>
      <c r="AF11" s="9"/>
      <c r="AG11" s="9"/>
      <c r="AH11" s="9"/>
      <c r="AI11" s="9"/>
      <c r="AJ11" s="9"/>
    </row>
    <row r="12" spans="1:37" ht="9.9499999999999993" customHeight="1" x14ac:dyDescent="0.15">
      <c r="A12" s="9"/>
      <c r="J12" s="51"/>
      <c r="K12" s="51"/>
      <c r="P12" s="48"/>
      <c r="R12" s="100">
        <v>8</v>
      </c>
      <c r="S12" s="139">
        <v>9.4364251114423536E-2</v>
      </c>
      <c r="T12" s="9"/>
      <c r="U12" s="58"/>
      <c r="W12" s="66">
        <v>2015</v>
      </c>
      <c r="X12" s="55">
        <v>21797</v>
      </c>
      <c r="Z12" s="112" t="s">
        <v>452</v>
      </c>
      <c r="AA12" s="130"/>
      <c r="AB12" s="182">
        <v>11.272254775308786</v>
      </c>
      <c r="AC12" s="52"/>
      <c r="AE12" s="9" t="s">
        <v>542</v>
      </c>
      <c r="AJ12" s="9"/>
    </row>
    <row r="13" spans="1:37" ht="9.9499999999999993" customHeight="1" x14ac:dyDescent="0.15">
      <c r="A13" s="9"/>
      <c r="J13" s="51"/>
      <c r="K13" s="51"/>
      <c r="P13" s="48"/>
      <c r="R13" s="100">
        <v>9</v>
      </c>
      <c r="S13" s="139">
        <v>8.7498753172037952E-2</v>
      </c>
      <c r="T13" s="9"/>
      <c r="U13" s="58"/>
      <c r="W13" s="66">
        <v>2016</v>
      </c>
      <c r="X13" s="55">
        <v>22013</v>
      </c>
      <c r="Z13" s="113" t="s">
        <v>439</v>
      </c>
      <c r="AA13" s="186"/>
      <c r="AB13" s="183">
        <f>AVERAGE(AB7:AB12)</f>
        <v>6.1137091292181305</v>
      </c>
      <c r="AC13" s="52"/>
      <c r="AE13" s="9" t="s">
        <v>470</v>
      </c>
      <c r="AJ13" s="9"/>
    </row>
    <row r="14" spans="1:37" ht="9.9499999999999993" customHeight="1" x14ac:dyDescent="0.15">
      <c r="A14" s="9"/>
      <c r="J14" s="51"/>
      <c r="K14" s="51"/>
      <c r="P14" s="48"/>
      <c r="R14" s="100">
        <v>10</v>
      </c>
      <c r="S14" s="139">
        <v>9.00306780289966E-2</v>
      </c>
      <c r="T14" s="9"/>
      <c r="U14" s="58"/>
      <c r="W14" s="66">
        <v>2017</v>
      </c>
      <c r="X14" s="55">
        <v>21835</v>
      </c>
      <c r="AC14" s="52"/>
      <c r="AE14" s="9" t="s">
        <v>472</v>
      </c>
    </row>
    <row r="15" spans="1:37" ht="9.9499999999999993" customHeight="1" x14ac:dyDescent="0.15">
      <c r="A15" s="9"/>
      <c r="J15" s="51"/>
      <c r="K15" s="51"/>
      <c r="M15" s="48"/>
      <c r="N15" s="48"/>
      <c r="O15" s="48"/>
      <c r="P15" s="48"/>
      <c r="R15" s="100">
        <v>11</v>
      </c>
      <c r="S15" s="139">
        <v>8.1438010045640843E-2</v>
      </c>
      <c r="T15" s="9"/>
      <c r="U15" s="58"/>
      <c r="W15" s="66">
        <v>2018</v>
      </c>
      <c r="X15" s="55">
        <v>21606</v>
      </c>
      <c r="AE15" s="9" t="s">
        <v>471</v>
      </c>
    </row>
    <row r="16" spans="1:37" ht="9.9499999999999993" customHeight="1" x14ac:dyDescent="0.15">
      <c r="A16" s="9"/>
      <c r="J16" s="51"/>
      <c r="K16" s="51"/>
      <c r="M16" s="48"/>
      <c r="N16" s="48"/>
      <c r="O16" s="48"/>
      <c r="P16" s="48"/>
      <c r="R16" s="100">
        <v>12</v>
      </c>
      <c r="S16" s="139">
        <v>8.1735217189744303E-2</v>
      </c>
      <c r="T16" s="9"/>
      <c r="U16" s="58"/>
      <c r="Z16" s="136" t="s">
        <v>460</v>
      </c>
      <c r="AF16" s="191" t="s">
        <v>463</v>
      </c>
    </row>
    <row r="17" spans="1:59" ht="9.9499999999999993" customHeight="1" x14ac:dyDescent="0.15">
      <c r="A17" s="9"/>
      <c r="J17" s="51"/>
      <c r="K17" s="51"/>
      <c r="M17" s="48"/>
      <c r="N17" s="48"/>
      <c r="O17" s="48"/>
      <c r="P17" s="48"/>
      <c r="R17" s="100">
        <v>1</v>
      </c>
      <c r="S17" s="139">
        <v>7.4890020694885998E-2</v>
      </c>
      <c r="T17" s="9"/>
      <c r="U17" s="58"/>
      <c r="Y17" s="185"/>
      <c r="Z17" s="54">
        <v>0.05</v>
      </c>
      <c r="AA17" s="112" t="s">
        <v>443</v>
      </c>
      <c r="AF17" s="191" t="s">
        <v>464</v>
      </c>
    </row>
    <row r="18" spans="1:59" ht="9.9499999999999993" customHeight="1" x14ac:dyDescent="0.15">
      <c r="A18" s="9"/>
      <c r="J18" s="51"/>
      <c r="K18" s="51"/>
      <c r="M18" s="48"/>
      <c r="N18" s="48"/>
      <c r="O18" s="48"/>
      <c r="P18" s="48"/>
      <c r="R18" s="100">
        <v>2</v>
      </c>
      <c r="S18" s="139">
        <v>6.4081858761377689E-2</v>
      </c>
      <c r="T18" s="9"/>
      <c r="U18" s="58"/>
      <c r="Y18" s="185"/>
      <c r="Z18" s="54">
        <v>0.13</v>
      </c>
      <c r="AA18" s="112" t="s">
        <v>444</v>
      </c>
      <c r="AF18" s="117" t="s">
        <v>469</v>
      </c>
    </row>
    <row r="19" spans="1:59" ht="9.9499999999999993" customHeight="1" x14ac:dyDescent="0.15">
      <c r="A19" s="9"/>
      <c r="J19" s="51"/>
      <c r="K19" s="51"/>
      <c r="M19" s="48"/>
      <c r="N19" s="48"/>
      <c r="O19" s="48"/>
      <c r="P19" s="48"/>
      <c r="R19" s="100">
        <v>3</v>
      </c>
      <c r="S19" s="139">
        <v>7.7688555125821387E-2</v>
      </c>
      <c r="T19" s="9"/>
      <c r="U19" s="58"/>
    </row>
    <row r="20" spans="1:59" ht="9.9499999999999993" customHeight="1" x14ac:dyDescent="0.15">
      <c r="A20" s="9"/>
      <c r="J20" s="51"/>
      <c r="K20" s="51"/>
      <c r="M20" s="48"/>
      <c r="N20" s="48"/>
      <c r="O20" s="48"/>
      <c r="P20" s="48"/>
      <c r="R20" s="347" t="s">
        <v>453</v>
      </c>
      <c r="S20" s="348"/>
      <c r="T20" s="348"/>
      <c r="U20" s="58"/>
    </row>
    <row r="21" spans="1:59" ht="9.9499999999999993" customHeight="1" x14ac:dyDescent="0.15">
      <c r="A21" s="9"/>
      <c r="J21" s="51"/>
      <c r="K21" s="51"/>
      <c r="M21" s="48"/>
      <c r="N21" s="48"/>
      <c r="O21" s="48"/>
      <c r="P21" s="48"/>
      <c r="R21" s="348"/>
      <c r="S21" s="348"/>
      <c r="T21" s="348"/>
      <c r="W21" s="58"/>
      <c r="X21" s="9"/>
      <c r="Y21" s="349" t="s">
        <v>455</v>
      </c>
      <c r="Z21" s="349" t="s">
        <v>458</v>
      </c>
      <c r="AA21" s="349" t="s">
        <v>456</v>
      </c>
      <c r="AB21" s="349" t="s">
        <v>459</v>
      </c>
      <c r="AC21" s="349" t="s">
        <v>456</v>
      </c>
      <c r="AE21" s="117"/>
      <c r="AG21" s="86"/>
      <c r="AM21" s="349" t="s">
        <v>466</v>
      </c>
      <c r="AN21" s="349" t="s">
        <v>467</v>
      </c>
      <c r="AP21" s="349" t="s">
        <v>290</v>
      </c>
      <c r="BF21" s="86"/>
      <c r="BG21" s="117"/>
    </row>
    <row r="22" spans="1:59" ht="9.9499999999999993" customHeight="1" x14ac:dyDescent="0.15">
      <c r="A22" s="9"/>
      <c r="J22" s="51"/>
      <c r="K22" s="51"/>
      <c r="M22" s="48"/>
      <c r="N22" s="48"/>
      <c r="O22" s="48"/>
      <c r="P22" s="48"/>
      <c r="R22" s="348"/>
      <c r="S22" s="348"/>
      <c r="T22" s="348"/>
      <c r="W22" s="58"/>
      <c r="X22" s="9"/>
      <c r="Y22" s="350"/>
      <c r="Z22" s="350"/>
      <c r="AA22" s="350"/>
      <c r="AB22" s="350"/>
      <c r="AC22" s="350"/>
      <c r="AE22" s="117"/>
      <c r="AG22" s="86"/>
      <c r="AM22" s="350"/>
      <c r="AN22" s="350"/>
      <c r="AP22" s="350"/>
      <c r="BF22" s="86"/>
      <c r="BG22" s="117"/>
    </row>
    <row r="23" spans="1:59" ht="9.9499999999999993" customHeight="1" x14ac:dyDescent="0.15">
      <c r="A23" s="9"/>
      <c r="J23" s="51"/>
      <c r="K23" s="51"/>
      <c r="M23" s="48"/>
      <c r="N23" s="48"/>
      <c r="O23" s="48"/>
      <c r="P23" s="48"/>
      <c r="R23" s="348"/>
      <c r="S23" s="348"/>
      <c r="T23" s="348"/>
      <c r="W23" s="58"/>
      <c r="X23" s="9"/>
      <c r="Y23" s="350"/>
      <c r="Z23" s="350"/>
      <c r="AA23" s="350"/>
      <c r="AB23" s="350"/>
      <c r="AC23" s="350"/>
      <c r="AE23" s="117"/>
      <c r="AG23" s="86"/>
      <c r="AM23" s="350"/>
      <c r="AN23" s="350"/>
      <c r="AP23" s="350"/>
      <c r="BF23" s="86"/>
      <c r="BG23" s="117"/>
    </row>
    <row r="24" spans="1:59" ht="9.9499999999999993" customHeight="1" x14ac:dyDescent="0.2">
      <c r="A24" s="9"/>
      <c r="J24" s="51"/>
      <c r="K24" s="51"/>
      <c r="M24" s="48"/>
      <c r="N24" s="48"/>
      <c r="O24" s="48"/>
      <c r="P24" s="48"/>
      <c r="S24" s="382" t="s">
        <v>543</v>
      </c>
      <c r="T24" s="383"/>
      <c r="V24" s="387" t="s">
        <v>454</v>
      </c>
      <c r="W24" s="388"/>
      <c r="X24" s="9"/>
      <c r="Y24" s="350"/>
      <c r="Z24" s="350"/>
      <c r="AA24" s="350"/>
      <c r="AB24" s="350"/>
      <c r="AC24" s="350"/>
      <c r="AE24" s="114">
        <v>89.3</v>
      </c>
      <c r="AF24" s="115" t="s">
        <v>266</v>
      </c>
      <c r="AL24" s="9"/>
      <c r="AM24" s="350"/>
      <c r="AN24" s="350"/>
      <c r="AP24" s="350"/>
    </row>
    <row r="25" spans="1:59" ht="9.9499999999999993" customHeight="1" x14ac:dyDescent="0.15">
      <c r="A25" s="9"/>
      <c r="J25" s="51"/>
      <c r="K25" s="51"/>
      <c r="M25" s="48"/>
      <c r="N25" s="48"/>
      <c r="O25" s="48"/>
      <c r="P25" s="48"/>
      <c r="S25" s="384"/>
      <c r="T25" s="383"/>
      <c r="V25" s="389"/>
      <c r="W25" s="388"/>
      <c r="X25" s="9"/>
      <c r="Y25" s="350"/>
      <c r="Z25" s="350"/>
      <c r="AA25" s="350"/>
      <c r="AB25" s="350"/>
      <c r="AC25" s="350"/>
      <c r="AE25" s="188"/>
      <c r="AF25" s="9"/>
      <c r="AG25" s="187"/>
      <c r="AH25" s="9"/>
      <c r="AL25" s="9"/>
      <c r="AM25" s="350"/>
      <c r="AN25" s="350"/>
      <c r="AP25" s="350"/>
    </row>
    <row r="26" spans="1:59" ht="9.9499999999999993" customHeight="1" x14ac:dyDescent="0.15">
      <c r="A26" s="9"/>
      <c r="J26" s="51"/>
      <c r="K26" s="51"/>
      <c r="M26" s="48"/>
      <c r="N26" s="48"/>
      <c r="O26" s="48"/>
      <c r="P26" s="48"/>
      <c r="S26" s="384"/>
      <c r="T26" s="383"/>
      <c r="V26" s="389"/>
      <c r="W26" s="388"/>
      <c r="X26" s="9"/>
      <c r="Y26" s="350"/>
      <c r="Z26" s="350"/>
      <c r="AA26" s="350"/>
      <c r="AB26" s="350"/>
      <c r="AC26" s="350"/>
      <c r="AE26" s="188"/>
      <c r="AF26" s="9"/>
      <c r="AG26" s="187"/>
      <c r="AH26" s="9"/>
      <c r="AL26" s="9"/>
      <c r="AM26" s="350"/>
      <c r="AN26" s="350"/>
      <c r="AP26" s="350"/>
    </row>
    <row r="27" spans="1:59" ht="9.9499999999999993" customHeight="1" x14ac:dyDescent="0.15">
      <c r="A27" s="9"/>
      <c r="J27" s="51"/>
      <c r="K27" s="51"/>
      <c r="M27" s="48"/>
      <c r="N27" s="48"/>
      <c r="O27" s="48"/>
      <c r="P27" s="48"/>
      <c r="S27" s="384"/>
      <c r="T27" s="383"/>
      <c r="V27" s="389"/>
      <c r="W27" s="388"/>
      <c r="X27" s="9"/>
      <c r="Y27" s="350"/>
      <c r="Z27" s="350"/>
      <c r="AA27" s="350"/>
      <c r="AB27" s="350"/>
      <c r="AC27" s="350"/>
      <c r="AE27" s="117"/>
      <c r="AF27" s="125"/>
      <c r="AG27" s="126"/>
      <c r="AH27" s="126"/>
      <c r="AL27" s="127"/>
      <c r="AM27" s="350"/>
      <c r="AN27" s="350"/>
      <c r="AP27" s="350"/>
      <c r="BF27" s="126"/>
      <c r="BG27" s="126"/>
    </row>
    <row r="28" spans="1:59" ht="12" customHeight="1" x14ac:dyDescent="0.15">
      <c r="S28" s="385"/>
      <c r="T28" s="386"/>
      <c r="V28" s="390"/>
      <c r="W28" s="391"/>
      <c r="X28" s="9"/>
      <c r="Y28" s="351"/>
      <c r="Z28" s="351"/>
      <c r="AA28" s="351"/>
      <c r="AB28" s="351"/>
      <c r="AC28" s="351"/>
      <c r="AD28" s="135"/>
      <c r="AE28" s="119">
        <f>8.021/365.25</f>
        <v>2.1960301163586587E-2</v>
      </c>
      <c r="AF28" s="119">
        <v>2.0619999999999998</v>
      </c>
      <c r="AG28" s="120">
        <v>30.07</v>
      </c>
      <c r="AH28" s="117" t="s">
        <v>268</v>
      </c>
      <c r="AL28" s="128"/>
      <c r="AM28" s="351"/>
      <c r="AN28" s="351"/>
      <c r="AP28" s="351"/>
      <c r="BF28" s="128"/>
      <c r="BG28" s="128"/>
    </row>
    <row r="29" spans="1:59" ht="12" customHeight="1" x14ac:dyDescent="0.15">
      <c r="R29" s="63"/>
      <c r="S29" s="63" t="s">
        <v>427</v>
      </c>
      <c r="T29" s="64"/>
      <c r="U29" s="64"/>
      <c r="V29" s="64"/>
      <c r="W29" s="64"/>
      <c r="X29" s="340"/>
      <c r="Y29" s="359" t="s">
        <v>286</v>
      </c>
      <c r="Z29" s="362" t="s">
        <v>445</v>
      </c>
      <c r="AA29" s="365" t="s">
        <v>283</v>
      </c>
      <c r="AB29" s="354" t="s">
        <v>457</v>
      </c>
      <c r="AC29" s="365" t="s">
        <v>284</v>
      </c>
      <c r="AD29" s="368" t="s">
        <v>544</v>
      </c>
      <c r="AE29" s="371" t="s">
        <v>269</v>
      </c>
      <c r="AF29" s="357" t="s">
        <v>270</v>
      </c>
      <c r="AG29" s="357" t="s">
        <v>271</v>
      </c>
      <c r="AH29" s="352" t="s">
        <v>272</v>
      </c>
      <c r="AI29" s="352" t="s">
        <v>273</v>
      </c>
      <c r="AJ29" s="357" t="s">
        <v>274</v>
      </c>
      <c r="AK29" s="357" t="s">
        <v>275</v>
      </c>
      <c r="AM29" s="54"/>
      <c r="AN29" s="54"/>
      <c r="AP29" s="375" t="s">
        <v>545</v>
      </c>
    </row>
    <row r="30" spans="1:59" ht="12" customHeight="1" x14ac:dyDescent="0.15">
      <c r="R30" s="61"/>
      <c r="S30" s="54" t="s">
        <v>15</v>
      </c>
      <c r="T30" s="54"/>
      <c r="U30" s="54"/>
      <c r="V30" s="54" t="s">
        <v>202</v>
      </c>
      <c r="W30" s="54"/>
      <c r="X30" s="341"/>
      <c r="Y30" s="360"/>
      <c r="Z30" s="363"/>
      <c r="AA30" s="366"/>
      <c r="AB30" s="355"/>
      <c r="AC30" s="366"/>
      <c r="AD30" s="369"/>
      <c r="AE30" s="372"/>
      <c r="AF30" s="358"/>
      <c r="AG30" s="358"/>
      <c r="AH30" s="353"/>
      <c r="AI30" s="353"/>
      <c r="AJ30" s="358"/>
      <c r="AK30" s="358"/>
      <c r="AM30" s="54"/>
      <c r="AN30" s="54"/>
      <c r="AP30" s="376"/>
    </row>
    <row r="31" spans="1:59" ht="12" customHeight="1" x14ac:dyDescent="0.15">
      <c r="R31" s="65" t="s">
        <v>267</v>
      </c>
      <c r="S31" s="62" t="s">
        <v>18</v>
      </c>
      <c r="T31" s="62" t="s">
        <v>19</v>
      </c>
      <c r="U31" s="60" t="s">
        <v>287</v>
      </c>
      <c r="V31" s="62" t="s">
        <v>18</v>
      </c>
      <c r="W31" s="62" t="s">
        <v>19</v>
      </c>
      <c r="X31" s="342" t="s">
        <v>287</v>
      </c>
      <c r="Y31" s="361"/>
      <c r="Z31" s="364"/>
      <c r="AA31" s="367"/>
      <c r="AB31" s="356"/>
      <c r="AC31" s="367"/>
      <c r="AD31" s="370"/>
      <c r="AE31" s="372"/>
      <c r="AF31" s="358"/>
      <c r="AG31" s="358"/>
      <c r="AH31" s="353"/>
      <c r="AI31" s="353"/>
      <c r="AJ31" s="358"/>
      <c r="AK31" s="358"/>
      <c r="AM31" s="54"/>
      <c r="AN31" s="54"/>
      <c r="AP31" s="377"/>
    </row>
    <row r="32" spans="1:59" ht="12" customHeight="1" x14ac:dyDescent="0.15">
      <c r="R32" s="116">
        <v>40614</v>
      </c>
      <c r="S32" s="162"/>
      <c r="T32" s="162"/>
      <c r="U32" s="60"/>
      <c r="V32" s="162"/>
      <c r="W32" s="162"/>
      <c r="X32" s="342"/>
      <c r="Y32" s="343"/>
      <c r="Z32" s="338"/>
      <c r="AA32" s="124"/>
      <c r="AB32" s="124"/>
      <c r="AC32" s="124"/>
      <c r="AD32" s="131"/>
      <c r="AE32" s="121">
        <v>1</v>
      </c>
      <c r="AF32" s="122">
        <v>1</v>
      </c>
      <c r="AG32" s="122">
        <v>1</v>
      </c>
      <c r="AH32" s="122">
        <f>AF32+AG32</f>
        <v>2</v>
      </c>
      <c r="AI32" s="129">
        <v>500</v>
      </c>
      <c r="AJ32" s="129">
        <v>500</v>
      </c>
      <c r="AK32" s="129">
        <v>500</v>
      </c>
      <c r="AM32" s="54"/>
      <c r="AN32" s="54"/>
      <c r="AP32" s="54"/>
    </row>
    <row r="33" spans="1:42" ht="9.9499999999999993" customHeight="1" x14ac:dyDescent="0.15">
      <c r="A33" s="9"/>
      <c r="R33" s="116">
        <v>40923</v>
      </c>
      <c r="S33" s="194"/>
      <c r="T33" s="194"/>
      <c r="U33" s="184"/>
      <c r="V33" s="183"/>
      <c r="W33" s="183"/>
      <c r="X33" s="344"/>
      <c r="Y33" s="345">
        <f t="shared" ref="Y33:Y64" si="1">IF(MONTH(R33)&lt;=3,(INDEX(月値割合表,MATCH(MONTH(R33),月,0),2)*INDEX(年度別焼却量,MATCH(YEAR(R33)-1,年度,0),2)),(INDEX(月値割合表,MATCH(MONTH(R33),月,0),2)*INDEX(年度別焼却量,MATCH(YEAR(R33),年度,0),2)))</f>
        <v>1816.0830018509855</v>
      </c>
      <c r="Z33" s="339">
        <f t="shared" ref="Z33:Z64" si="2">Y33*飛灰発生率</f>
        <v>90.804150092549278</v>
      </c>
      <c r="AA33" s="109">
        <f>(Z33*U33)/10^3</f>
        <v>0</v>
      </c>
      <c r="AB33" s="109">
        <f t="shared" ref="AB33:AB64" si="3">Y33*主灰発生率</f>
        <v>236.09079024062814</v>
      </c>
      <c r="AC33" s="109">
        <f>(AB33*X33)/10^3</f>
        <v>0</v>
      </c>
      <c r="AD33" s="132">
        <f>(AA33+AC33)*10</f>
        <v>0</v>
      </c>
      <c r="AE33" s="123">
        <f t="shared" ref="AE33:AE64" si="4">1*2.71828^(-0.69315/半I131*(R33-事故日)/365.25)</f>
        <v>2.5299897218690568E-12</v>
      </c>
      <c r="AF33" s="98">
        <f t="shared" ref="AF33:AF64" si="5">1*2.71828^(-0.69315/半Cs134*(R33-事故日)/365.25)</f>
        <v>0.75247696235032346</v>
      </c>
      <c r="AG33" s="98">
        <f t="shared" ref="AG33:AG64" si="6">1*2.71828^(-0.69315/半Cs137*(R33-事故日)/365.25)</f>
        <v>0.98068769961179392</v>
      </c>
      <c r="AH33" s="98">
        <f>AF33+AG33</f>
        <v>1.7331646619621175</v>
      </c>
      <c r="AI33" s="97">
        <f t="shared" ref="AI33:AI64" si="7">250*2.71828^(-0.69315/半Cs134*(R33-事故日)/365.25)+250*2.71828^(-0.69315/半Cs137*(R33-事故日)/365.25)</f>
        <v>433.29116549052935</v>
      </c>
      <c r="AJ33" s="97">
        <f t="shared" ref="AJ33:AJ64" si="8">500*2.71828^(-0.69315/半Cs134*(R33-事故日)/365.25)</f>
        <v>376.23848117516172</v>
      </c>
      <c r="AK33" s="97">
        <f t="shared" ref="AK33:AK64" si="9">500*2.71828^(-0.69315/半Cs137*(R33-事故日)/365.25)</f>
        <v>490.34384980589698</v>
      </c>
      <c r="AM33" s="54"/>
      <c r="AN33" s="54"/>
      <c r="AP33" s="97">
        <f t="shared" ref="AP33:AP64" ca="1" si="10">AD33*AJ33/(AJ33+AK33)*2.71828^(-0.69315/半Cs134*(NOW()-調査初日)/365.25)+AD33*AK33/(AJ33+AK33)*2.71828^(-0.69315/半Cs137*(NOW()-調査初日)/365.25)</f>
        <v>0</v>
      </c>
    </row>
    <row r="34" spans="1:42" ht="9.9499999999999993" customHeight="1" x14ac:dyDescent="0.15">
      <c r="A34" s="9"/>
      <c r="R34" s="116">
        <v>40954</v>
      </c>
      <c r="S34" s="194"/>
      <c r="T34" s="194"/>
      <c r="U34" s="184"/>
      <c r="V34" s="183"/>
      <c r="W34" s="183"/>
      <c r="X34" s="344"/>
      <c r="Y34" s="345">
        <f t="shared" si="1"/>
        <v>1553.985074963409</v>
      </c>
      <c r="Z34" s="339">
        <f t="shared" si="2"/>
        <v>77.699253748170463</v>
      </c>
      <c r="AA34" s="109">
        <f t="shared" ref="AA34:AA97" si="11">(Z34*U34)/10^3</f>
        <v>0</v>
      </c>
      <c r="AB34" s="109">
        <f t="shared" si="3"/>
        <v>202.01805974524319</v>
      </c>
      <c r="AC34" s="109">
        <f t="shared" ref="AC34:AC97" si="12">(AB34*X34)/10^3</f>
        <v>0</v>
      </c>
      <c r="AD34" s="132">
        <f t="shared" ref="AD34:AD97" si="13">(AA34+AC34)*10</f>
        <v>0</v>
      </c>
      <c r="AE34" s="123">
        <f t="shared" si="4"/>
        <v>1.7365112311999602E-13</v>
      </c>
      <c r="AF34" s="98">
        <f t="shared" si="5"/>
        <v>0.73131176331012648</v>
      </c>
      <c r="AG34" s="98">
        <f t="shared" si="6"/>
        <v>0.97877092547860978</v>
      </c>
      <c r="AH34" s="98">
        <f t="shared" ref="AH34:AH97" si="14">AF34+AG34</f>
        <v>1.7100826887887361</v>
      </c>
      <c r="AI34" s="97">
        <f t="shared" si="7"/>
        <v>427.52067219718407</v>
      </c>
      <c r="AJ34" s="97">
        <f t="shared" si="8"/>
        <v>365.65588165506324</v>
      </c>
      <c r="AK34" s="97">
        <f t="shared" si="9"/>
        <v>489.3854627393049</v>
      </c>
      <c r="AM34" s="54"/>
      <c r="AN34" s="54"/>
      <c r="AP34" s="97">
        <f t="shared" ca="1" si="10"/>
        <v>0</v>
      </c>
    </row>
    <row r="35" spans="1:42" ht="9.9499999999999993" customHeight="1" x14ac:dyDescent="0.15">
      <c r="A35" s="9"/>
      <c r="R35" s="116">
        <v>40983</v>
      </c>
      <c r="S35" s="194"/>
      <c r="T35" s="194"/>
      <c r="U35" s="184"/>
      <c r="V35" s="183"/>
      <c r="W35" s="183"/>
      <c r="X35" s="344"/>
      <c r="Y35" s="345">
        <f t="shared" si="1"/>
        <v>1883.9474618011686</v>
      </c>
      <c r="Z35" s="339">
        <f t="shared" si="2"/>
        <v>94.197373090058434</v>
      </c>
      <c r="AA35" s="109">
        <f t="shared" si="11"/>
        <v>0</v>
      </c>
      <c r="AB35" s="109">
        <f t="shared" si="3"/>
        <v>244.91317003415193</v>
      </c>
      <c r="AC35" s="109">
        <f t="shared" si="12"/>
        <v>0</v>
      </c>
      <c r="AD35" s="132">
        <f t="shared" si="13"/>
        <v>0</v>
      </c>
      <c r="AE35" s="123">
        <f t="shared" si="4"/>
        <v>1.4167628365199629E-14</v>
      </c>
      <c r="AF35" s="98">
        <f t="shared" si="5"/>
        <v>0.71205133808378474</v>
      </c>
      <c r="AG35" s="98">
        <f t="shared" si="6"/>
        <v>0.97698120595402671</v>
      </c>
      <c r="AH35" s="98">
        <f t="shared" si="14"/>
        <v>1.6890325440378113</v>
      </c>
      <c r="AI35" s="97">
        <f t="shared" si="7"/>
        <v>422.25813600945287</v>
      </c>
      <c r="AJ35" s="97">
        <f t="shared" si="8"/>
        <v>356.02566904189234</v>
      </c>
      <c r="AK35" s="97">
        <f t="shared" si="9"/>
        <v>488.49060297701334</v>
      </c>
      <c r="AM35" s="54"/>
      <c r="AN35" s="54"/>
      <c r="AP35" s="97">
        <f t="shared" ca="1" si="10"/>
        <v>0</v>
      </c>
    </row>
    <row r="36" spans="1:42" ht="9.9499999999999993" customHeight="1" x14ac:dyDescent="0.15">
      <c r="A36" s="9"/>
      <c r="R36" s="116">
        <v>41014</v>
      </c>
      <c r="S36" s="194">
        <f t="shared" ref="S36:S67" si="15">AM36*6.9/15</f>
        <v>189.1492619237128</v>
      </c>
      <c r="T36" s="194">
        <f t="shared" ref="T36:T67" si="16">AN36*54.7/77</f>
        <v>441.2334254030248</v>
      </c>
      <c r="U36" s="184">
        <f t="shared" ref="U36:U96" si="17">S36+T36</f>
        <v>630.3826873267376</v>
      </c>
      <c r="V36" s="183">
        <f t="shared" ref="V36:V64" si="18">S36/濃度比</f>
        <v>30.938544494985273</v>
      </c>
      <c r="W36" s="183">
        <f t="shared" ref="W36:W64" si="19">T36/濃度比</f>
        <v>72.171151109286285</v>
      </c>
      <c r="X36" s="344">
        <f t="shared" ref="X36:X96" si="20">V36+W36</f>
        <v>103.10969560427156</v>
      </c>
      <c r="Y36" s="345">
        <f t="shared" si="1"/>
        <v>1977.8191440881137</v>
      </c>
      <c r="Z36" s="339">
        <f t="shared" si="2"/>
        <v>98.890957204405694</v>
      </c>
      <c r="AA36" s="109">
        <f t="shared" si="11"/>
        <v>62.339147354826665</v>
      </c>
      <c r="AB36" s="109">
        <f t="shared" si="3"/>
        <v>257.11648873145481</v>
      </c>
      <c r="AC36" s="109">
        <f t="shared" si="12"/>
        <v>26.511202887939422</v>
      </c>
      <c r="AD36" s="132">
        <f t="shared" si="13"/>
        <v>888.50350242766081</v>
      </c>
      <c r="AE36" s="123">
        <f t="shared" si="4"/>
        <v>9.7242473212345822E-16</v>
      </c>
      <c r="AF36" s="98">
        <f t="shared" si="5"/>
        <v>0.69202320559410779</v>
      </c>
      <c r="AG36" s="98">
        <f t="shared" si="6"/>
        <v>0.9750716762383782</v>
      </c>
      <c r="AH36" s="98">
        <f t="shared" si="14"/>
        <v>1.667094881832486</v>
      </c>
      <c r="AI36" s="97">
        <f t="shared" si="7"/>
        <v>416.77372045812149</v>
      </c>
      <c r="AJ36" s="97">
        <f t="shared" si="8"/>
        <v>346.01160279705391</v>
      </c>
      <c r="AK36" s="97">
        <f t="shared" si="9"/>
        <v>487.53583811918912</v>
      </c>
      <c r="AM36" s="54">
        <v>411.19404766024519</v>
      </c>
      <c r="AN36" s="54">
        <v>621.11469389456863</v>
      </c>
      <c r="AP36" s="97">
        <f ca="1">AD36*AJ36/(AJ36+AK36)*2.71828^(-0.69315/半Cs134*(NOW()-R36)/365.25)+AD36*AK36/(AJ36+AK36)*2.71828^(-0.69315/半Cs137*(NOW()-R36)/365.25)</f>
        <v>463.35668030188151</v>
      </c>
    </row>
    <row r="37" spans="1:42" ht="9.9499999999999993" customHeight="1" x14ac:dyDescent="0.15">
      <c r="A37" s="9"/>
      <c r="R37" s="116">
        <v>41044</v>
      </c>
      <c r="S37" s="194">
        <f t="shared" si="15"/>
        <v>265.32582809470125</v>
      </c>
      <c r="T37" s="194">
        <f t="shared" si="16"/>
        <v>636.51639101836315</v>
      </c>
      <c r="U37" s="184">
        <f t="shared" si="17"/>
        <v>901.8422191130644</v>
      </c>
      <c r="V37" s="183">
        <f t="shared" si="18"/>
        <v>43.398503672128939</v>
      </c>
      <c r="W37" s="183">
        <f t="shared" si="19"/>
        <v>104.11296605139046</v>
      </c>
      <c r="X37" s="344">
        <f t="shared" si="20"/>
        <v>147.51146972351938</v>
      </c>
      <c r="Y37" s="345">
        <f t="shared" si="1"/>
        <v>2222.3335999737706</v>
      </c>
      <c r="Z37" s="339">
        <f t="shared" si="2"/>
        <v>111.11667999868854</v>
      </c>
      <c r="AA37" s="109">
        <f t="shared" si="11"/>
        <v>100.20971327049354</v>
      </c>
      <c r="AB37" s="109">
        <f t="shared" si="3"/>
        <v>288.90336799659019</v>
      </c>
      <c r="AC37" s="109">
        <f t="shared" si="12"/>
        <v>42.616560421251791</v>
      </c>
      <c r="AD37" s="132">
        <f t="shared" si="13"/>
        <v>1428.2627369174531</v>
      </c>
      <c r="AE37" s="123">
        <f t="shared" si="4"/>
        <v>7.2768797051916521E-17</v>
      </c>
      <c r="AF37" s="98">
        <f t="shared" si="5"/>
        <v>0.67317767880632884</v>
      </c>
      <c r="AG37" s="98">
        <f t="shared" si="6"/>
        <v>0.97322729789583196</v>
      </c>
      <c r="AH37" s="98">
        <f t="shared" si="14"/>
        <v>1.6464049767021609</v>
      </c>
      <c r="AI37" s="97">
        <f t="shared" si="7"/>
        <v>411.60124417554016</v>
      </c>
      <c r="AJ37" s="97">
        <f t="shared" si="8"/>
        <v>336.5888394031644</v>
      </c>
      <c r="AK37" s="97">
        <f t="shared" si="9"/>
        <v>486.61364894791598</v>
      </c>
      <c r="AM37" s="54">
        <v>576.79527846674182</v>
      </c>
      <c r="AN37" s="54">
        <v>896.01027620500838</v>
      </c>
      <c r="AP37" s="97">
        <f ca="1">AD37*AJ37/(AJ37+AK37)*2.71828^(-0.69315/半Cs134*(NOW()-R37)/365.25)+AD37*AK37/(AJ37+AK37)*2.71828^(-0.69315/半Cs137*(NOW()-R37)/365.25)</f>
        <v>754.20262263551058</v>
      </c>
    </row>
    <row r="38" spans="1:42" ht="9.9499999999999993" customHeight="1" x14ac:dyDescent="0.15">
      <c r="A38" s="9"/>
      <c r="R38" s="116">
        <v>41075</v>
      </c>
      <c r="S38" s="194">
        <f t="shared" si="15"/>
        <v>265.99408836797113</v>
      </c>
      <c r="T38" s="194">
        <f t="shared" si="16"/>
        <v>657.02085857234829</v>
      </c>
      <c r="U38" s="184">
        <f t="shared" si="17"/>
        <v>923.01494694031942</v>
      </c>
      <c r="V38" s="183">
        <f t="shared" si="18"/>
        <v>43.507808884258871</v>
      </c>
      <c r="W38" s="183">
        <f t="shared" si="19"/>
        <v>107.46681673689199</v>
      </c>
      <c r="X38" s="344">
        <f t="shared" si="20"/>
        <v>150.97462562115086</v>
      </c>
      <c r="Y38" s="345">
        <f t="shared" si="1"/>
        <v>2180.8876838681103</v>
      </c>
      <c r="Z38" s="339">
        <f t="shared" si="2"/>
        <v>109.04438419340552</v>
      </c>
      <c r="AA38" s="109">
        <f t="shared" si="11"/>
        <v>100.649596490416</v>
      </c>
      <c r="AB38" s="109">
        <f t="shared" si="3"/>
        <v>283.51539890285437</v>
      </c>
      <c r="AC38" s="109">
        <f t="shared" si="12"/>
        <v>42.803631207189682</v>
      </c>
      <c r="AD38" s="132">
        <f t="shared" si="13"/>
        <v>1434.5322769760569</v>
      </c>
      <c r="AE38" s="123">
        <f t="shared" si="4"/>
        <v>4.9946382101588171E-18</v>
      </c>
      <c r="AF38" s="98">
        <f t="shared" si="5"/>
        <v>0.6542429601714207</v>
      </c>
      <c r="AG38" s="98">
        <f t="shared" si="6"/>
        <v>0.9713251052701326</v>
      </c>
      <c r="AH38" s="98">
        <f t="shared" si="14"/>
        <v>1.6255680654415534</v>
      </c>
      <c r="AI38" s="97">
        <f t="shared" si="7"/>
        <v>406.39201636038831</v>
      </c>
      <c r="AJ38" s="97">
        <f t="shared" si="8"/>
        <v>327.12148008571035</v>
      </c>
      <c r="AK38" s="97">
        <f t="shared" si="9"/>
        <v>485.66255263506628</v>
      </c>
      <c r="AM38" s="54">
        <v>578.2480181912415</v>
      </c>
      <c r="AN38" s="54">
        <v>924.87396910549933</v>
      </c>
      <c r="AP38" s="97">
        <f ca="1">AD38*AJ38/(AJ38+AK38)*2.71828^(-0.69315/半Cs134*(NOW()-R38)/365.25)+AD38*AK38/(AJ38+AK38)*2.71828^(-0.69315/半Cs137*(NOW()-R38)/365.25)</f>
        <v>767.22327284997857</v>
      </c>
    </row>
    <row r="39" spans="1:42" ht="9.9499999999999993" customHeight="1" x14ac:dyDescent="0.15">
      <c r="A39" s="9"/>
      <c r="R39" s="116">
        <v>41105</v>
      </c>
      <c r="S39" s="194">
        <f t="shared" si="15"/>
        <v>235.59123208022621</v>
      </c>
      <c r="T39" s="194">
        <f t="shared" si="16"/>
        <v>598.72617380695976</v>
      </c>
      <c r="U39" s="184">
        <f t="shared" si="17"/>
        <v>834.31740588718594</v>
      </c>
      <c r="V39" s="183">
        <f t="shared" si="18"/>
        <v>38.534910166777181</v>
      </c>
      <c r="W39" s="183">
        <f t="shared" si="19"/>
        <v>97.931740151911612</v>
      </c>
      <c r="X39" s="344">
        <f t="shared" si="20"/>
        <v>136.46665031868878</v>
      </c>
      <c r="Y39" s="345">
        <f t="shared" si="1"/>
        <v>2320.2879415857537</v>
      </c>
      <c r="Z39" s="339">
        <f t="shared" si="2"/>
        <v>116.01439707928769</v>
      </c>
      <c r="AA39" s="109">
        <f t="shared" si="11"/>
        <v>96.792830816757231</v>
      </c>
      <c r="AB39" s="109">
        <f t="shared" si="3"/>
        <v>301.63743240614798</v>
      </c>
      <c r="AC39" s="109">
        <f t="shared" si="12"/>
        <v>41.163450011196915</v>
      </c>
      <c r="AD39" s="132">
        <f t="shared" si="13"/>
        <v>1379.5628082795415</v>
      </c>
      <c r="AE39" s="123">
        <f t="shared" si="4"/>
        <v>3.7376035620682686E-19</v>
      </c>
      <c r="AF39" s="98">
        <f t="shared" si="5"/>
        <v>0.6364262841814281</v>
      </c>
      <c r="AG39" s="98">
        <f t="shared" si="6"/>
        <v>0.96948781368286929</v>
      </c>
      <c r="AH39" s="98">
        <f t="shared" si="14"/>
        <v>1.6059140978642974</v>
      </c>
      <c r="AI39" s="97">
        <f t="shared" si="7"/>
        <v>401.4785244660743</v>
      </c>
      <c r="AJ39" s="97">
        <f t="shared" si="8"/>
        <v>318.21314209071403</v>
      </c>
      <c r="AK39" s="97">
        <f t="shared" si="9"/>
        <v>484.74390684143464</v>
      </c>
      <c r="AM39" s="54">
        <v>512.15485234831783</v>
      </c>
      <c r="AN39" s="54">
        <v>842.81380956372755</v>
      </c>
      <c r="AP39" s="97">
        <f ca="1">AD39*AJ39/(AJ39+AK39)*2.71828^(-0.69315/半Cs134*(NOW()-R39)/365.25)+AD39*AK39/(AJ39+AK39)*2.71828^(-0.69315/半Cs137*(NOW()-R39)/365.25)</f>
        <v>746.85410052907537</v>
      </c>
    </row>
    <row r="40" spans="1:42" ht="9.9499999999999993" customHeight="1" x14ac:dyDescent="0.15">
      <c r="A40" s="9"/>
      <c r="R40" s="116">
        <v>41136</v>
      </c>
      <c r="S40" s="194">
        <f t="shared" si="15"/>
        <v>190.10890120196697</v>
      </c>
      <c r="T40" s="194">
        <f t="shared" si="16"/>
        <v>497.61340545231815</v>
      </c>
      <c r="U40" s="184">
        <f t="shared" si="17"/>
        <v>687.72230665428515</v>
      </c>
      <c r="V40" s="183">
        <f t="shared" si="18"/>
        <v>31.095509646249656</v>
      </c>
      <c r="W40" s="183">
        <f t="shared" si="19"/>
        <v>81.393045520298884</v>
      </c>
      <c r="X40" s="344">
        <f t="shared" si="20"/>
        <v>112.48855516654854</v>
      </c>
      <c r="Y40" s="345">
        <f t="shared" si="1"/>
        <v>2352.8782372870364</v>
      </c>
      <c r="Z40" s="339">
        <f t="shared" si="2"/>
        <v>117.64391186435182</v>
      </c>
      <c r="AA40" s="109">
        <f t="shared" si="11"/>
        <v>80.906342431185465</v>
      </c>
      <c r="AB40" s="109">
        <f t="shared" si="3"/>
        <v>305.87417084731476</v>
      </c>
      <c r="AC40" s="109">
        <f t="shared" si="12"/>
        <v>34.407343541380463</v>
      </c>
      <c r="AD40" s="132">
        <f t="shared" si="13"/>
        <v>1153.1368597256594</v>
      </c>
      <c r="AE40" s="123">
        <f t="shared" si="4"/>
        <v>2.5653821860231441E-20</v>
      </c>
      <c r="AF40" s="98">
        <f t="shared" si="5"/>
        <v>0.61852528567505549</v>
      </c>
      <c r="AG40" s="98">
        <f t="shared" si="6"/>
        <v>0.96759292995541935</v>
      </c>
      <c r="AH40" s="98">
        <f t="shared" si="14"/>
        <v>1.5861182156304747</v>
      </c>
      <c r="AI40" s="97">
        <f t="shared" si="7"/>
        <v>396.52955390761872</v>
      </c>
      <c r="AJ40" s="97">
        <f t="shared" si="8"/>
        <v>309.26264283752772</v>
      </c>
      <c r="AK40" s="97">
        <f t="shared" si="9"/>
        <v>483.79646497770966</v>
      </c>
      <c r="AM40" s="54">
        <v>413.28022000427598</v>
      </c>
      <c r="AN40" s="54">
        <v>700.47956526194685</v>
      </c>
      <c r="AP40" s="97">
        <f ca="1">AD40*AJ40/(AJ40+AK40)*2.71828^(-0.69315/半Cs134*(NOW()-R40)/365.25)+AD40*AK40/(AJ40+AK40)*2.71828^(-0.69315/半Cs137*(NOW()-R40)/365.25)</f>
        <v>632.06523596316845</v>
      </c>
    </row>
    <row r="41" spans="1:42" ht="9.9499999999999993" customHeight="1" x14ac:dyDescent="0.15">
      <c r="A41" s="9"/>
      <c r="R41" s="116">
        <v>41167</v>
      </c>
      <c r="S41" s="194">
        <f t="shared" si="15"/>
        <v>164.82751148308677</v>
      </c>
      <c r="T41" s="194">
        <f t="shared" si="16"/>
        <v>444.43237609703078</v>
      </c>
      <c r="U41" s="184">
        <f t="shared" si="17"/>
        <v>609.25988758011749</v>
      </c>
      <c r="V41" s="183">
        <f t="shared" si="18"/>
        <v>26.960312962119318</v>
      </c>
      <c r="W41" s="183">
        <f t="shared" si="19"/>
        <v>72.694393322220137</v>
      </c>
      <c r="X41" s="344">
        <f t="shared" si="20"/>
        <v>99.654706284339454</v>
      </c>
      <c r="Y41" s="345">
        <f t="shared" si="1"/>
        <v>2181.6939115915943</v>
      </c>
      <c r="Z41" s="339">
        <f t="shared" si="2"/>
        <v>109.08469557957972</v>
      </c>
      <c r="AA41" s="109">
        <f t="shared" si="11"/>
        <v>66.460929365526084</v>
      </c>
      <c r="AB41" s="109">
        <f t="shared" si="3"/>
        <v>283.62020850690726</v>
      </c>
      <c r="AC41" s="109">
        <f t="shared" si="12"/>
        <v>28.26408857505896</v>
      </c>
      <c r="AD41" s="132">
        <f t="shared" si="13"/>
        <v>947.25017940585053</v>
      </c>
      <c r="AE41" s="123">
        <f t="shared" si="4"/>
        <v>1.7608035873989329E-21</v>
      </c>
      <c r="AF41" s="98">
        <f t="shared" si="5"/>
        <v>0.60112779520329729</v>
      </c>
      <c r="AG41" s="98">
        <f t="shared" si="6"/>
        <v>0.96570174981690582</v>
      </c>
      <c r="AH41" s="98">
        <f t="shared" si="14"/>
        <v>1.566829545020203</v>
      </c>
      <c r="AI41" s="97">
        <f t="shared" si="7"/>
        <v>391.70738625505078</v>
      </c>
      <c r="AJ41" s="97">
        <f t="shared" si="8"/>
        <v>300.56389760164865</v>
      </c>
      <c r="AK41" s="97">
        <f t="shared" si="9"/>
        <v>482.85087490845291</v>
      </c>
      <c r="AM41" s="54">
        <v>358.32067713714514</v>
      </c>
      <c r="AN41" s="54">
        <v>625.61778719326082</v>
      </c>
      <c r="AP41" s="97">
        <f ca="1">AD41*AJ41/(AJ41+AK41)*2.71828^(-0.69315/半Cs134*(NOW()-R41)/365.25)+AD41*AK41/(AJ41+AK41)*2.71828^(-0.69315/半Cs137*(NOW()-R41)/365.25)</f>
        <v>525.60507113123492</v>
      </c>
    </row>
    <row r="42" spans="1:42" ht="9.9499999999999993" customHeight="1" x14ac:dyDescent="0.15">
      <c r="A42" s="9"/>
      <c r="R42" s="116">
        <v>41197</v>
      </c>
      <c r="S42" s="194">
        <f t="shared" si="15"/>
        <v>141.98391286734153</v>
      </c>
      <c r="T42" s="194">
        <f t="shared" si="16"/>
        <v>394.01119861873599</v>
      </c>
      <c r="U42" s="184">
        <f t="shared" si="17"/>
        <v>535.99511148607758</v>
      </c>
      <c r="V42" s="183">
        <f t="shared" si="18"/>
        <v>23.2238580322351</v>
      </c>
      <c r="W42" s="183">
        <f t="shared" si="19"/>
        <v>64.44716133708593</v>
      </c>
      <c r="X42" s="344">
        <f t="shared" si="20"/>
        <v>87.67101936932103</v>
      </c>
      <c r="Y42" s="345">
        <f t="shared" si="1"/>
        <v>2244.8249259750014</v>
      </c>
      <c r="Z42" s="339">
        <f t="shared" si="2"/>
        <v>112.24124629875007</v>
      </c>
      <c r="AA42" s="109">
        <f t="shared" si="11"/>
        <v>60.160759323234835</v>
      </c>
      <c r="AB42" s="109">
        <f t="shared" si="3"/>
        <v>291.82724037675018</v>
      </c>
      <c r="AC42" s="109">
        <f t="shared" si="12"/>
        <v>25.584791643565566</v>
      </c>
      <c r="AD42" s="132">
        <f t="shared" si="13"/>
        <v>857.45550966800408</v>
      </c>
      <c r="AE42" s="123">
        <f t="shared" si="4"/>
        <v>1.3176501447049805E-22</v>
      </c>
      <c r="AF42" s="98">
        <f t="shared" si="5"/>
        <v>0.58475757831489616</v>
      </c>
      <c r="AG42" s="98">
        <f t="shared" si="6"/>
        <v>0.96387509498103519</v>
      </c>
      <c r="AH42" s="98">
        <f t="shared" si="14"/>
        <v>1.5486326732959315</v>
      </c>
      <c r="AI42" s="97">
        <f t="shared" si="7"/>
        <v>387.15816832398286</v>
      </c>
      <c r="AJ42" s="97">
        <f t="shared" si="8"/>
        <v>292.37878915744807</v>
      </c>
      <c r="AK42" s="97">
        <f t="shared" si="9"/>
        <v>481.9375474905176</v>
      </c>
      <c r="AM42" s="54">
        <v>308.66068014639461</v>
      </c>
      <c r="AN42" s="54">
        <v>554.64099257116402</v>
      </c>
      <c r="AP42" s="97">
        <f ca="1">AD42*AJ42/(AJ42+AK42)*2.71828^(-0.69315/半Cs134*(NOW()-R42)/365.25)+AD42*AK42/(AJ42+AK42)*2.71828^(-0.69315/半Cs137*(NOW()-R42)/365.25)</f>
        <v>481.37084194380355</v>
      </c>
    </row>
    <row r="43" spans="1:42" ht="9.9499999999999993" customHeight="1" x14ac:dyDescent="0.15">
      <c r="A43" s="9"/>
      <c r="R43" s="116">
        <v>41228</v>
      </c>
      <c r="S43" s="194">
        <f t="shared" si="15"/>
        <v>110.4943215596721</v>
      </c>
      <c r="T43" s="194">
        <f t="shared" si="16"/>
        <v>315.89389257141698</v>
      </c>
      <c r="U43" s="184">
        <f t="shared" si="17"/>
        <v>426.38821413108906</v>
      </c>
      <c r="V43" s="183">
        <f t="shared" si="18"/>
        <v>18.073205516370876</v>
      </c>
      <c r="W43" s="183">
        <f t="shared" si="19"/>
        <v>51.669761497439119</v>
      </c>
      <c r="X43" s="344">
        <f t="shared" si="20"/>
        <v>69.742967013809988</v>
      </c>
      <c r="Y43" s="345">
        <f t="shared" si="1"/>
        <v>2030.5753424780087</v>
      </c>
      <c r="Z43" s="339">
        <f t="shared" si="2"/>
        <v>101.52876712390044</v>
      </c>
      <c r="AA43" s="109">
        <f t="shared" si="11"/>
        <v>43.290669696891136</v>
      </c>
      <c r="AB43" s="109">
        <f t="shared" si="3"/>
        <v>263.97479452214111</v>
      </c>
      <c r="AC43" s="109">
        <f t="shared" si="12"/>
        <v>18.410385386834957</v>
      </c>
      <c r="AD43" s="132">
        <f t="shared" si="13"/>
        <v>617.01055083726089</v>
      </c>
      <c r="AE43" s="123">
        <f t="shared" si="4"/>
        <v>9.0439666821337877E-24</v>
      </c>
      <c r="AF43" s="98">
        <f t="shared" si="5"/>
        <v>0.56830988469163757</v>
      </c>
      <c r="AG43" s="98">
        <f t="shared" si="6"/>
        <v>0.96199118142689222</v>
      </c>
      <c r="AH43" s="98">
        <f t="shared" si="14"/>
        <v>1.5303010661185299</v>
      </c>
      <c r="AI43" s="97">
        <f t="shared" si="7"/>
        <v>382.57526652963247</v>
      </c>
      <c r="AJ43" s="97">
        <f t="shared" si="8"/>
        <v>284.15494234581877</v>
      </c>
      <c r="AK43" s="97">
        <f t="shared" si="9"/>
        <v>480.99559071344612</v>
      </c>
      <c r="AM43" s="54">
        <v>240.20504686885241</v>
      </c>
      <c r="AN43" s="54">
        <v>444.67696029248822</v>
      </c>
      <c r="AP43" s="97">
        <f ca="1">AD43*AJ43/(AJ43+AK43)*2.71828^(-0.69315/半Cs134*(NOW()-R43)/365.25)+AD43*AK43/(AJ43+AK43)*2.71828^(-0.69315/半Cs137*(NOW()-R43)/365.25)</f>
        <v>350.53574646800195</v>
      </c>
    </row>
    <row r="44" spans="1:42" ht="9.9499999999999993" customHeight="1" x14ac:dyDescent="0.15">
      <c r="A44" s="9"/>
      <c r="R44" s="116">
        <v>41258</v>
      </c>
      <c r="S44" s="194">
        <f t="shared" si="15"/>
        <v>76.28524670801518</v>
      </c>
      <c r="T44" s="194">
        <f t="shared" si="16"/>
        <v>224.50216384012231</v>
      </c>
      <c r="U44" s="184">
        <f t="shared" si="17"/>
        <v>300.78741054813747</v>
      </c>
      <c r="V44" s="183">
        <f t="shared" si="18"/>
        <v>12.47773570768015</v>
      </c>
      <c r="W44" s="183">
        <f t="shared" si="19"/>
        <v>36.721106466645629</v>
      </c>
      <c r="X44" s="344">
        <f t="shared" si="20"/>
        <v>49.198842174325776</v>
      </c>
      <c r="Y44" s="345">
        <f t="shared" si="1"/>
        <v>2037.9859054090844</v>
      </c>
      <c r="Z44" s="339">
        <f t="shared" si="2"/>
        <v>101.89929527045422</v>
      </c>
      <c r="AA44" s="109">
        <f t="shared" si="11"/>
        <v>30.650025161079999</v>
      </c>
      <c r="AB44" s="109">
        <f t="shared" si="3"/>
        <v>264.93816770318097</v>
      </c>
      <c r="AC44" s="109">
        <f t="shared" si="12"/>
        <v>13.034651098783856</v>
      </c>
      <c r="AD44" s="132">
        <f t="shared" si="13"/>
        <v>436.84676259863858</v>
      </c>
      <c r="AE44" s="123">
        <f t="shared" si="4"/>
        <v>6.7678099321822357E-25</v>
      </c>
      <c r="AF44" s="98">
        <f t="shared" si="5"/>
        <v>0.5528333817808414</v>
      </c>
      <c r="AG44" s="98">
        <f t="shared" si="6"/>
        <v>0.96017154524630988</v>
      </c>
      <c r="AH44" s="98">
        <f t="shared" si="14"/>
        <v>1.5130049270271513</v>
      </c>
      <c r="AI44" s="97">
        <f t="shared" si="7"/>
        <v>378.25123175678777</v>
      </c>
      <c r="AJ44" s="97">
        <f t="shared" si="8"/>
        <v>276.41669089042068</v>
      </c>
      <c r="AK44" s="97">
        <f t="shared" si="9"/>
        <v>480.08577262315492</v>
      </c>
      <c r="AM44" s="54">
        <v>165.83749284351126</v>
      </c>
      <c r="AN44" s="54">
        <v>316.02681198700947</v>
      </c>
      <c r="AP44" s="97">
        <f ca="1">AD44*AJ44/(AJ44+AK44)*2.71828^(-0.69315/半Cs134*(NOW()-R44)/365.25)+AD44*AK44/(AJ44+AK44)*2.71828^(-0.69315/半Cs137*(NOW()-R44)/365.25)</f>
        <v>251.01829886495344</v>
      </c>
    </row>
    <row r="45" spans="1:42" ht="9.9499999999999993" customHeight="1" x14ac:dyDescent="0.15">
      <c r="A45" s="9"/>
      <c r="R45" s="116">
        <v>41289</v>
      </c>
      <c r="S45" s="194">
        <f t="shared" si="15"/>
        <v>64.305524878692765</v>
      </c>
      <c r="T45" s="194">
        <f t="shared" si="16"/>
        <v>194.99849452441265</v>
      </c>
      <c r="U45" s="184">
        <f t="shared" si="17"/>
        <v>259.30401940310543</v>
      </c>
      <c r="V45" s="183">
        <f t="shared" si="18"/>
        <v>10.51825062650906</v>
      </c>
      <c r="W45" s="183">
        <f t="shared" si="19"/>
        <v>31.895284908549549</v>
      </c>
      <c r="X45" s="344">
        <f t="shared" si="20"/>
        <v>42.413535535058607</v>
      </c>
      <c r="Y45" s="345">
        <f t="shared" si="1"/>
        <v>1867.3077760062874</v>
      </c>
      <c r="Z45" s="339">
        <f t="shared" si="2"/>
        <v>93.365388800314378</v>
      </c>
      <c r="AA45" s="109">
        <f t="shared" si="11"/>
        <v>24.210020589055201</v>
      </c>
      <c r="AB45" s="109">
        <f t="shared" si="3"/>
        <v>242.75001088081737</v>
      </c>
      <c r="AC45" s="109">
        <f t="shared" si="12"/>
        <v>10.295886212629412</v>
      </c>
      <c r="AD45" s="132">
        <f t="shared" si="13"/>
        <v>345.05906801684614</v>
      </c>
      <c r="AE45" s="123">
        <f t="shared" si="4"/>
        <v>4.6452275502443482E-26</v>
      </c>
      <c r="AF45" s="98">
        <f t="shared" si="5"/>
        <v>0.53728363189227357</v>
      </c>
      <c r="AG45" s="98">
        <f t="shared" si="6"/>
        <v>0.95829487035574479</v>
      </c>
      <c r="AH45" s="98">
        <f t="shared" si="14"/>
        <v>1.4955785022480184</v>
      </c>
      <c r="AI45" s="97">
        <f t="shared" si="7"/>
        <v>373.89462556200459</v>
      </c>
      <c r="AJ45" s="97">
        <f t="shared" si="8"/>
        <v>268.64181594613677</v>
      </c>
      <c r="AK45" s="97">
        <f t="shared" si="9"/>
        <v>479.14743517787241</v>
      </c>
      <c r="AM45" s="54">
        <v>139.794619301506</v>
      </c>
      <c r="AN45" s="54">
        <v>274.49513854442</v>
      </c>
      <c r="AP45" s="97">
        <f ca="1">AD45*AJ45/(AJ45+AK45)*2.71828^(-0.69315/半Cs134*(NOW()-R45)/365.25)+AD45*AK45/(AJ45+AK45)*2.71828^(-0.69315/半Cs137*(NOW()-R45)/365.25)</f>
        <v>200.5860997285881</v>
      </c>
    </row>
    <row r="46" spans="1:42" ht="9.9499999999999993" customHeight="1" x14ac:dyDescent="0.15">
      <c r="A46" s="9"/>
      <c r="R46" s="116">
        <v>41320</v>
      </c>
      <c r="S46" s="194">
        <f t="shared" si="15"/>
        <v>54.827566445862971</v>
      </c>
      <c r="T46" s="194">
        <f t="shared" si="16"/>
        <v>171.32910526050088</v>
      </c>
      <c r="U46" s="184">
        <f t="shared" si="17"/>
        <v>226.15667170636385</v>
      </c>
      <c r="V46" s="183">
        <f t="shared" si="18"/>
        <v>8.9679710445882392</v>
      </c>
      <c r="W46" s="183">
        <f t="shared" si="19"/>
        <v>28.023758023046774</v>
      </c>
      <c r="X46" s="344">
        <f t="shared" si="20"/>
        <v>36.991729067635013</v>
      </c>
      <c r="Y46" s="345">
        <f t="shared" si="1"/>
        <v>1597.8170663561914</v>
      </c>
      <c r="Z46" s="339">
        <f t="shared" si="2"/>
        <v>79.890853317809572</v>
      </c>
      <c r="AA46" s="109">
        <f t="shared" si="11"/>
        <v>18.067849486137128</v>
      </c>
      <c r="AB46" s="109">
        <f t="shared" si="3"/>
        <v>207.71621862630488</v>
      </c>
      <c r="AC46" s="109">
        <f t="shared" si="12"/>
        <v>7.6837820823779124</v>
      </c>
      <c r="AD46" s="132">
        <f t="shared" si="13"/>
        <v>257.5163156851504</v>
      </c>
      <c r="AE46" s="123">
        <f t="shared" si="4"/>
        <v>3.1883488469350934E-27</v>
      </c>
      <c r="AF46" s="98">
        <f t="shared" si="5"/>
        <v>0.52217125559503663</v>
      </c>
      <c r="AG46" s="98">
        <f t="shared" si="6"/>
        <v>0.95642186346457236</v>
      </c>
      <c r="AH46" s="98">
        <f t="shared" si="14"/>
        <v>1.4785931190596089</v>
      </c>
      <c r="AI46" s="97">
        <f t="shared" si="7"/>
        <v>369.64827976490221</v>
      </c>
      <c r="AJ46" s="97">
        <f t="shared" si="8"/>
        <v>261.08562779751833</v>
      </c>
      <c r="AK46" s="97">
        <f t="shared" si="9"/>
        <v>478.21093173228616</v>
      </c>
      <c r="AM46" s="54">
        <v>119.19036183883253</v>
      </c>
      <c r="AN46" s="54">
        <v>241.17625420582388</v>
      </c>
      <c r="AP46" s="97">
        <f ca="1">AD46*AJ46/(AJ46+AK46)*2.71828^(-0.69315/半Cs134*(NOW()-R46)/365.25)+AD46*AK46/(AJ46+AK46)*2.71828^(-0.69315/半Cs137*(NOW()-R46)/365.25)</f>
        <v>151.41631486235946</v>
      </c>
    </row>
    <row r="47" spans="1:42" ht="9.9499999999999993" customHeight="1" x14ac:dyDescent="0.15">
      <c r="A47" s="9"/>
      <c r="R47" s="116">
        <v>41348</v>
      </c>
      <c r="S47" s="194">
        <f t="shared" si="15"/>
        <v>47.921132052316338</v>
      </c>
      <c r="T47" s="194">
        <f t="shared" si="16"/>
        <v>153.84437548537315</v>
      </c>
      <c r="U47" s="184">
        <f t="shared" si="17"/>
        <v>201.76550753768947</v>
      </c>
      <c r="V47" s="183">
        <f t="shared" si="18"/>
        <v>7.8383074888688515</v>
      </c>
      <c r="W47" s="183">
        <f t="shared" si="19"/>
        <v>25.163836262692463</v>
      </c>
      <c r="X47" s="344">
        <f t="shared" si="20"/>
        <v>33.002143751561313</v>
      </c>
      <c r="Y47" s="345">
        <f t="shared" si="1"/>
        <v>1937.0864335072304</v>
      </c>
      <c r="Z47" s="339">
        <f t="shared" si="2"/>
        <v>96.854321675361518</v>
      </c>
      <c r="AA47" s="109">
        <f t="shared" si="11"/>
        <v>19.541861370047954</v>
      </c>
      <c r="AB47" s="109">
        <f t="shared" si="3"/>
        <v>251.82123635593996</v>
      </c>
      <c r="AC47" s="109">
        <f t="shared" si="12"/>
        <v>8.3106406419146275</v>
      </c>
      <c r="AD47" s="132">
        <f t="shared" si="13"/>
        <v>278.52502011962582</v>
      </c>
      <c r="AE47" s="123">
        <f t="shared" si="4"/>
        <v>2.8360622067534579E-28</v>
      </c>
      <c r="AF47" s="98">
        <f t="shared" si="5"/>
        <v>0.50888705937041046</v>
      </c>
      <c r="AG47" s="98">
        <f t="shared" si="6"/>
        <v>0.95473326206495868</v>
      </c>
      <c r="AH47" s="98">
        <f t="shared" si="14"/>
        <v>1.4636203214353691</v>
      </c>
      <c r="AI47" s="97">
        <f t="shared" si="7"/>
        <v>365.90508035884227</v>
      </c>
      <c r="AJ47" s="97">
        <f t="shared" si="8"/>
        <v>254.44352968520522</v>
      </c>
      <c r="AK47" s="97">
        <f t="shared" si="9"/>
        <v>477.36663103247935</v>
      </c>
      <c r="AM47" s="54">
        <v>104.17637402677464</v>
      </c>
      <c r="AN47" s="54">
        <v>216.56338048215233</v>
      </c>
      <c r="AP47" s="97">
        <f ca="1">AD47*AJ47/(AJ47+AK47)*2.71828^(-0.69315/半Cs134*(NOW()-R47)/365.25)+AD47*AK47/(AJ47+AK47)*2.71828^(-0.69315/半Cs137*(NOW()-R47)/365.25)</f>
        <v>165.44451986430087</v>
      </c>
    </row>
    <row r="48" spans="1:42" ht="9.9499999999999993" customHeight="1" x14ac:dyDescent="0.15">
      <c r="A48" s="9"/>
      <c r="R48" s="116">
        <v>41379</v>
      </c>
      <c r="S48" s="194">
        <f t="shared" si="15"/>
        <v>76.648628774153138</v>
      </c>
      <c r="T48" s="194">
        <f t="shared" si="16"/>
        <v>253.53739117432625</v>
      </c>
      <c r="U48" s="184">
        <f t="shared" si="17"/>
        <v>330.18601994847938</v>
      </c>
      <c r="V48" s="183">
        <f t="shared" si="18"/>
        <v>12.537172959020962</v>
      </c>
      <c r="W48" s="183">
        <f t="shared" si="19"/>
        <v>41.470306456458879</v>
      </c>
      <c r="X48" s="344">
        <f t="shared" si="20"/>
        <v>54.007479415479843</v>
      </c>
      <c r="Y48" s="345">
        <f t="shared" si="1"/>
        <v>1781.0208246655336</v>
      </c>
      <c r="Z48" s="339">
        <f t="shared" si="2"/>
        <v>89.051041233276692</v>
      </c>
      <c r="AA48" s="109">
        <f t="shared" si="11"/>
        <v>29.40340887708356</v>
      </c>
      <c r="AB48" s="109">
        <f t="shared" si="3"/>
        <v>231.53270720651938</v>
      </c>
      <c r="AC48" s="109">
        <f t="shared" si="12"/>
        <v>12.504497918466416</v>
      </c>
      <c r="AD48" s="132">
        <f t="shared" si="13"/>
        <v>419.0790679554998</v>
      </c>
      <c r="AE48" s="123">
        <f t="shared" si="4"/>
        <v>1.9465904670833763E-29</v>
      </c>
      <c r="AF48" s="98">
        <f t="shared" si="5"/>
        <v>0.49457340401687827</v>
      </c>
      <c r="AG48" s="98">
        <f t="shared" si="6"/>
        <v>0.95286721640991368</v>
      </c>
      <c r="AH48" s="98">
        <f t="shared" si="14"/>
        <v>1.447440620426792</v>
      </c>
      <c r="AI48" s="97">
        <f t="shared" si="7"/>
        <v>361.86015510669802</v>
      </c>
      <c r="AJ48" s="97">
        <f t="shared" si="8"/>
        <v>247.28670200843914</v>
      </c>
      <c r="AK48" s="97">
        <f t="shared" si="9"/>
        <v>476.43360820495684</v>
      </c>
      <c r="AM48" s="54">
        <v>166.62745385685463</v>
      </c>
      <c r="AN48" s="54">
        <v>356.89906984320146</v>
      </c>
      <c r="AP48" s="97">
        <f ca="1">AD48*AJ48/(AJ48+AK48)*2.71828^(-0.69315/半Cs134*(NOW()-R48)/365.25)+AD48*AK48/(AJ48+AK48)*2.71828^(-0.69315/半Cs137*(NOW()-R48)/365.25)</f>
        <v>251.71657612343299</v>
      </c>
    </row>
    <row r="49" spans="1:42" ht="9.9499999999999993" customHeight="1" x14ac:dyDescent="0.15">
      <c r="A49" s="9"/>
      <c r="R49" s="116">
        <v>41409</v>
      </c>
      <c r="S49" s="194">
        <f t="shared" si="15"/>
        <v>108.13073964080313</v>
      </c>
      <c r="T49" s="194">
        <f t="shared" si="16"/>
        <v>368.17777200931221</v>
      </c>
      <c r="U49" s="184">
        <f t="shared" si="17"/>
        <v>476.30851165011535</v>
      </c>
      <c r="V49" s="183">
        <f t="shared" si="18"/>
        <v>17.686601922887316</v>
      </c>
      <c r="W49" s="183">
        <f t="shared" si="19"/>
        <v>60.221669730695496</v>
      </c>
      <c r="X49" s="344">
        <f t="shared" si="20"/>
        <v>77.908271653582815</v>
      </c>
      <c r="Y49" s="345">
        <f t="shared" si="1"/>
        <v>2001.2054351572581</v>
      </c>
      <c r="Z49" s="339">
        <f t="shared" si="2"/>
        <v>100.06027175786291</v>
      </c>
      <c r="AA49" s="109">
        <f t="shared" si="11"/>
        <v>47.65955911629375</v>
      </c>
      <c r="AB49" s="109">
        <f t="shared" si="3"/>
        <v>260.15670657044353</v>
      </c>
      <c r="AC49" s="109">
        <f t="shared" si="12"/>
        <v>20.268359367991547</v>
      </c>
      <c r="AD49" s="132">
        <f t="shared" si="13"/>
        <v>679.27918484285306</v>
      </c>
      <c r="AE49" s="123">
        <f t="shared" si="4"/>
        <v>1.4566787738220304E-30</v>
      </c>
      <c r="AF49" s="98">
        <f t="shared" si="5"/>
        <v>0.48110493033192242</v>
      </c>
      <c r="AG49" s="98">
        <f t="shared" si="6"/>
        <v>0.95106483849237566</v>
      </c>
      <c r="AH49" s="98">
        <f t="shared" si="14"/>
        <v>1.432169768824298</v>
      </c>
      <c r="AI49" s="97">
        <f t="shared" si="7"/>
        <v>358.0424422060745</v>
      </c>
      <c r="AJ49" s="97">
        <f t="shared" si="8"/>
        <v>240.55246516596122</v>
      </c>
      <c r="AK49" s="97">
        <f t="shared" si="9"/>
        <v>475.53241924618783</v>
      </c>
      <c r="AM49" s="54">
        <v>235.06682530609376</v>
      </c>
      <c r="AN49" s="54">
        <v>518.27583993998246</v>
      </c>
      <c r="AP49" s="97">
        <f ca="1">AD49*AJ49/(AJ49+AK49)*2.71828^(-0.69315/半Cs134*(NOW()-R49)/365.25)+AD49*AK49/(AJ49+AK49)*2.71828^(-0.69315/半Cs137*(NOW()-R49)/365.25)</f>
        <v>412.3541857325697</v>
      </c>
    </row>
    <row r="50" spans="1:42" ht="9.9499999999999993" customHeight="1" x14ac:dyDescent="0.15">
      <c r="A50" s="9"/>
      <c r="R50" s="116">
        <v>41440</v>
      </c>
      <c r="S50" s="194">
        <f t="shared" si="15"/>
        <v>109.06530512435889</v>
      </c>
      <c r="T50" s="194">
        <f t="shared" si="16"/>
        <v>382.64440501093111</v>
      </c>
      <c r="U50" s="184">
        <f t="shared" si="17"/>
        <v>491.70971013528998</v>
      </c>
      <c r="V50" s="183">
        <f t="shared" si="18"/>
        <v>17.839465833126251</v>
      </c>
      <c r="W50" s="183">
        <f t="shared" si="19"/>
        <v>62.587930979939621</v>
      </c>
      <c r="X50" s="344">
        <f t="shared" si="20"/>
        <v>80.427396813065869</v>
      </c>
      <c r="Y50" s="345">
        <f t="shared" si="1"/>
        <v>1963.8834990731805</v>
      </c>
      <c r="Z50" s="339">
        <f t="shared" si="2"/>
        <v>98.194174953659029</v>
      </c>
      <c r="AA50" s="109">
        <f t="shared" si="11"/>
        <v>48.28302930343763</v>
      </c>
      <c r="AB50" s="109">
        <f t="shared" si="3"/>
        <v>255.30485487951347</v>
      </c>
      <c r="AC50" s="109">
        <f t="shared" si="12"/>
        <v>20.533504871696827</v>
      </c>
      <c r="AD50" s="132">
        <f t="shared" si="13"/>
        <v>688.1653417513445</v>
      </c>
      <c r="AE50" s="123">
        <f t="shared" si="4"/>
        <v>9.9982186849511643E-32</v>
      </c>
      <c r="AF50" s="98">
        <f t="shared" si="5"/>
        <v>0.4675727132419929</v>
      </c>
      <c r="AG50" s="98">
        <f t="shared" si="6"/>
        <v>0.94920596284610759</v>
      </c>
      <c r="AH50" s="98">
        <f t="shared" si="14"/>
        <v>1.4167786760881005</v>
      </c>
      <c r="AI50" s="97">
        <f t="shared" si="7"/>
        <v>354.1946690220251</v>
      </c>
      <c r="AJ50" s="97">
        <f t="shared" si="8"/>
        <v>233.78635662099646</v>
      </c>
      <c r="AK50" s="97">
        <f t="shared" si="9"/>
        <v>474.60298142305379</v>
      </c>
      <c r="AM50" s="54">
        <v>237.09848940078018</v>
      </c>
      <c r="AN50" s="54">
        <v>538.64020449436373</v>
      </c>
      <c r="AP50" s="97">
        <f ca="1">AD50*AJ50/(AJ50+AK50)*2.71828^(-0.69315/半Cs134*(NOW()-R50)/365.25)+AD50*AK50/(AJ50+AK50)*2.71828^(-0.69315/半Cs137*(NOW()-R50)/365.25)</f>
        <v>422.28668444358237</v>
      </c>
    </row>
    <row r="51" spans="1:42" ht="9.9499999999999993" customHeight="1" x14ac:dyDescent="0.15">
      <c r="A51" s="9"/>
      <c r="R51" s="116">
        <v>41470</v>
      </c>
      <c r="S51" s="194">
        <f t="shared" si="15"/>
        <v>97.22029465696815</v>
      </c>
      <c r="T51" s="194">
        <f t="shared" si="16"/>
        <v>351.12357683354344</v>
      </c>
      <c r="U51" s="184">
        <f t="shared" si="17"/>
        <v>448.34387149051156</v>
      </c>
      <c r="V51" s="183">
        <f t="shared" si="18"/>
        <v>15.902015061910779</v>
      </c>
      <c r="W51" s="183">
        <f t="shared" si="19"/>
        <v>57.432169148427889</v>
      </c>
      <c r="X51" s="344">
        <f t="shared" si="20"/>
        <v>73.334184210338663</v>
      </c>
      <c r="Y51" s="345">
        <f t="shared" si="1"/>
        <v>2089.4130565663322</v>
      </c>
      <c r="Z51" s="339">
        <f t="shared" si="2"/>
        <v>104.47065282831662</v>
      </c>
      <c r="AA51" s="109">
        <f t="shared" si="11"/>
        <v>46.838776946188638</v>
      </c>
      <c r="AB51" s="109">
        <f t="shared" si="3"/>
        <v>271.62369735362319</v>
      </c>
      <c r="AC51" s="109">
        <f t="shared" si="12"/>
        <v>19.91930225762388</v>
      </c>
      <c r="AD51" s="132">
        <f t="shared" si="13"/>
        <v>667.58079203812508</v>
      </c>
      <c r="AE51" s="123">
        <f t="shared" si="4"/>
        <v>7.4818988280679646E-33</v>
      </c>
      <c r="AF51" s="98">
        <f t="shared" si="5"/>
        <v>0.45483953605746263</v>
      </c>
      <c r="AG51" s="98">
        <f t="shared" si="6"/>
        <v>0.94741051030333334</v>
      </c>
      <c r="AH51" s="98">
        <f t="shared" si="14"/>
        <v>1.4022500463607961</v>
      </c>
      <c r="AI51" s="97">
        <f t="shared" si="7"/>
        <v>350.56251159019899</v>
      </c>
      <c r="AJ51" s="97">
        <f t="shared" si="8"/>
        <v>227.41976802873131</v>
      </c>
      <c r="AK51" s="97">
        <f t="shared" si="9"/>
        <v>473.70525515166668</v>
      </c>
      <c r="AM51" s="54">
        <v>211.3484666455829</v>
      </c>
      <c r="AN51" s="54">
        <v>494.26902040553642</v>
      </c>
      <c r="AP51" s="97">
        <f ca="1">AD51*AJ51/(AJ51+AK51)*2.71828^(-0.69315/半Cs134*(NOW()-R51)/365.25)+AD51*AK51/(AJ51+AK51)*2.71828^(-0.69315/半Cs137*(NOW()-R51)/365.25)</f>
        <v>413.89956711821367</v>
      </c>
    </row>
    <row r="52" spans="1:42" ht="9.9499999999999993" customHeight="1" thickBot="1" x14ac:dyDescent="0.2">
      <c r="A52" s="9"/>
      <c r="R52" s="116">
        <v>41501</v>
      </c>
      <c r="S52" s="194">
        <f t="shared" si="15"/>
        <v>78.996172817595024</v>
      </c>
      <c r="T52" s="194">
        <f t="shared" si="16"/>
        <v>293.94409859208884</v>
      </c>
      <c r="U52" s="184">
        <f t="shared" si="17"/>
        <v>372.94027140968387</v>
      </c>
      <c r="V52" s="183">
        <f t="shared" si="18"/>
        <v>12.921153288118187</v>
      </c>
      <c r="W52" s="183">
        <f t="shared" si="19"/>
        <v>48.079503355384645</v>
      </c>
      <c r="X52" s="344">
        <f t="shared" si="20"/>
        <v>61.000656643502836</v>
      </c>
      <c r="Y52" s="345">
        <f t="shared" si="1"/>
        <v>2118.7605302721518</v>
      </c>
      <c r="Z52" s="339">
        <f t="shared" si="2"/>
        <v>105.9380265136076</v>
      </c>
      <c r="AA52" s="109">
        <f t="shared" si="11"/>
        <v>39.508556360591101</v>
      </c>
      <c r="AB52" s="109">
        <f t="shared" si="3"/>
        <v>275.43886893537973</v>
      </c>
      <c r="AC52" s="109">
        <f t="shared" si="12"/>
        <v>16.801951870201879</v>
      </c>
      <c r="AD52" s="132">
        <f t="shared" si="13"/>
        <v>563.10508230792971</v>
      </c>
      <c r="AE52" s="123">
        <f t="shared" si="4"/>
        <v>5.1353573626550779E-34</v>
      </c>
      <c r="AF52" s="98">
        <f t="shared" si="5"/>
        <v>0.44204609546901141</v>
      </c>
      <c r="AG52" s="98">
        <f t="shared" si="6"/>
        <v>0.94555877711612712</v>
      </c>
      <c r="AH52" s="98">
        <f t="shared" si="14"/>
        <v>1.3876048725851384</v>
      </c>
      <c r="AI52" s="97">
        <f t="shared" si="7"/>
        <v>346.90121814628463</v>
      </c>
      <c r="AJ52" s="97">
        <f t="shared" si="8"/>
        <v>221.0230477345057</v>
      </c>
      <c r="AK52" s="97">
        <f t="shared" si="9"/>
        <v>472.77938855806354</v>
      </c>
      <c r="AM52" s="54">
        <v>171.73081047303268</v>
      </c>
      <c r="AN52" s="54">
        <v>413.77871282615791</v>
      </c>
      <c r="AP52" s="97">
        <f ca="1">AD52*AJ52/(AJ52+AK52)*2.71828^(-0.69315/半Cs134*(NOW()-R52)/365.25)+AD52*AK52/(AJ52+AK52)*2.71828^(-0.69315/半Cs137*(NOW()-R52)/365.25)</f>
        <v>352.80946987772796</v>
      </c>
    </row>
    <row r="53" spans="1:42" ht="9.9499999999999993" customHeight="1" thickTop="1" x14ac:dyDescent="0.15">
      <c r="A53" s="9"/>
      <c r="C53" s="9" t="s">
        <v>292</v>
      </c>
      <c r="L53" s="378">
        <f ca="1">SUM(AP33:AP119)/10/1000</f>
        <v>1.6384562755825354</v>
      </c>
      <c r="M53" s="379"/>
      <c r="R53" s="116">
        <v>41532</v>
      </c>
      <c r="S53" s="194">
        <f t="shared" si="15"/>
        <v>69.00427953077029</v>
      </c>
      <c r="T53" s="194">
        <f t="shared" si="16"/>
        <v>264.46731413751189</v>
      </c>
      <c r="U53" s="184">
        <f t="shared" si="17"/>
        <v>333.4715936682822</v>
      </c>
      <c r="V53" s="183">
        <f t="shared" si="18"/>
        <v>11.286811013136163</v>
      </c>
      <c r="W53" s="183">
        <f t="shared" si="19"/>
        <v>43.258079268703135</v>
      </c>
      <c r="X53" s="344">
        <f t="shared" si="20"/>
        <v>54.544890281839301</v>
      </c>
      <c r="Y53" s="345">
        <f t="shared" si="1"/>
        <v>1964.609504971768</v>
      </c>
      <c r="Z53" s="339">
        <f t="shared" si="2"/>
        <v>98.230475248588405</v>
      </c>
      <c r="AA53" s="109">
        <f t="shared" si="11"/>
        <v>32.757073127939528</v>
      </c>
      <c r="AB53" s="109">
        <f t="shared" si="3"/>
        <v>255.39923564632986</v>
      </c>
      <c r="AC53" s="109">
        <f t="shared" si="12"/>
        <v>13.930723286394683</v>
      </c>
      <c r="AD53" s="132">
        <f t="shared" si="13"/>
        <v>466.87796414334207</v>
      </c>
      <c r="AE53" s="123">
        <f t="shared" si="4"/>
        <v>3.5247596697301142E-35</v>
      </c>
      <c r="AF53" s="98">
        <f t="shared" si="5"/>
        <v>0.42961250073632934</v>
      </c>
      <c r="AG53" s="98">
        <f t="shared" si="6"/>
        <v>0.94371066317924501</v>
      </c>
      <c r="AH53" s="98">
        <f t="shared" si="14"/>
        <v>1.3733231639155743</v>
      </c>
      <c r="AI53" s="97">
        <f t="shared" si="7"/>
        <v>343.33079097889356</v>
      </c>
      <c r="AJ53" s="97">
        <f t="shared" si="8"/>
        <v>214.80625036816468</v>
      </c>
      <c r="AK53" s="97">
        <f t="shared" si="9"/>
        <v>471.85533158962249</v>
      </c>
      <c r="AM53" s="54">
        <v>150.0093033277615</v>
      </c>
      <c r="AN53" s="54">
        <v>372.28488461770411</v>
      </c>
      <c r="AP53" s="97">
        <f ca="1">AD53*AJ53/(AJ53+AK53)*2.71828^(-0.69315/半Cs134*(NOW()-R53)/365.25)+AD53*AK53/(AJ53+AK53)*2.71828^(-0.69315/半Cs137*(NOW()-R53)/365.25)</f>
        <v>295.56107251467523</v>
      </c>
    </row>
    <row r="54" spans="1:42" ht="9.9499999999999993" customHeight="1" thickBot="1" x14ac:dyDescent="0.2">
      <c r="A54" s="9"/>
      <c r="D54" s="373" t="s">
        <v>289</v>
      </c>
      <c r="E54" s="374"/>
      <c r="F54" s="374"/>
      <c r="G54" s="374"/>
      <c r="H54" s="374"/>
      <c r="I54" s="374"/>
      <c r="J54" s="374"/>
      <c r="L54" s="380"/>
      <c r="M54" s="381"/>
      <c r="N54" s="137" t="s">
        <v>288</v>
      </c>
      <c r="R54" s="116">
        <v>41562</v>
      </c>
      <c r="S54" s="194">
        <f t="shared" si="15"/>
        <v>59.900353194127426</v>
      </c>
      <c r="T54" s="194">
        <f t="shared" si="16"/>
        <v>236.23860410262324</v>
      </c>
      <c r="U54" s="184">
        <f t="shared" si="17"/>
        <v>296.13895729675068</v>
      </c>
      <c r="V54" s="183">
        <f t="shared" si="18"/>
        <v>9.7977106741726789</v>
      </c>
      <c r="W54" s="183">
        <f t="shared" si="19"/>
        <v>38.640798754002105</v>
      </c>
      <c r="X54" s="344">
        <f t="shared" si="20"/>
        <v>48.438509428174783</v>
      </c>
      <c r="Y54" s="345">
        <f t="shared" si="1"/>
        <v>2021.4588137850606</v>
      </c>
      <c r="Z54" s="339">
        <f t="shared" si="2"/>
        <v>101.07294068925303</v>
      </c>
      <c r="AA54" s="109">
        <f t="shared" si="11"/>
        <v>29.931635266631719</v>
      </c>
      <c r="AB54" s="109">
        <f t="shared" si="3"/>
        <v>262.78964579205785</v>
      </c>
      <c r="AC54" s="109">
        <f t="shared" si="12"/>
        <v>12.729138735325307</v>
      </c>
      <c r="AD54" s="132">
        <f t="shared" si="13"/>
        <v>426.6077400195702</v>
      </c>
      <c r="AE54" s="123">
        <f t="shared" si="4"/>
        <v>2.6376593744512754E-36</v>
      </c>
      <c r="AF54" s="98">
        <f t="shared" si="5"/>
        <v>0.4179130753044315</v>
      </c>
      <c r="AG54" s="98">
        <f t="shared" si="6"/>
        <v>0.94192560516636903</v>
      </c>
      <c r="AH54" s="98">
        <f t="shared" si="14"/>
        <v>1.3598386804708005</v>
      </c>
      <c r="AI54" s="97">
        <f t="shared" si="7"/>
        <v>339.95967011770011</v>
      </c>
      <c r="AJ54" s="97">
        <f t="shared" si="8"/>
        <v>208.95653765221576</v>
      </c>
      <c r="AK54" s="97">
        <f t="shared" si="9"/>
        <v>470.9628025831845</v>
      </c>
      <c r="AM54" s="54">
        <v>130.21815911766831</v>
      </c>
      <c r="AN54" s="54">
        <v>332.54794361795223</v>
      </c>
      <c r="AP54" s="97">
        <f ca="1">AD54*AJ54/(AJ54+AK54)*2.71828^(-0.69315/半Cs134*(NOW()-R54)/365.25)+AD54*AK54/(AJ54+AK54)*2.71828^(-0.69315/半Cs137*(NOW()-R54)/365.25)</f>
        <v>272.74571919612191</v>
      </c>
    </row>
    <row r="55" spans="1:42" ht="9.9499999999999993" customHeight="1" thickTop="1" x14ac:dyDescent="0.15">
      <c r="A55" s="9"/>
      <c r="D55" s="374"/>
      <c r="E55" s="374"/>
      <c r="F55" s="374"/>
      <c r="G55" s="374"/>
      <c r="H55" s="374"/>
      <c r="I55" s="374"/>
      <c r="J55" s="374"/>
      <c r="R55" s="116">
        <v>41593</v>
      </c>
      <c r="S55" s="194">
        <f t="shared" si="15"/>
        <v>47.012221892067032</v>
      </c>
      <c r="T55" s="194">
        <f t="shared" si="16"/>
        <v>190.90289651656155</v>
      </c>
      <c r="U55" s="184">
        <f t="shared" si="17"/>
        <v>237.91511840862859</v>
      </c>
      <c r="V55" s="183">
        <f t="shared" si="18"/>
        <v>7.6896399384442624</v>
      </c>
      <c r="W55" s="183">
        <f t="shared" si="19"/>
        <v>31.225380940060479</v>
      </c>
      <c r="X55" s="344">
        <f t="shared" si="20"/>
        <v>38.915020878504741</v>
      </c>
      <c r="Y55" s="345">
        <f t="shared" si="1"/>
        <v>1828.5276395547739</v>
      </c>
      <c r="Z55" s="339">
        <f t="shared" si="2"/>
        <v>91.4263819777387</v>
      </c>
      <c r="AA55" s="109">
        <f t="shared" si="11"/>
        <v>21.75171849390621</v>
      </c>
      <c r="AB55" s="109">
        <f t="shared" si="3"/>
        <v>237.70859314212063</v>
      </c>
      <c r="AC55" s="109">
        <f t="shared" si="12"/>
        <v>9.2504348651256141</v>
      </c>
      <c r="AD55" s="132">
        <f t="shared" si="13"/>
        <v>310.0215335903182</v>
      </c>
      <c r="AE55" s="123">
        <f t="shared" si="4"/>
        <v>1.8104125436647108E-37</v>
      </c>
      <c r="AF55" s="98">
        <f t="shared" si="5"/>
        <v>0.40615827899453316</v>
      </c>
      <c r="AG55" s="98">
        <f t="shared" si="6"/>
        <v>0.94008459233824704</v>
      </c>
      <c r="AH55" s="98">
        <f t="shared" si="14"/>
        <v>1.3462428713327803</v>
      </c>
      <c r="AI55" s="97">
        <f t="shared" si="7"/>
        <v>336.56071783319504</v>
      </c>
      <c r="AJ55" s="97">
        <f t="shared" si="8"/>
        <v>203.07913949726657</v>
      </c>
      <c r="AK55" s="97">
        <f t="shared" si="9"/>
        <v>470.04229616912352</v>
      </c>
      <c r="AM55" s="54">
        <v>102.20048237405877</v>
      </c>
      <c r="AN55" s="54">
        <v>268.72985432861498</v>
      </c>
      <c r="AP55" s="97">
        <f ca="1">AD55*AJ55/(AJ55+AK55)*2.71828^(-0.69315/半Cs134*(NOW()-R55)/365.25)+AD55*AK55/(AJ55+AK55)*2.71828^(-0.69315/半Cs137*(NOW()-R55)/365.25)</f>
        <v>200.20966844380092</v>
      </c>
    </row>
    <row r="56" spans="1:42" ht="9.9499999999999993" customHeight="1" x14ac:dyDescent="0.15">
      <c r="A56" s="9"/>
      <c r="R56" s="116">
        <v>41623</v>
      </c>
      <c r="S56" s="194">
        <f t="shared" si="15"/>
        <v>32.737264117795156</v>
      </c>
      <c r="T56" s="194">
        <f t="shared" si="16"/>
        <v>136.72429417842915</v>
      </c>
      <c r="U56" s="184">
        <f t="shared" si="17"/>
        <v>169.4615582962243</v>
      </c>
      <c r="V56" s="183">
        <f t="shared" si="18"/>
        <v>5.3547303978430945</v>
      </c>
      <c r="W56" s="183">
        <f t="shared" si="19"/>
        <v>22.36355889504258</v>
      </c>
      <c r="X56" s="344">
        <f t="shared" si="20"/>
        <v>27.718289292885675</v>
      </c>
      <c r="Y56" s="345">
        <f t="shared" si="1"/>
        <v>1835.2008315613289</v>
      </c>
      <c r="Z56" s="339">
        <f t="shared" si="2"/>
        <v>91.760041578066449</v>
      </c>
      <c r="AA56" s="109">
        <f t="shared" si="11"/>
        <v>15.549799635145472</v>
      </c>
      <c r="AB56" s="109">
        <f t="shared" si="3"/>
        <v>238.57610810297277</v>
      </c>
      <c r="AC56" s="109">
        <f t="shared" si="12"/>
        <v>6.6129215827689656</v>
      </c>
      <c r="AD56" s="132">
        <f t="shared" si="13"/>
        <v>221.62721217914438</v>
      </c>
      <c r="AE56" s="123">
        <f t="shared" si="4"/>
        <v>1.3547736767502706E-38</v>
      </c>
      <c r="AF56" s="98">
        <f t="shared" si="5"/>
        <v>0.395097570820306</v>
      </c>
      <c r="AG56" s="98">
        <f t="shared" si="6"/>
        <v>0.93830639315092268</v>
      </c>
      <c r="AH56" s="98">
        <f t="shared" si="14"/>
        <v>1.3334039639712287</v>
      </c>
      <c r="AI56" s="97">
        <f t="shared" si="7"/>
        <v>333.35099099280717</v>
      </c>
      <c r="AJ56" s="97">
        <f t="shared" si="8"/>
        <v>197.54878541015299</v>
      </c>
      <c r="AK56" s="97">
        <f t="shared" si="9"/>
        <v>469.15319657546132</v>
      </c>
      <c r="AM56" s="54">
        <v>71.167965473467731</v>
      </c>
      <c r="AN56" s="54">
        <v>192.46381447420555</v>
      </c>
      <c r="AP56" s="97">
        <f ca="1">AD56*AJ56/(AJ56+AK56)*2.71828^(-0.69315/半Cs134*(NOW()-R56)/365.25)+AD56*AK56/(AJ56+AK56)*2.71828^(-0.69315/半Cs137*(NOW()-R56)/365.25)</f>
        <v>144.50335967081182</v>
      </c>
    </row>
    <row r="57" spans="1:42" ht="9.9499999999999993" customHeight="1" x14ac:dyDescent="0.15">
      <c r="A57" s="9"/>
      <c r="R57" s="116">
        <v>41654</v>
      </c>
      <c r="S57" s="194">
        <f t="shared" si="15"/>
        <v>27.86359083699254</v>
      </c>
      <c r="T57" s="194">
        <f t="shared" si="16"/>
        <v>119.77302783595469</v>
      </c>
      <c r="U57" s="184">
        <f t="shared" si="17"/>
        <v>147.63661867294724</v>
      </c>
      <c r="V57" s="183">
        <f t="shared" si="18"/>
        <v>4.5575591262314363</v>
      </c>
      <c r="W57" s="183">
        <f t="shared" si="19"/>
        <v>19.590894055385363</v>
      </c>
      <c r="X57" s="344">
        <f t="shared" si="20"/>
        <v>24.148453181616798</v>
      </c>
      <c r="Y57" s="345">
        <f t="shared" si="1"/>
        <v>1681.5056346622753</v>
      </c>
      <c r="Z57" s="339">
        <f t="shared" si="2"/>
        <v>84.075281733113769</v>
      </c>
      <c r="AA57" s="109">
        <f t="shared" si="11"/>
        <v>12.412590309052325</v>
      </c>
      <c r="AB57" s="109">
        <f t="shared" si="3"/>
        <v>218.5957325060958</v>
      </c>
      <c r="AC57" s="109">
        <f t="shared" si="12"/>
        <v>5.2787488121246833</v>
      </c>
      <c r="AD57" s="132">
        <f t="shared" si="13"/>
        <v>176.91339121177009</v>
      </c>
      <c r="AE57" s="123">
        <f t="shared" si="4"/>
        <v>9.2987717897641595E-40</v>
      </c>
      <c r="AF57" s="98">
        <f t="shared" si="5"/>
        <v>0.38398451468023381</v>
      </c>
      <c r="AG57" s="98">
        <f t="shared" si="6"/>
        <v>0.93647245414658431</v>
      </c>
      <c r="AH57" s="98">
        <f t="shared" si="14"/>
        <v>1.3204569688268182</v>
      </c>
      <c r="AI57" s="97">
        <f t="shared" si="7"/>
        <v>330.11424220670449</v>
      </c>
      <c r="AJ57" s="97">
        <f t="shared" si="8"/>
        <v>191.99225734011691</v>
      </c>
      <c r="AK57" s="97">
        <f t="shared" si="9"/>
        <v>468.23622707329213</v>
      </c>
      <c r="AM57" s="54">
        <v>60.573023558679431</v>
      </c>
      <c r="AN57" s="54">
        <v>168.60188561916837</v>
      </c>
      <c r="AP57" s="97">
        <f ca="1">AD57*AJ57/(AJ57+AK57)*2.71828^(-0.69315/半Cs134*(NOW()-R57)/365.25)+AD57*AK57/(AJ57+AK57)*2.71828^(-0.69315/半Cs137*(NOW()-R57)/365.25)</f>
        <v>116.48045469687732</v>
      </c>
    </row>
    <row r="58" spans="1:42" ht="9.9499999999999993" customHeight="1" x14ac:dyDescent="0.15">
      <c r="A58" s="9"/>
      <c r="R58" s="116">
        <v>41685</v>
      </c>
      <c r="S58" s="194">
        <f t="shared" si="15"/>
        <v>23.998064750904817</v>
      </c>
      <c r="T58" s="194">
        <f t="shared" si="16"/>
        <v>106.13483687640537</v>
      </c>
      <c r="U58" s="184">
        <f t="shared" si="17"/>
        <v>130.13290162731019</v>
      </c>
      <c r="V58" s="183">
        <f t="shared" si="18"/>
        <v>3.9252872918365154</v>
      </c>
      <c r="W58" s="183">
        <f t="shared" si="19"/>
        <v>17.360138441846143</v>
      </c>
      <c r="X58" s="344">
        <f t="shared" si="20"/>
        <v>21.285425733682658</v>
      </c>
      <c r="Y58" s="345">
        <f t="shared" si="1"/>
        <v>1438.8299747692133</v>
      </c>
      <c r="Z58" s="339">
        <f t="shared" si="2"/>
        <v>71.941498738460666</v>
      </c>
      <c r="AA58" s="109">
        <f t="shared" si="11"/>
        <v>9.361955978253361</v>
      </c>
      <c r="AB58" s="109">
        <f t="shared" si="3"/>
        <v>187.04789671999774</v>
      </c>
      <c r="AC58" s="109">
        <f t="shared" si="12"/>
        <v>3.981394114275056</v>
      </c>
      <c r="AD58" s="132">
        <f t="shared" si="13"/>
        <v>133.43350092528419</v>
      </c>
      <c r="AE58" s="123">
        <f t="shared" si="4"/>
        <v>6.3824060270733533E-41</v>
      </c>
      <c r="AF58" s="98">
        <f t="shared" si="5"/>
        <v>0.37318403959834423</v>
      </c>
      <c r="AG58" s="98">
        <f t="shared" si="6"/>
        <v>0.93464209961347622</v>
      </c>
      <c r="AH58" s="98">
        <f t="shared" si="14"/>
        <v>1.3078261392118204</v>
      </c>
      <c r="AI58" s="97">
        <f t="shared" si="7"/>
        <v>326.9565348029551</v>
      </c>
      <c r="AJ58" s="97">
        <f t="shared" si="8"/>
        <v>186.59201979917211</v>
      </c>
      <c r="AK58" s="97">
        <f t="shared" si="9"/>
        <v>467.32104980673813</v>
      </c>
      <c r="AM58" s="54">
        <v>52.16970598022786</v>
      </c>
      <c r="AN58" s="54">
        <v>149.40370090462912</v>
      </c>
      <c r="AP58" s="97">
        <f ca="1">AD58*AJ58/(AJ58+AK58)*2.71828^(-0.69315/半Cs134*(NOW()-R58)/365.25)+AD58*AK58/(AJ58+AK58)*2.71828^(-0.69315/半Cs137*(NOW()-R58)/365.25)</f>
        <v>88.701603404785246</v>
      </c>
    </row>
    <row r="59" spans="1:42" ht="9.9499999999999993" customHeight="1" x14ac:dyDescent="0.15">
      <c r="A59" s="9"/>
      <c r="R59" s="116">
        <v>41713</v>
      </c>
      <c r="S59" s="194">
        <f t="shared" si="15"/>
        <v>19.976028879709268</v>
      </c>
      <c r="T59" s="194">
        <f t="shared" si="16"/>
        <v>90.61385353695087</v>
      </c>
      <c r="U59" s="184">
        <f t="shared" si="17"/>
        <v>110.58988241666015</v>
      </c>
      <c r="V59" s="183">
        <f t="shared" si="18"/>
        <v>3.2674156485858137</v>
      </c>
      <c r="W59" s="183">
        <f t="shared" si="19"/>
        <v>14.821420453893802</v>
      </c>
      <c r="X59" s="344">
        <f t="shared" si="20"/>
        <v>18.088836102479615</v>
      </c>
      <c r="Y59" s="345">
        <f t="shared" si="1"/>
        <v>1744.3411282400675</v>
      </c>
      <c r="Z59" s="339">
        <f t="shared" si="2"/>
        <v>87.217056412003387</v>
      </c>
      <c r="AA59" s="109">
        <f t="shared" si="11"/>
        <v>9.6453240133306704</v>
      </c>
      <c r="AB59" s="109">
        <f t="shared" si="3"/>
        <v>226.76434667120878</v>
      </c>
      <c r="AC59" s="109">
        <f t="shared" si="12"/>
        <v>4.1019031008213638</v>
      </c>
      <c r="AD59" s="132">
        <f t="shared" si="13"/>
        <v>137.47227114152034</v>
      </c>
      <c r="AE59" s="123">
        <f t="shared" si="4"/>
        <v>5.6772020222751268E-42</v>
      </c>
      <c r="AF59" s="98">
        <f t="shared" si="5"/>
        <v>0.36369012365256159</v>
      </c>
      <c r="AG59" s="98">
        <f t="shared" si="6"/>
        <v>0.93299195126593826</v>
      </c>
      <c r="AH59" s="98">
        <f t="shared" si="14"/>
        <v>1.2966820749185</v>
      </c>
      <c r="AI59" s="97">
        <f t="shared" si="7"/>
        <v>324.17051872962497</v>
      </c>
      <c r="AJ59" s="97">
        <f t="shared" si="8"/>
        <v>181.84506182628078</v>
      </c>
      <c r="AK59" s="97">
        <f t="shared" si="9"/>
        <v>466.49597563296913</v>
      </c>
      <c r="AM59" s="54">
        <v>43.42614973849841</v>
      </c>
      <c r="AN59" s="54">
        <v>127.5551503170972</v>
      </c>
      <c r="AP59" s="97">
        <f ca="1">AD59*AJ59/(AJ59+AK59)*2.71828^(-0.69315/半Cs134*(NOW()-R59)/365.25)+AD59*AK59/(AJ59+AK59)*2.71828^(-0.69315/半Cs137*(NOW()-R59)/365.25)</f>
        <v>92.171828498267061</v>
      </c>
    </row>
    <row r="60" spans="1:42" ht="9.9499999999999993" customHeight="1" x14ac:dyDescent="0.15">
      <c r="A60" s="9"/>
      <c r="R60" s="116">
        <v>41744</v>
      </c>
      <c r="S60" s="194">
        <f t="shared" si="15"/>
        <v>34.260812848525752</v>
      </c>
      <c r="T60" s="194">
        <f t="shared" si="16"/>
        <v>159.75733061687245</v>
      </c>
      <c r="U60" s="184">
        <f t="shared" si="17"/>
        <v>194.0181434653982</v>
      </c>
      <c r="V60" s="183">
        <f t="shared" si="18"/>
        <v>5.6039324286445558</v>
      </c>
      <c r="W60" s="183">
        <f t="shared" si="19"/>
        <v>26.130999568391879</v>
      </c>
      <c r="X60" s="344">
        <f t="shared" si="20"/>
        <v>31.734931997036433</v>
      </c>
      <c r="Y60" s="345">
        <f t="shared" si="1"/>
        <v>1723.1949581362869</v>
      </c>
      <c r="Z60" s="339">
        <f t="shared" si="2"/>
        <v>86.159747906814346</v>
      </c>
      <c r="AA60" s="109">
        <f t="shared" si="11"/>
        <v>16.716554330326847</v>
      </c>
      <c r="AB60" s="109">
        <f t="shared" si="3"/>
        <v>224.0153445577173</v>
      </c>
      <c r="AC60" s="109">
        <f t="shared" si="12"/>
        <v>7.1091117258318448</v>
      </c>
      <c r="AD60" s="132">
        <f t="shared" si="13"/>
        <v>238.25666056158693</v>
      </c>
      <c r="AE60" s="123">
        <f t="shared" si="4"/>
        <v>3.8966660568837107E-43</v>
      </c>
      <c r="AF60" s="98">
        <f t="shared" si="5"/>
        <v>0.35346047644579887</v>
      </c>
      <c r="AG60" s="98">
        <f t="shared" si="6"/>
        <v>0.93116839944677765</v>
      </c>
      <c r="AH60" s="98">
        <f t="shared" si="14"/>
        <v>1.2846288758925766</v>
      </c>
      <c r="AI60" s="97">
        <f t="shared" si="7"/>
        <v>321.15721897314415</v>
      </c>
      <c r="AJ60" s="97">
        <f t="shared" si="8"/>
        <v>176.73023822289943</v>
      </c>
      <c r="AK60" s="97">
        <f t="shared" si="9"/>
        <v>465.58419972338885</v>
      </c>
      <c r="AM60" s="54">
        <v>74.480027931577709</v>
      </c>
      <c r="AN60" s="54">
        <v>224.88691878426286</v>
      </c>
      <c r="AP60" s="97">
        <f ca="1">AD60*AJ60/(AJ60+AK60)*2.71828^(-0.69315/半Cs134*(NOW()-R60)/365.25)+AD60*AK60/(AJ60+AK60)*2.71828^(-0.69315/半Cs137*(NOW()-R60)/365.25)</f>
        <v>161.24415224692206</v>
      </c>
    </row>
    <row r="61" spans="1:42" ht="9.9499999999999993" customHeight="1" x14ac:dyDescent="0.15">
      <c r="A61" s="9"/>
      <c r="R61" s="116">
        <v>41774</v>
      </c>
      <c r="S61" s="194">
        <f t="shared" si="15"/>
        <v>48.878823036109871</v>
      </c>
      <c r="T61" s="194">
        <f t="shared" si="16"/>
        <v>233.99417757861966</v>
      </c>
      <c r="U61" s="184">
        <f t="shared" si="17"/>
        <v>282.87300061472951</v>
      </c>
      <c r="V61" s="183">
        <f t="shared" si="18"/>
        <v>7.9949539637913523</v>
      </c>
      <c r="W61" s="183">
        <f t="shared" si="19"/>
        <v>38.273685030309039</v>
      </c>
      <c r="X61" s="344">
        <f t="shared" si="20"/>
        <v>46.268638994100392</v>
      </c>
      <c r="Y61" s="345">
        <f t="shared" si="1"/>
        <v>1936.2306539596614</v>
      </c>
      <c r="Z61" s="339">
        <f t="shared" si="2"/>
        <v>96.811532697983068</v>
      </c>
      <c r="AA61" s="109">
        <f t="shared" si="11"/>
        <v>27.385368748389471</v>
      </c>
      <c r="AB61" s="109">
        <f t="shared" si="3"/>
        <v>251.709985014756</v>
      </c>
      <c r="AC61" s="109">
        <f t="shared" si="12"/>
        <v>11.646278427858165</v>
      </c>
      <c r="AD61" s="132">
        <f t="shared" si="13"/>
        <v>390.3164717624764</v>
      </c>
      <c r="AE61" s="123">
        <f t="shared" si="4"/>
        <v>2.915965545767943E-44</v>
      </c>
      <c r="AF61" s="98">
        <f t="shared" si="5"/>
        <v>0.34383486154815712</v>
      </c>
      <c r="AG61" s="98">
        <f t="shared" si="6"/>
        <v>0.92940706551507268</v>
      </c>
      <c r="AH61" s="98">
        <f t="shared" si="14"/>
        <v>1.2732419270632298</v>
      </c>
      <c r="AI61" s="97">
        <f t="shared" si="7"/>
        <v>318.31048176580742</v>
      </c>
      <c r="AJ61" s="97">
        <f t="shared" si="8"/>
        <v>171.91743077407855</v>
      </c>
      <c r="AK61" s="97">
        <f t="shared" si="9"/>
        <v>464.70353275753632</v>
      </c>
      <c r="AM61" s="54">
        <v>106.25831094806493</v>
      </c>
      <c r="AN61" s="54">
        <v>329.388513227673</v>
      </c>
      <c r="AP61" s="97">
        <f ca="1">AD61*AJ61/(AJ61+AK61)*2.71828^(-0.69315/半Cs134*(NOW()-R61)/365.25)+AD61*AK61/(AJ61+AK61)*2.71828^(-0.69315/半Cs137*(NOW()-R61)/365.25)</f>
        <v>266.51554854861735</v>
      </c>
    </row>
    <row r="62" spans="1:42" ht="9.9499999999999993" customHeight="1" x14ac:dyDescent="0.15">
      <c r="A62" s="9"/>
      <c r="R62" s="116">
        <v>41805</v>
      </c>
      <c r="S62" s="194">
        <f t="shared" si="15"/>
        <v>49.922432182285412</v>
      </c>
      <c r="T62" s="194">
        <f t="shared" si="16"/>
        <v>245.44461423260751</v>
      </c>
      <c r="U62" s="184">
        <f t="shared" si="17"/>
        <v>295.36704641489291</v>
      </c>
      <c r="V62" s="183">
        <f t="shared" si="18"/>
        <v>8.1656537998676235</v>
      </c>
      <c r="W62" s="183">
        <f t="shared" si="19"/>
        <v>40.146596615072674</v>
      </c>
      <c r="X62" s="344">
        <f t="shared" si="20"/>
        <v>48.312250414940294</v>
      </c>
      <c r="Y62" s="345">
        <f t="shared" si="1"/>
        <v>1900.1204798408128</v>
      </c>
      <c r="Z62" s="339">
        <f t="shared" si="2"/>
        <v>95.006023992040639</v>
      </c>
      <c r="AA62" s="109">
        <f t="shared" si="11"/>
        <v>28.061648698151497</v>
      </c>
      <c r="AB62" s="109">
        <f t="shared" si="3"/>
        <v>247.01566237930567</v>
      </c>
      <c r="AC62" s="109">
        <f t="shared" si="12"/>
        <v>11.933882537281363</v>
      </c>
      <c r="AD62" s="132">
        <f t="shared" si="13"/>
        <v>399.95531235432861</v>
      </c>
      <c r="AE62" s="123">
        <f t="shared" si="4"/>
        <v>2.0014337909156898E-45</v>
      </c>
      <c r="AF62" s="98">
        <f t="shared" si="5"/>
        <v>0.33416369067417462</v>
      </c>
      <c r="AG62" s="98">
        <f t="shared" si="6"/>
        <v>0.92759052042831058</v>
      </c>
      <c r="AH62" s="98">
        <f t="shared" si="14"/>
        <v>1.2617542111024851</v>
      </c>
      <c r="AI62" s="97">
        <f t="shared" si="7"/>
        <v>315.4385527756213</v>
      </c>
      <c r="AJ62" s="97">
        <f t="shared" si="8"/>
        <v>167.08184533708732</v>
      </c>
      <c r="AK62" s="97">
        <f t="shared" si="9"/>
        <v>463.79526021415529</v>
      </c>
      <c r="AM62" s="54">
        <v>108.52702648322915</v>
      </c>
      <c r="AN62" s="54">
        <v>345.50704380092827</v>
      </c>
      <c r="AP62" s="97">
        <f ca="1">AD62*AJ62/(AJ62+AK62)*2.71828^(-0.69315/半Cs134*(NOW()-R62)/365.25)+AD62*AK62/(AJ62+AK62)*2.71828^(-0.69315/半Cs137*(NOW()-R62)/365.25)</f>
        <v>275.58356219628769</v>
      </c>
    </row>
    <row r="63" spans="1:42" ht="9.9499999999999993" customHeight="1" x14ac:dyDescent="0.15">
      <c r="A63" s="9"/>
      <c r="R63" s="116">
        <v>41835</v>
      </c>
      <c r="S63" s="194">
        <f t="shared" si="15"/>
        <v>45.062696770775368</v>
      </c>
      <c r="T63" s="194">
        <f t="shared" si="16"/>
        <v>227.24418232587911</v>
      </c>
      <c r="U63" s="184">
        <f t="shared" si="17"/>
        <v>272.30687909665448</v>
      </c>
      <c r="V63" s="183">
        <f t="shared" si="18"/>
        <v>7.3707623013033894</v>
      </c>
      <c r="W63" s="183">
        <f t="shared" si="19"/>
        <v>37.169609728381189</v>
      </c>
      <c r="X63" s="344">
        <f t="shared" si="20"/>
        <v>44.540372029684576</v>
      </c>
      <c r="Y63" s="345">
        <f t="shared" si="1"/>
        <v>2021.5743660467199</v>
      </c>
      <c r="Z63" s="339">
        <f t="shared" si="2"/>
        <v>101.078718302336</v>
      </c>
      <c r="AA63" s="109">
        <f t="shared" si="11"/>
        <v>27.524430323999006</v>
      </c>
      <c r="AB63" s="109">
        <f t="shared" si="3"/>
        <v>262.80466758607361</v>
      </c>
      <c r="AC63" s="109">
        <f t="shared" si="12"/>
        <v>11.705417665421306</v>
      </c>
      <c r="AD63" s="132">
        <f t="shared" si="13"/>
        <v>392.29847989420313</v>
      </c>
      <c r="AE63" s="123">
        <f t="shared" si="4"/>
        <v>1.4977193044643912E-46</v>
      </c>
      <c r="AF63" s="98">
        <f t="shared" si="5"/>
        <v>0.32506357563006016</v>
      </c>
      <c r="AG63" s="98">
        <f t="shared" si="6"/>
        <v>0.92583595416582898</v>
      </c>
      <c r="AH63" s="98">
        <f t="shared" si="14"/>
        <v>1.2508995297958891</v>
      </c>
      <c r="AI63" s="97">
        <f t="shared" si="7"/>
        <v>312.72488244897227</v>
      </c>
      <c r="AJ63" s="97">
        <f t="shared" si="8"/>
        <v>162.53178781503007</v>
      </c>
      <c r="AK63" s="97">
        <f t="shared" si="9"/>
        <v>462.91797708291449</v>
      </c>
      <c r="AM63" s="54">
        <v>97.962384284294274</v>
      </c>
      <c r="AN63" s="54">
        <v>319.88669175672192</v>
      </c>
      <c r="AP63" s="97">
        <f ca="1">AD63*AJ63/(AJ63+AK63)*2.71828^(-0.69315/半Cs134*(NOW()-R63)/365.25)+AD63*AK63/(AJ63+AK63)*2.71828^(-0.69315/半Cs137*(NOW()-R63)/365.25)</f>
        <v>272.65332533730441</v>
      </c>
    </row>
    <row r="64" spans="1:42" ht="9.9499999999999993" customHeight="1" x14ac:dyDescent="0.15">
      <c r="A64" s="9"/>
      <c r="R64" s="116">
        <v>41866</v>
      </c>
      <c r="S64" s="194">
        <f t="shared" si="15"/>
        <v>37.122061521057752</v>
      </c>
      <c r="T64" s="194">
        <f t="shared" si="16"/>
        <v>192.08522332516043</v>
      </c>
      <c r="U64" s="184">
        <f t="shared" si="17"/>
        <v>229.20728484621819</v>
      </c>
      <c r="V64" s="183">
        <f t="shared" si="18"/>
        <v>6.0719377936459358</v>
      </c>
      <c r="W64" s="183">
        <f t="shared" si="19"/>
        <v>31.418770383949525</v>
      </c>
      <c r="X64" s="344">
        <f t="shared" si="20"/>
        <v>37.490708177595458</v>
      </c>
      <c r="Y64" s="345">
        <f t="shared" si="1"/>
        <v>2049.9689912097369</v>
      </c>
      <c r="Z64" s="339">
        <f t="shared" si="2"/>
        <v>102.49844956048685</v>
      </c>
      <c r="AA64" s="109">
        <f t="shared" si="11"/>
        <v>23.493391324706238</v>
      </c>
      <c r="AB64" s="109">
        <f t="shared" si="3"/>
        <v>266.49596885726584</v>
      </c>
      <c r="AC64" s="109">
        <f t="shared" si="12"/>
        <v>9.9911225989333214</v>
      </c>
      <c r="AD64" s="132">
        <f t="shared" si="13"/>
        <v>334.8451392363956</v>
      </c>
      <c r="AE64" s="123">
        <f t="shared" si="4"/>
        <v>1.0279908929693119E-47</v>
      </c>
      <c r="AF64" s="98">
        <f t="shared" si="5"/>
        <v>0.31592039168800445</v>
      </c>
      <c r="AG64" s="98">
        <f t="shared" si="6"/>
        <v>0.92402638888911615</v>
      </c>
      <c r="AH64" s="98">
        <f t="shared" si="14"/>
        <v>1.2399467805771205</v>
      </c>
      <c r="AI64" s="97">
        <f t="shared" si="7"/>
        <v>309.98669514428013</v>
      </c>
      <c r="AJ64" s="97">
        <f t="shared" si="8"/>
        <v>157.96019584400221</v>
      </c>
      <c r="AK64" s="97">
        <f t="shared" si="9"/>
        <v>462.01319444455805</v>
      </c>
      <c r="AM64" s="54">
        <v>80.700133741429894</v>
      </c>
      <c r="AN64" s="54">
        <v>270.39419005552747</v>
      </c>
      <c r="AP64" s="97">
        <f ca="1">AD64*AJ64/(AJ64+AK64)*2.71828^(-0.69315/半Cs134*(NOW()-R64)/365.25)+AD64*AK64/(AJ64+AK64)*2.71828^(-0.69315/半Cs137*(NOW()-R64)/365.25)</f>
        <v>234.77808523651103</v>
      </c>
    </row>
    <row r="65" spans="1:42" ht="9.9499999999999993" customHeight="1" x14ac:dyDescent="0.15">
      <c r="A65" s="9"/>
      <c r="R65" s="116">
        <v>41897</v>
      </c>
      <c r="S65" s="194">
        <f t="shared" si="15"/>
        <v>32.887901590333492</v>
      </c>
      <c r="T65" s="194">
        <f t="shared" si="16"/>
        <v>174.47746599495866</v>
      </c>
      <c r="U65" s="184">
        <f t="shared" si="17"/>
        <v>207.36536758529215</v>
      </c>
      <c r="V65" s="183">
        <f t="shared" ref="V65:V96" si="21">S65/濃度比</f>
        <v>5.3793696911680611</v>
      </c>
      <c r="W65" s="183">
        <f t="shared" ref="W65:W96" si="22">T65/濃度比</f>
        <v>28.538725396847955</v>
      </c>
      <c r="X65" s="344">
        <f t="shared" si="20"/>
        <v>33.918095088016017</v>
      </c>
      <c r="Y65" s="345">
        <f t="shared" ref="Y65:Y96" si="23">IF(MONTH(R65)&lt;=3,(INDEX(月値割合表,MATCH(MONTH(R65),月,0),2)*INDEX(年度別焼却量,MATCH(YEAR(R65)-1,年度,0),2)),(INDEX(月値割合表,MATCH(MONTH(R65),月,0),2)*INDEX(年度別焼却量,MATCH(YEAR(R65),年度,0),2)))</f>
        <v>1900.8229139093526</v>
      </c>
      <c r="Z65" s="339">
        <f t="shared" ref="Z65:Z96" si="24">Y65*飛灰発生率</f>
        <v>95.041145695467634</v>
      </c>
      <c r="AA65" s="109">
        <f t="shared" si="11"/>
        <v>19.708242112867953</v>
      </c>
      <c r="AB65" s="109">
        <f t="shared" ref="AB65:AB96" si="25">Y65*主灰発生率</f>
        <v>247.10697880821584</v>
      </c>
      <c r="AC65" s="109">
        <f t="shared" si="12"/>
        <v>8.3813980041294229</v>
      </c>
      <c r="AD65" s="132">
        <f t="shared" si="13"/>
        <v>280.89640116997379</v>
      </c>
      <c r="AE65" s="123">
        <f t="shared" ref="AE65:AE96" si="26">1*2.71828^(-0.69315/半I131*(R65-事故日)/365.25)</f>
        <v>7.0558299734662538E-49</v>
      </c>
      <c r="AF65" s="98">
        <f t="shared" ref="AF65:AF96" si="27">1*2.71828^(-0.69315/半Cs134*(R65-事故日)/365.25)</f>
        <v>0.30703438147707562</v>
      </c>
      <c r="AG65" s="98">
        <f t="shared" ref="AG65:AG96" si="28">1*2.71828^(-0.69315/半Cs137*(R65-事故日)/365.25)</f>
        <v>0.92222036044468558</v>
      </c>
      <c r="AH65" s="98">
        <f t="shared" si="14"/>
        <v>1.2292547419217612</v>
      </c>
      <c r="AI65" s="97">
        <f t="shared" ref="AI65:AI96" si="29">250*2.71828^(-0.69315/半Cs134*(R65-事故日)/365.25)+250*2.71828^(-0.69315/半Cs137*(R65-事故日)/365.25)</f>
        <v>307.31368548044031</v>
      </c>
      <c r="AJ65" s="97">
        <f t="shared" ref="AJ65:AJ96" si="30">500*2.71828^(-0.69315/半Cs134*(R65-事故日)/365.25)</f>
        <v>153.51719073853781</v>
      </c>
      <c r="AK65" s="97">
        <f t="shared" ref="AK65:AK96" si="31">500*2.71828^(-0.69315/半Cs137*(R65-事故日)/365.25)</f>
        <v>461.11018022234282</v>
      </c>
      <c r="AM65" s="54">
        <v>71.495438239855417</v>
      </c>
      <c r="AN65" s="54">
        <v>245.60813311904602</v>
      </c>
      <c r="AP65" s="97">
        <f ca="1">AD65*AJ65/(AJ65+AK65)*2.71828^(-0.69315/半Cs134*(NOW()-R65)/365.25)+AD65*AK65/(AJ65+AK65)*2.71828^(-0.69315/半Cs137*(NOW()-R65)/365.25)</f>
        <v>198.66478224712057</v>
      </c>
    </row>
    <row r="66" spans="1:42" ht="9.9499999999999993" customHeight="1" x14ac:dyDescent="0.15">
      <c r="A66" s="9"/>
      <c r="R66" s="116">
        <v>41927</v>
      </c>
      <c r="S66" s="194">
        <f t="shared" si="15"/>
        <v>28.962092095170934</v>
      </c>
      <c r="T66" s="194">
        <f t="shared" si="16"/>
        <v>157.32097382094679</v>
      </c>
      <c r="U66" s="184">
        <f t="shared" si="17"/>
        <v>186.28306591611772</v>
      </c>
      <c r="V66" s="183">
        <f t="shared" si="21"/>
        <v>4.7372374908642136</v>
      </c>
      <c r="W66" s="183">
        <f t="shared" si="22"/>
        <v>25.732492419224112</v>
      </c>
      <c r="X66" s="344">
        <f t="shared" si="20"/>
        <v>30.469729910088326</v>
      </c>
      <c r="Y66" s="345">
        <f t="shared" si="23"/>
        <v>1955.8264495019221</v>
      </c>
      <c r="Z66" s="339">
        <f t="shared" si="24"/>
        <v>97.791322475096109</v>
      </c>
      <c r="AA66" s="109">
        <f t="shared" si="11"/>
        <v>18.216867370652654</v>
      </c>
      <c r="AB66" s="109">
        <f t="shared" si="25"/>
        <v>254.25743843524987</v>
      </c>
      <c r="AC66" s="109">
        <f t="shared" si="12"/>
        <v>7.7471554767529742</v>
      </c>
      <c r="AD66" s="132">
        <f t="shared" si="13"/>
        <v>259.6402284740563</v>
      </c>
      <c r="AE66" s="123">
        <f t="shared" si="26"/>
        <v>5.2800411426269812E-50</v>
      </c>
      <c r="AF66" s="98">
        <f t="shared" si="27"/>
        <v>0.29867306553546963</v>
      </c>
      <c r="AG66" s="98">
        <f t="shared" si="28"/>
        <v>0.92047595200650678</v>
      </c>
      <c r="AH66" s="98">
        <f t="shared" si="14"/>
        <v>1.2191490175419764</v>
      </c>
      <c r="AI66" s="97">
        <f t="shared" si="29"/>
        <v>304.78725438549407</v>
      </c>
      <c r="AJ66" s="97">
        <f t="shared" si="30"/>
        <v>149.33653276773481</v>
      </c>
      <c r="AK66" s="97">
        <f t="shared" si="31"/>
        <v>460.23797600325338</v>
      </c>
      <c r="AM66" s="54">
        <v>62.961069772110726</v>
      </c>
      <c r="AN66" s="54">
        <v>221.45731232564722</v>
      </c>
      <c r="AP66" s="97">
        <f ca="1">AD66*AJ66/(AJ66+AK66)*2.71828^(-0.69315/半Cs134*(NOW()-R66)/365.25)+AD66*AK66/(AJ66+AK66)*2.71828^(-0.69315/半Cs137*(NOW()-R66)/365.25)</f>
        <v>185.15344301934351</v>
      </c>
    </row>
    <row r="67" spans="1:42" ht="9.9499999999999993" customHeight="1" x14ac:dyDescent="0.15">
      <c r="A67" s="9"/>
      <c r="R67" s="116">
        <v>41958</v>
      </c>
      <c r="S67" s="194">
        <f t="shared" si="15"/>
        <v>23.083900748096323</v>
      </c>
      <c r="T67" s="194">
        <f t="shared" si="16"/>
        <v>128.39533615181335</v>
      </c>
      <c r="U67" s="184">
        <f t="shared" si="17"/>
        <v>151.47923689990967</v>
      </c>
      <c r="V67" s="183">
        <f t="shared" si="21"/>
        <v>3.7757603870579421</v>
      </c>
      <c r="W67" s="183">
        <f t="shared" si="22"/>
        <v>21.001217663136284</v>
      </c>
      <c r="X67" s="344">
        <f t="shared" si="20"/>
        <v>24.776978050194227</v>
      </c>
      <c r="Y67" s="345">
        <f t="shared" si="23"/>
        <v>1769.1593302315016</v>
      </c>
      <c r="Z67" s="339">
        <f t="shared" si="24"/>
        <v>88.45796651157508</v>
      </c>
      <c r="AA67" s="109">
        <f t="shared" si="11"/>
        <v>13.399545264891158</v>
      </c>
      <c r="AB67" s="109">
        <f t="shared" si="25"/>
        <v>229.99071293009521</v>
      </c>
      <c r="AC67" s="109">
        <f t="shared" si="12"/>
        <v>5.6984748460174908</v>
      </c>
      <c r="AD67" s="132">
        <f t="shared" si="13"/>
        <v>190.98020110908649</v>
      </c>
      <c r="AE67" s="123">
        <f t="shared" si="26"/>
        <v>3.6240664007900018E-51</v>
      </c>
      <c r="AF67" s="98">
        <f t="shared" si="27"/>
        <v>0.29027217727404131</v>
      </c>
      <c r="AG67" s="98">
        <f t="shared" si="28"/>
        <v>0.91867686296345807</v>
      </c>
      <c r="AH67" s="98">
        <f t="shared" si="14"/>
        <v>1.2089490402374994</v>
      </c>
      <c r="AI67" s="97">
        <f t="shared" si="29"/>
        <v>302.23726005937488</v>
      </c>
      <c r="AJ67" s="97">
        <f t="shared" si="30"/>
        <v>145.13608863702066</v>
      </c>
      <c r="AK67" s="97">
        <f t="shared" si="31"/>
        <v>459.33843148172906</v>
      </c>
      <c r="AM67" s="54">
        <v>50.182392930644177</v>
      </c>
      <c r="AN67" s="54">
        <v>180.73932145684876</v>
      </c>
      <c r="AP67" s="97">
        <f ca="1">AD67*AJ67/(AJ67+AK67)*2.71828^(-0.69315/半Cs134*(NOW()-R67)/365.25)+AD67*AK67/(AJ67+AK67)*2.71828^(-0.69315/半Cs137*(NOW()-R67)/365.25)</f>
        <v>137.33997192954178</v>
      </c>
    </row>
    <row r="68" spans="1:42" ht="9.9499999999999993" customHeight="1" x14ac:dyDescent="0.15">
      <c r="A68" s="9"/>
      <c r="R68" s="116">
        <v>41988</v>
      </c>
      <c r="S68" s="194">
        <f t="shared" ref="S68:S103" si="32">AM68*6.9/15</f>
        <v>16.324815257476736</v>
      </c>
      <c r="T68" s="194">
        <f t="shared" ref="T68:T103" si="33">AN68*54.7/77</f>
        <v>92.842442918123282</v>
      </c>
      <c r="U68" s="184">
        <f t="shared" si="17"/>
        <v>109.16725817560001</v>
      </c>
      <c r="V68" s="183">
        <f t="shared" si="21"/>
        <v>2.6701982237686996</v>
      </c>
      <c r="W68" s="183">
        <f t="shared" si="22"/>
        <v>15.185943746394214</v>
      </c>
      <c r="X68" s="344">
        <f t="shared" si="20"/>
        <v>17.856141970162913</v>
      </c>
      <c r="Y68" s="345">
        <f t="shared" si="23"/>
        <v>1775.6158582300052</v>
      </c>
      <c r="Z68" s="339">
        <f t="shared" si="24"/>
        <v>88.780792911500271</v>
      </c>
      <c r="AA68" s="109">
        <f t="shared" si="11"/>
        <v>9.6919557408042287</v>
      </c>
      <c r="AB68" s="109">
        <f t="shared" si="25"/>
        <v>230.83006156990069</v>
      </c>
      <c r="AC68" s="109">
        <f t="shared" si="12"/>
        <v>4.1217343503735933</v>
      </c>
      <c r="AD68" s="132">
        <f t="shared" si="13"/>
        <v>138.13690091177821</v>
      </c>
      <c r="AE68" s="123">
        <f t="shared" si="26"/>
        <v>2.7119729035056247E-52</v>
      </c>
      <c r="AF68" s="98">
        <f t="shared" si="27"/>
        <v>0.2823673381756639</v>
      </c>
      <c r="AG68" s="98">
        <f t="shared" si="28"/>
        <v>0.9169391571607578</v>
      </c>
      <c r="AH68" s="98">
        <f t="shared" si="14"/>
        <v>1.1993064953364216</v>
      </c>
      <c r="AI68" s="97">
        <f t="shared" si="29"/>
        <v>299.82662383410542</v>
      </c>
      <c r="AJ68" s="97">
        <f t="shared" si="30"/>
        <v>141.18366908783196</v>
      </c>
      <c r="AK68" s="97">
        <f t="shared" si="31"/>
        <v>458.46957858037888</v>
      </c>
      <c r="AM68" s="54">
        <v>35.488728820601594</v>
      </c>
      <c r="AN68" s="54">
        <v>130.6922871059505</v>
      </c>
      <c r="AP68" s="97">
        <f ca="1">AD68*AJ68/(AJ68+AK68)*2.71828^(-0.69315/半Cs134*(NOW()-R68)/365.25)+AD68*AK68/(AJ68+AK68)*2.71828^(-0.69315/半Cs137*(NOW()-R68)/365.25)</f>
        <v>100.13735719761875</v>
      </c>
    </row>
    <row r="69" spans="1:42" ht="9.9499999999999993" customHeight="1" x14ac:dyDescent="0.15">
      <c r="A69" s="9"/>
      <c r="R69" s="116">
        <v>42019</v>
      </c>
      <c r="S69" s="194">
        <f t="shared" si="32"/>
        <v>14.127807891792886</v>
      </c>
      <c r="T69" s="194">
        <f t="shared" si="33"/>
        <v>82.150953999071007</v>
      </c>
      <c r="U69" s="184">
        <f t="shared" si="17"/>
        <v>96.27876189086389</v>
      </c>
      <c r="V69" s="183">
        <f t="shared" si="21"/>
        <v>2.3108407013141075</v>
      </c>
      <c r="W69" s="183">
        <f t="shared" si="22"/>
        <v>13.437170834062417</v>
      </c>
      <c r="X69" s="344">
        <f t="shared" si="20"/>
        <v>15.748011535376525</v>
      </c>
      <c r="Y69" s="345">
        <f t="shared" si="23"/>
        <v>1626.9108095757035</v>
      </c>
      <c r="Z69" s="339">
        <f t="shared" si="24"/>
        <v>81.345540478785182</v>
      </c>
      <c r="AA69" s="109">
        <f t="shared" si="11"/>
        <v>7.8318479226405886</v>
      </c>
      <c r="AB69" s="109">
        <f t="shared" si="25"/>
        <v>211.49840524484148</v>
      </c>
      <c r="AC69" s="109">
        <f t="shared" si="12"/>
        <v>3.3306793255095029</v>
      </c>
      <c r="AD69" s="132">
        <f t="shared" si="13"/>
        <v>111.62527248150091</v>
      </c>
      <c r="AE69" s="123">
        <f t="shared" si="26"/>
        <v>1.8614191848053906E-53</v>
      </c>
      <c r="AF69" s="98">
        <f t="shared" si="27"/>
        <v>0.27442508716472036</v>
      </c>
      <c r="AG69" s="98">
        <f t="shared" si="28"/>
        <v>0.91514698085545176</v>
      </c>
      <c r="AH69" s="98">
        <f t="shared" si="14"/>
        <v>1.1895720680201722</v>
      </c>
      <c r="AI69" s="97">
        <f t="shared" si="29"/>
        <v>297.39301700504302</v>
      </c>
      <c r="AJ69" s="97">
        <f t="shared" si="30"/>
        <v>137.21254358236018</v>
      </c>
      <c r="AK69" s="97">
        <f t="shared" si="31"/>
        <v>457.57349042772586</v>
      </c>
      <c r="AM69" s="54">
        <v>30.712625851723661</v>
      </c>
      <c r="AN69" s="54">
        <v>115.64211074823523</v>
      </c>
      <c r="AP69" s="97">
        <f ca="1">AD69*AJ69/(AJ69+AK69)*2.71828^(-0.69315/半Cs134*(NOW()-R69)/365.25)+AD69*AK69/(AJ69+AK69)*2.71828^(-0.69315/半Cs137*(NOW()-R69)/365.25)</f>
        <v>81.580878315756408</v>
      </c>
    </row>
    <row r="70" spans="1:42" ht="9.9499999999999993" customHeight="1" x14ac:dyDescent="0.15">
      <c r="A70" s="9"/>
      <c r="R70" s="116">
        <v>42050</v>
      </c>
      <c r="S70" s="194">
        <f t="shared" si="32"/>
        <v>12.377207104170848</v>
      </c>
      <c r="T70" s="194">
        <f t="shared" si="33"/>
        <v>73.528192960568234</v>
      </c>
      <c r="U70" s="184">
        <f t="shared" si="17"/>
        <v>85.905400064739084</v>
      </c>
      <c r="V70" s="183">
        <f t="shared" si="21"/>
        <v>2.0245004861318523</v>
      </c>
      <c r="W70" s="183">
        <f t="shared" si="22"/>
        <v>12.026773175905344</v>
      </c>
      <c r="X70" s="344">
        <f t="shared" si="20"/>
        <v>14.051273662037197</v>
      </c>
      <c r="Y70" s="345">
        <f t="shared" si="23"/>
        <v>1392.114299732169</v>
      </c>
      <c r="Z70" s="339">
        <f t="shared" si="24"/>
        <v>69.605714986608447</v>
      </c>
      <c r="AA70" s="109">
        <f t="shared" si="11"/>
        <v>5.979506792716804</v>
      </c>
      <c r="AB70" s="109">
        <f t="shared" si="25"/>
        <v>180.97485896518197</v>
      </c>
      <c r="AC70" s="109">
        <f t="shared" si="12"/>
        <v>2.5429272692683575</v>
      </c>
      <c r="AD70" s="132">
        <f t="shared" si="13"/>
        <v>85.224340619851631</v>
      </c>
      <c r="AE70" s="123">
        <f t="shared" si="26"/>
        <v>1.277623894059799E-54</v>
      </c>
      <c r="AF70" s="98">
        <f t="shared" si="27"/>
        <v>0.26670623079824379</v>
      </c>
      <c r="AG70" s="98">
        <f t="shared" si="28"/>
        <v>0.91335830739532808</v>
      </c>
      <c r="AH70" s="98">
        <f t="shared" si="14"/>
        <v>1.1800645381935719</v>
      </c>
      <c r="AI70" s="97">
        <f t="shared" si="29"/>
        <v>295.01613454839298</v>
      </c>
      <c r="AJ70" s="97">
        <f t="shared" si="30"/>
        <v>133.35311539912189</v>
      </c>
      <c r="AK70" s="97">
        <f t="shared" si="31"/>
        <v>456.67915369766405</v>
      </c>
      <c r="AM70" s="54">
        <v>26.906971965588799</v>
      </c>
      <c r="AN70" s="54">
        <v>103.50403762273774</v>
      </c>
      <c r="AP70" s="97">
        <f ca="1">AD70*AJ70/(AJ70+AK70)*2.71828^(-0.69315/半Cs134*(NOW()-R70)/365.25)+AD70*AK70/(AJ70+AK70)*2.71828^(-0.69315/半Cs137*(NOW()-R70)/365.25)</f>
        <v>62.787688191261353</v>
      </c>
    </row>
    <row r="71" spans="1:42" ht="9.9499999999999993" customHeight="1" x14ac:dyDescent="0.15">
      <c r="A71" s="9"/>
      <c r="R71" s="116">
        <v>42078</v>
      </c>
      <c r="S71" s="194">
        <f t="shared" si="32"/>
        <v>10.466960491204389</v>
      </c>
      <c r="T71" s="194">
        <f t="shared" si="33"/>
        <v>63.34308128139493</v>
      </c>
      <c r="U71" s="184">
        <f t="shared" si="17"/>
        <v>73.81004177259932</v>
      </c>
      <c r="V71" s="183">
        <f t="shared" si="21"/>
        <v>1.7120475099447505</v>
      </c>
      <c r="W71" s="183">
        <f t="shared" si="22"/>
        <v>10.3608267816784</v>
      </c>
      <c r="X71" s="344">
        <f t="shared" si="20"/>
        <v>12.072874291623151</v>
      </c>
      <c r="Y71" s="345">
        <f t="shared" si="23"/>
        <v>1687.7061715533439</v>
      </c>
      <c r="Z71" s="339">
        <f t="shared" si="24"/>
        <v>84.385308577667203</v>
      </c>
      <c r="AA71" s="109">
        <f t="shared" si="11"/>
        <v>6.2284831511113001</v>
      </c>
      <c r="AB71" s="109">
        <f t="shared" si="25"/>
        <v>219.40180230193471</v>
      </c>
      <c r="AC71" s="109">
        <f t="shared" si="12"/>
        <v>2.6488103785468122</v>
      </c>
      <c r="AD71" s="132">
        <f t="shared" si="13"/>
        <v>88.772935296581124</v>
      </c>
      <c r="AE71" s="123">
        <f t="shared" si="26"/>
        <v>1.1364568352899382E-55</v>
      </c>
      <c r="AF71" s="98">
        <f t="shared" si="27"/>
        <v>0.25992114282893963</v>
      </c>
      <c r="AG71" s="98">
        <f t="shared" si="28"/>
        <v>0.91174573644193124</v>
      </c>
      <c r="AH71" s="98">
        <f t="shared" si="14"/>
        <v>1.1716668792708709</v>
      </c>
      <c r="AI71" s="97">
        <f t="shared" si="29"/>
        <v>292.91671981771776</v>
      </c>
      <c r="AJ71" s="97">
        <f t="shared" si="30"/>
        <v>129.96057141446983</v>
      </c>
      <c r="AK71" s="97">
        <f t="shared" si="31"/>
        <v>455.87286822096564</v>
      </c>
      <c r="AM71" s="54">
        <v>22.754261937400845</v>
      </c>
      <c r="AN71" s="54">
        <v>89.16667748934934</v>
      </c>
      <c r="AP71" s="97">
        <f ca="1">AD71*AJ71/(AJ71+AK71)*2.71828^(-0.69315/半Cs134*(NOW()-R71)/365.25)+AD71*AK71/(AJ71+AK71)*2.71828^(-0.69315/半Cs137*(NOW()-R71)/365.25)</f>
        <v>65.87081388122796</v>
      </c>
    </row>
    <row r="72" spans="1:42" ht="9.9499999999999993" customHeight="1" x14ac:dyDescent="0.15">
      <c r="A72" s="9"/>
      <c r="R72" s="116">
        <v>42109</v>
      </c>
      <c r="S72" s="194">
        <f t="shared" si="32"/>
        <v>18.276134003470681</v>
      </c>
      <c r="T72" s="194">
        <f t="shared" si="33"/>
        <v>112.80271403022144</v>
      </c>
      <c r="U72" s="184">
        <f t="shared" si="17"/>
        <v>131.07884803369211</v>
      </c>
      <c r="V72" s="183">
        <f t="shared" si="21"/>
        <v>2.9893692384099366</v>
      </c>
      <c r="W72" s="183">
        <f t="shared" si="22"/>
        <v>18.450781946940211</v>
      </c>
      <c r="X72" s="344">
        <f t="shared" si="20"/>
        <v>21.440151185350146</v>
      </c>
      <c r="Y72" s="345">
        <f t="shared" si="23"/>
        <v>1728.9854770068425</v>
      </c>
      <c r="Z72" s="339">
        <f t="shared" si="24"/>
        <v>86.449273850342138</v>
      </c>
      <c r="AA72" s="109">
        <f t="shared" si="11"/>
        <v>11.331671229652031</v>
      </c>
      <c r="AB72" s="109">
        <f t="shared" si="25"/>
        <v>224.76811201088952</v>
      </c>
      <c r="AC72" s="109">
        <f t="shared" si="12"/>
        <v>4.8190623031591873</v>
      </c>
      <c r="AD72" s="132">
        <f t="shared" si="13"/>
        <v>161.50733532811216</v>
      </c>
      <c r="AE72" s="123">
        <f t="shared" si="26"/>
        <v>7.8003085988706434E-57</v>
      </c>
      <c r="AF72" s="98">
        <f t="shared" si="27"/>
        <v>0.2526102442925286</v>
      </c>
      <c r="AG72" s="98">
        <f t="shared" si="28"/>
        <v>0.90996371078346261</v>
      </c>
      <c r="AH72" s="98">
        <f t="shared" si="14"/>
        <v>1.1625739550759913</v>
      </c>
      <c r="AI72" s="97">
        <f t="shared" si="29"/>
        <v>290.64348876899783</v>
      </c>
      <c r="AJ72" s="97">
        <f t="shared" si="30"/>
        <v>126.3051221462643</v>
      </c>
      <c r="AK72" s="97">
        <f t="shared" si="31"/>
        <v>454.9818553917313</v>
      </c>
      <c r="AM72" s="54">
        <v>39.730726094501478</v>
      </c>
      <c r="AN72" s="54">
        <v>158.78992651420566</v>
      </c>
      <c r="AP72" s="97">
        <f ca="1">AD72*AJ72/(AJ72+AK72)*2.71828^(-0.69315/半Cs134*(NOW()-R72)/365.25)+AD72*AK72/(AJ72+AK72)*2.71828^(-0.69315/半Cs137*(NOW()-R72)/365.25)</f>
        <v>120.77812003339025</v>
      </c>
    </row>
    <row r="73" spans="1:42" ht="9.9499999999999993" customHeight="1" x14ac:dyDescent="0.15">
      <c r="A73" s="9"/>
      <c r="R73" s="116">
        <v>42139</v>
      </c>
      <c r="S73" s="194">
        <f t="shared" si="32"/>
        <v>26.544100987518036</v>
      </c>
      <c r="T73" s="194">
        <f t="shared" si="33"/>
        <v>166.85554566611742</v>
      </c>
      <c r="U73" s="184">
        <f t="shared" si="17"/>
        <v>193.39964665363544</v>
      </c>
      <c r="V73" s="183">
        <f t="shared" si="21"/>
        <v>4.34173435904248</v>
      </c>
      <c r="W73" s="183">
        <f t="shared" si="22"/>
        <v>27.292032077335062</v>
      </c>
      <c r="X73" s="344">
        <f t="shared" si="20"/>
        <v>31.633766436377542</v>
      </c>
      <c r="Y73" s="345">
        <f t="shared" si="23"/>
        <v>1942.7370449437828</v>
      </c>
      <c r="Z73" s="339">
        <f t="shared" si="24"/>
        <v>97.136852247189154</v>
      </c>
      <c r="AA73" s="109">
        <f t="shared" si="11"/>
        <v>18.786232901652777</v>
      </c>
      <c r="AB73" s="109">
        <f t="shared" si="25"/>
        <v>252.55581584269177</v>
      </c>
      <c r="AC73" s="109">
        <f t="shared" si="12"/>
        <v>7.9892916905164899</v>
      </c>
      <c r="AD73" s="132">
        <f t="shared" si="13"/>
        <v>267.75524592169268</v>
      </c>
      <c r="AE73" s="123">
        <f t="shared" si="26"/>
        <v>5.8371517570725939E-58</v>
      </c>
      <c r="AF73" s="98">
        <f t="shared" si="27"/>
        <v>0.24573103404755547</v>
      </c>
      <c r="AG73" s="98">
        <f t="shared" si="28"/>
        <v>0.90824248617857339</v>
      </c>
      <c r="AH73" s="98">
        <f t="shared" si="14"/>
        <v>1.153973520226129</v>
      </c>
      <c r="AI73" s="97">
        <f t="shared" si="29"/>
        <v>288.4933800565322</v>
      </c>
      <c r="AJ73" s="97">
        <f t="shared" si="30"/>
        <v>122.86551702377774</v>
      </c>
      <c r="AK73" s="97">
        <f t="shared" si="31"/>
        <v>454.12124308928668</v>
      </c>
      <c r="AM73" s="54">
        <v>57.704567364169641</v>
      </c>
      <c r="AN73" s="54">
        <v>234.87892168722195</v>
      </c>
      <c r="AP73" s="97">
        <f ca="1">AD73*AJ73/(AJ73+AK73)*2.71828^(-0.69315/半Cs134*(NOW()-R73)/365.25)+AD73*AK73/(AJ73+AK73)*2.71828^(-0.69315/半Cs137*(NOW()-R73)/365.25)</f>
        <v>201.72454650617567</v>
      </c>
    </row>
    <row r="74" spans="1:42" ht="9.9499999999999993" customHeight="1" x14ac:dyDescent="0.15">
      <c r="A74" s="9"/>
      <c r="R74" s="116">
        <v>42170</v>
      </c>
      <c r="S74" s="194">
        <f t="shared" si="32"/>
        <v>27.625977348706101</v>
      </c>
      <c r="T74" s="194">
        <f t="shared" si="33"/>
        <v>176.79178991699123</v>
      </c>
      <c r="U74" s="184">
        <f t="shared" si="17"/>
        <v>204.41776726569734</v>
      </c>
      <c r="V74" s="183">
        <f t="shared" si="21"/>
        <v>4.5186934420347749</v>
      </c>
      <c r="W74" s="183">
        <f t="shared" si="22"/>
        <v>28.917272016112545</v>
      </c>
      <c r="X74" s="344">
        <f t="shared" si="20"/>
        <v>33.435965458147322</v>
      </c>
      <c r="Y74" s="345">
        <f t="shared" si="23"/>
        <v>1906.5055284059197</v>
      </c>
      <c r="Z74" s="339">
        <f t="shared" si="24"/>
        <v>95.325276420295992</v>
      </c>
      <c r="AA74" s="109">
        <f t="shared" si="11"/>
        <v>19.486180169822333</v>
      </c>
      <c r="AB74" s="109">
        <f t="shared" si="25"/>
        <v>247.84571869276957</v>
      </c>
      <c r="AC74" s="109">
        <f t="shared" si="12"/>
        <v>8.2869608891611399</v>
      </c>
      <c r="AD74" s="132">
        <f t="shared" si="13"/>
        <v>277.73141058983475</v>
      </c>
      <c r="AE74" s="123">
        <f t="shared" si="26"/>
        <v>4.0064508945462373E-59</v>
      </c>
      <c r="AF74" s="98">
        <f t="shared" si="27"/>
        <v>0.23881926597199188</v>
      </c>
      <c r="AG74" s="98">
        <f t="shared" si="28"/>
        <v>0.90646730769427597</v>
      </c>
      <c r="AH74" s="98">
        <f t="shared" si="14"/>
        <v>1.1452865736662678</v>
      </c>
      <c r="AI74" s="97">
        <f t="shared" si="29"/>
        <v>286.32164341656699</v>
      </c>
      <c r="AJ74" s="97">
        <f t="shared" si="30"/>
        <v>119.40963298599594</v>
      </c>
      <c r="AK74" s="97">
        <f t="shared" si="31"/>
        <v>453.23365384713799</v>
      </c>
      <c r="AM74" s="54">
        <v>60.056472497187173</v>
      </c>
      <c r="AN74" s="54">
        <v>248.86595655591088</v>
      </c>
      <c r="AP74" s="97">
        <f ca="1">AD74*AJ74/(AJ74+AK74)*2.71828^(-0.69315/半Cs134*(NOW()-R74)/365.25)+AD74*AK74/(AJ74+AK74)*2.71828^(-0.69315/半Cs137*(NOW()-R74)/365.25)</f>
        <v>210.82758463150114</v>
      </c>
    </row>
    <row r="75" spans="1:42" ht="9.9499999999999993" customHeight="1" x14ac:dyDescent="0.15">
      <c r="A75" s="9"/>
      <c r="R75" s="116">
        <v>42200</v>
      </c>
      <c r="S75" s="194">
        <f t="shared" si="32"/>
        <v>25.399018228631643</v>
      </c>
      <c r="T75" s="194">
        <f t="shared" si="33"/>
        <v>165.26738093257771</v>
      </c>
      <c r="U75" s="184">
        <f t="shared" si="17"/>
        <v>190.66639916120934</v>
      </c>
      <c r="V75" s="183">
        <f t="shared" si="21"/>
        <v>4.1544368061684134</v>
      </c>
      <c r="W75" s="183">
        <f t="shared" si="22"/>
        <v>27.032261012017333</v>
      </c>
      <c r="X75" s="344">
        <f t="shared" si="20"/>
        <v>31.186697818185745</v>
      </c>
      <c r="Y75" s="345">
        <f t="shared" si="23"/>
        <v>2028.3675408175454</v>
      </c>
      <c r="Z75" s="339">
        <f t="shared" si="24"/>
        <v>101.41837704087727</v>
      </c>
      <c r="AA75" s="109">
        <f t="shared" si="11"/>
        <v>19.337076759157934</v>
      </c>
      <c r="AB75" s="109">
        <f t="shared" si="25"/>
        <v>263.6877803062809</v>
      </c>
      <c r="AC75" s="109">
        <f t="shared" si="12"/>
        <v>8.2235511227601332</v>
      </c>
      <c r="AD75" s="132">
        <f t="shared" si="13"/>
        <v>275.60627881918066</v>
      </c>
      <c r="AE75" s="123">
        <f t="shared" si="26"/>
        <v>2.9981200849043654E-60</v>
      </c>
      <c r="AF75" s="98">
        <f t="shared" si="27"/>
        <v>0.23231561864061523</v>
      </c>
      <c r="AG75" s="98">
        <f t="shared" si="28"/>
        <v>0.90475269664436087</v>
      </c>
      <c r="AH75" s="98">
        <f t="shared" si="14"/>
        <v>1.1370683152849761</v>
      </c>
      <c r="AI75" s="97">
        <f t="shared" si="29"/>
        <v>284.26707882124401</v>
      </c>
      <c r="AJ75" s="97">
        <f t="shared" si="30"/>
        <v>116.15780932030762</v>
      </c>
      <c r="AK75" s="97">
        <f t="shared" si="31"/>
        <v>452.37634832218043</v>
      </c>
      <c r="AM75" s="54">
        <v>55.21525701876444</v>
      </c>
      <c r="AN75" s="54">
        <v>232.64329674238542</v>
      </c>
      <c r="AP75" s="97">
        <f ca="1">AD75*AJ75/(AJ75+AK75)*2.71828^(-0.69315/半Cs134*(NOW()-R75)/365.25)+AD75*AK75/(AJ75+AK75)*2.71828^(-0.69315/半Cs137*(NOW()-R75)/365.25)</f>
        <v>210.72649915398057</v>
      </c>
    </row>
    <row r="76" spans="1:42" ht="9.9499999999999993" customHeight="1" x14ac:dyDescent="0.15">
      <c r="A76" s="9"/>
      <c r="R76" s="116">
        <v>42231</v>
      </c>
      <c r="S76" s="194">
        <f t="shared" si="32"/>
        <v>21.334411469379123</v>
      </c>
      <c r="T76" s="194">
        <f t="shared" si="33"/>
        <v>141.10780239616633</v>
      </c>
      <c r="U76" s="184">
        <f t="shared" si="17"/>
        <v>162.44221386554545</v>
      </c>
      <c r="V76" s="183">
        <f t="shared" si="21"/>
        <v>3.4896019778598033</v>
      </c>
      <c r="W76" s="183">
        <f t="shared" si="22"/>
        <v>23.080555422860346</v>
      </c>
      <c r="X76" s="344">
        <f t="shared" si="20"/>
        <v>26.570157400720149</v>
      </c>
      <c r="Y76" s="345">
        <f t="shared" si="23"/>
        <v>2056.85758154109</v>
      </c>
      <c r="Z76" s="339">
        <f t="shared" si="24"/>
        <v>102.8428790770545</v>
      </c>
      <c r="AA76" s="109">
        <f t="shared" si="11"/>
        <v>16.706024957583317</v>
      </c>
      <c r="AB76" s="109">
        <f t="shared" si="25"/>
        <v>267.3914856003417</v>
      </c>
      <c r="AC76" s="109">
        <f t="shared" si="12"/>
        <v>7.1046338600134744</v>
      </c>
      <c r="AD76" s="132">
        <f t="shared" si="13"/>
        <v>238.10658817596791</v>
      </c>
      <c r="AE76" s="123">
        <f t="shared" si="26"/>
        <v>2.0578222729206919E-61</v>
      </c>
      <c r="AF76" s="98">
        <f t="shared" si="27"/>
        <v>0.22578119093758348</v>
      </c>
      <c r="AG76" s="98">
        <f t="shared" si="28"/>
        <v>0.902984339024965</v>
      </c>
      <c r="AH76" s="98">
        <f t="shared" si="14"/>
        <v>1.1287655299625485</v>
      </c>
      <c r="AI76" s="97">
        <f t="shared" si="29"/>
        <v>282.19138249063712</v>
      </c>
      <c r="AJ76" s="97">
        <f t="shared" si="30"/>
        <v>112.89059546879174</v>
      </c>
      <c r="AK76" s="97">
        <f t="shared" si="31"/>
        <v>451.49216951248252</v>
      </c>
      <c r="AM76" s="54">
        <v>46.379155368215486</v>
      </c>
      <c r="AN76" s="54">
        <v>198.63438362897273</v>
      </c>
      <c r="AP76" s="97">
        <f ca="1">AD76*AJ76/(AJ76+AK76)*2.71828^(-0.69315/半Cs134*(NOW()-R76)/365.25)+AD76*AK76/(AJ76+AK76)*2.71828^(-0.69315/半Cs137*(NOW()-R76)/365.25)</f>
        <v>183.39364246110159</v>
      </c>
    </row>
    <row r="77" spans="1:42" ht="9.9499999999999993" customHeight="1" x14ac:dyDescent="0.15">
      <c r="A77" s="9"/>
      <c r="R77" s="116">
        <v>42262</v>
      </c>
      <c r="S77" s="194">
        <f t="shared" si="32"/>
        <v>19.275279963788559</v>
      </c>
      <c r="T77" s="194">
        <f t="shared" si="33"/>
        <v>129.46447549674269</v>
      </c>
      <c r="U77" s="184">
        <f t="shared" si="17"/>
        <v>148.73975546053126</v>
      </c>
      <c r="V77" s="183">
        <f t="shared" si="21"/>
        <v>3.1527963722823751</v>
      </c>
      <c r="W77" s="183">
        <f t="shared" si="22"/>
        <v>21.176093392800915</v>
      </c>
      <c r="X77" s="344">
        <f t="shared" si="20"/>
        <v>24.328889765083289</v>
      </c>
      <c r="Y77" s="345">
        <f t="shared" si="23"/>
        <v>1907.2103228909111</v>
      </c>
      <c r="Z77" s="339">
        <f t="shared" si="24"/>
        <v>95.360516144545556</v>
      </c>
      <c r="AA77" s="109">
        <f t="shared" si="11"/>
        <v>14.18389985192975</v>
      </c>
      <c r="AB77" s="109">
        <f t="shared" si="25"/>
        <v>247.93734197581844</v>
      </c>
      <c r="AC77" s="109">
        <f t="shared" si="12"/>
        <v>6.0320402615774444</v>
      </c>
      <c r="AD77" s="132">
        <f t="shared" si="13"/>
        <v>202.15940113507196</v>
      </c>
      <c r="AE77" s="123">
        <f t="shared" si="26"/>
        <v>1.4124292513332333E-62</v>
      </c>
      <c r="AF77" s="98">
        <f t="shared" si="27"/>
        <v>0.21943055950987753</v>
      </c>
      <c r="AG77" s="98">
        <f t="shared" si="28"/>
        <v>0.90121943769664337</v>
      </c>
      <c r="AH77" s="98">
        <f t="shared" si="14"/>
        <v>1.1206499972065209</v>
      </c>
      <c r="AI77" s="97">
        <f t="shared" si="29"/>
        <v>280.16249930163019</v>
      </c>
      <c r="AJ77" s="97">
        <f t="shared" si="30"/>
        <v>109.71527975493876</v>
      </c>
      <c r="AK77" s="97">
        <f t="shared" si="31"/>
        <v>450.60971884832168</v>
      </c>
      <c r="AM77" s="54">
        <v>41.902782529975127</v>
      </c>
      <c r="AN77" s="54">
        <v>182.24432565355005</v>
      </c>
      <c r="AP77" s="97">
        <f ca="1">AD77*AJ77/(AJ77+AK77)*2.71828^(-0.69315/半Cs134*(NOW()-R77)/365.25)+AD77*AK77/(AJ77+AK77)*2.71828^(-0.69315/半Cs137*(NOW()-R77)/365.25)</f>
        <v>156.83411976379014</v>
      </c>
    </row>
    <row r="78" spans="1:42" ht="9.9499999999999993" customHeight="1" x14ac:dyDescent="0.15">
      <c r="A78" s="9"/>
      <c r="R78" s="116">
        <v>42292</v>
      </c>
      <c r="S78" s="194">
        <f t="shared" si="32"/>
        <v>17.300337172796311</v>
      </c>
      <c r="T78" s="194">
        <f t="shared" si="33"/>
        <v>117.84054437972495</v>
      </c>
      <c r="U78" s="184">
        <f t="shared" si="17"/>
        <v>135.14088155252125</v>
      </c>
      <c r="V78" s="183">
        <f t="shared" si="21"/>
        <v>2.8297612475732574</v>
      </c>
      <c r="W78" s="183">
        <f t="shared" si="22"/>
        <v>19.2748038693158</v>
      </c>
      <c r="X78" s="344">
        <f t="shared" si="20"/>
        <v>22.104565116889056</v>
      </c>
      <c r="Y78" s="345">
        <f t="shared" si="23"/>
        <v>1962.3986889980388</v>
      </c>
      <c r="Z78" s="339">
        <f t="shared" si="24"/>
        <v>98.119934449901947</v>
      </c>
      <c r="AA78" s="109">
        <f t="shared" si="11"/>
        <v>13.260014439435349</v>
      </c>
      <c r="AB78" s="109">
        <f t="shared" si="25"/>
        <v>255.11182956974505</v>
      </c>
      <c r="AC78" s="109">
        <f t="shared" si="12"/>
        <v>5.6391360488131319</v>
      </c>
      <c r="AD78" s="132">
        <f t="shared" si="13"/>
        <v>188.9915048824848</v>
      </c>
      <c r="AE78" s="123">
        <f t="shared" si="26"/>
        <v>1.0569535527548172E-63</v>
      </c>
      <c r="AF78" s="98">
        <f t="shared" si="27"/>
        <v>0.21345491526287499</v>
      </c>
      <c r="AG78" s="98">
        <f t="shared" si="28"/>
        <v>0.89951475315572649</v>
      </c>
      <c r="AH78" s="98">
        <f t="shared" si="14"/>
        <v>1.1129696684186015</v>
      </c>
      <c r="AI78" s="97">
        <f t="shared" si="29"/>
        <v>278.24241710465037</v>
      </c>
      <c r="AJ78" s="97">
        <f t="shared" si="30"/>
        <v>106.7274576314375</v>
      </c>
      <c r="AK78" s="97">
        <f t="shared" si="31"/>
        <v>449.75737657786323</v>
      </c>
      <c r="AM78" s="54">
        <v>37.609428636513712</v>
      </c>
      <c r="AN78" s="54">
        <v>165.88157069906435</v>
      </c>
      <c r="AP78" s="97">
        <f ca="1">AD78*AJ78/(AJ78+AK78)*2.71828^(-0.69315/半Cs134*(NOW()-R78)/365.25)+AD78*AK78/(AJ78+AK78)*2.71828^(-0.69315/半Cs137*(NOW()-R78)/365.25)</f>
        <v>147.6303186765972</v>
      </c>
    </row>
    <row r="79" spans="1:42" ht="9.9499999999999993" customHeight="1" x14ac:dyDescent="0.15">
      <c r="A79" s="9"/>
      <c r="R79" s="116">
        <v>42323</v>
      </c>
      <c r="S79" s="194">
        <f t="shared" si="32"/>
        <v>14.063383424439795</v>
      </c>
      <c r="T79" s="194">
        <f t="shared" si="33"/>
        <v>97.10931989810878</v>
      </c>
      <c r="U79" s="184">
        <f t="shared" si="17"/>
        <v>111.17270332254857</v>
      </c>
      <c r="V79" s="183">
        <f t="shared" si="21"/>
        <v>2.3003029956445329</v>
      </c>
      <c r="W79" s="183">
        <f t="shared" si="22"/>
        <v>15.883863272789997</v>
      </c>
      <c r="X79" s="344">
        <f t="shared" si="20"/>
        <v>18.184166268434531</v>
      </c>
      <c r="Y79" s="345">
        <f t="shared" si="23"/>
        <v>1775.1043049648335</v>
      </c>
      <c r="Z79" s="339">
        <f t="shared" si="24"/>
        <v>88.755215248241683</v>
      </c>
      <c r="AA79" s="109">
        <f t="shared" si="11"/>
        <v>9.8671572131217129</v>
      </c>
      <c r="AB79" s="109">
        <f t="shared" si="25"/>
        <v>230.76355964542836</v>
      </c>
      <c r="AC79" s="109">
        <f t="shared" si="12"/>
        <v>4.1962429372882779</v>
      </c>
      <c r="AD79" s="132">
        <f t="shared" si="13"/>
        <v>140.6340015040999</v>
      </c>
      <c r="AE79" s="123">
        <f t="shared" si="26"/>
        <v>7.2546212316605665E-65</v>
      </c>
      <c r="AF79" s="98">
        <f t="shared" si="27"/>
        <v>0.20745098956987301</v>
      </c>
      <c r="AG79" s="98">
        <f t="shared" si="28"/>
        <v>0.89775663320383059</v>
      </c>
      <c r="AH79" s="98">
        <f t="shared" si="14"/>
        <v>1.1052076227737035</v>
      </c>
      <c r="AI79" s="97">
        <f t="shared" si="29"/>
        <v>276.30190569342591</v>
      </c>
      <c r="AJ79" s="97">
        <f t="shared" si="30"/>
        <v>103.7254947849365</v>
      </c>
      <c r="AK79" s="97">
        <f t="shared" si="31"/>
        <v>448.87831660191529</v>
      </c>
      <c r="AM79" s="54">
        <v>30.572572661825639</v>
      </c>
      <c r="AN79" s="54">
        <v>136.69867700465039</v>
      </c>
      <c r="AP79" s="97">
        <f ca="1">AD79*AJ79/(AJ79+AK79)*2.71828^(-0.69315/半Cs134*(NOW()-R79)/365.25)+AD79*AK79/(AJ79+AK79)*2.71828^(-0.69315/半Cs137*(NOW()-R79)/365.25)</f>
        <v>110.6274916012127</v>
      </c>
    </row>
    <row r="80" spans="1:42" ht="9.9499999999999993" customHeight="1" x14ac:dyDescent="0.15">
      <c r="A80" s="9"/>
      <c r="R80" s="116">
        <v>42353</v>
      </c>
      <c r="S80" s="194">
        <f t="shared" si="32"/>
        <v>10.139142774758746</v>
      </c>
      <c r="T80" s="194">
        <f t="shared" si="33"/>
        <v>70.887439908132293</v>
      </c>
      <c r="U80" s="184">
        <f t="shared" si="17"/>
        <v>81.026582682891046</v>
      </c>
      <c r="V80" s="183">
        <f t="shared" si="21"/>
        <v>1.6584274064172595</v>
      </c>
      <c r="W80" s="183">
        <f t="shared" si="22"/>
        <v>11.59483357972543</v>
      </c>
      <c r="X80" s="344">
        <f t="shared" si="20"/>
        <v>13.253260986142688</v>
      </c>
      <c r="Y80" s="345">
        <f t="shared" si="23"/>
        <v>1781.5825290848566</v>
      </c>
      <c r="Z80" s="339">
        <f t="shared" si="24"/>
        <v>89.079126454242839</v>
      </c>
      <c r="AA80" s="109">
        <f t="shared" si="11"/>
        <v>7.2177772049644142</v>
      </c>
      <c r="AB80" s="109">
        <f t="shared" si="25"/>
        <v>231.60572878103136</v>
      </c>
      <c r="AC80" s="109">
        <f t="shared" si="12"/>
        <v>3.0695311694207876</v>
      </c>
      <c r="AD80" s="132">
        <f t="shared" si="13"/>
        <v>102.87308374385202</v>
      </c>
      <c r="AE80" s="123">
        <f t="shared" si="26"/>
        <v>5.4288012496602859E-66</v>
      </c>
      <c r="AF80" s="98">
        <f t="shared" si="27"/>
        <v>0.20180157904507151</v>
      </c>
      <c r="AG80" s="98">
        <f t="shared" si="28"/>
        <v>0.8960584986650999</v>
      </c>
      <c r="AH80" s="98">
        <f t="shared" si="14"/>
        <v>1.0978600777101715</v>
      </c>
      <c r="AI80" s="97">
        <f t="shared" si="29"/>
        <v>274.46501942754287</v>
      </c>
      <c r="AJ80" s="97">
        <f t="shared" si="30"/>
        <v>100.90078952253576</v>
      </c>
      <c r="AK80" s="97">
        <f t="shared" si="31"/>
        <v>448.02924933254997</v>
      </c>
      <c r="AM80" s="54">
        <v>22.041614727736405</v>
      </c>
      <c r="AN80" s="54">
        <v>99.786707000478728</v>
      </c>
      <c r="AP80" s="97">
        <f ca="1">AD80*AJ80/(AJ80+AK80)*2.71828^(-0.69315/半Cs134*(NOW()-R80)/365.25)+AD80*AK80/(AJ80+AK80)*2.71828^(-0.69315/半Cs137*(NOW()-R80)/365.25)</f>
        <v>81.465057522224242</v>
      </c>
    </row>
    <row r="81" spans="1:42" ht="9.9499999999999993" customHeight="1" x14ac:dyDescent="0.15">
      <c r="A81" s="9"/>
      <c r="R81" s="116">
        <v>42384</v>
      </c>
      <c r="S81" s="194">
        <f t="shared" si="32"/>
        <v>8.9489955415968137</v>
      </c>
      <c r="T81" s="194">
        <f t="shared" si="33"/>
        <v>63.317542280052045</v>
      </c>
      <c r="U81" s="184">
        <f t="shared" si="17"/>
        <v>72.266537821648853</v>
      </c>
      <c r="V81" s="183">
        <f t="shared" si="21"/>
        <v>1.4637588005010769</v>
      </c>
      <c r="W81" s="183">
        <f t="shared" si="22"/>
        <v>10.356649448278478</v>
      </c>
      <c r="X81" s="344">
        <f t="shared" si="20"/>
        <v>11.820408248779556</v>
      </c>
      <c r="Y81" s="345">
        <f t="shared" si="23"/>
        <v>1632.3777810864301</v>
      </c>
      <c r="Z81" s="339">
        <f t="shared" si="24"/>
        <v>81.618889054321514</v>
      </c>
      <c r="AA81" s="109">
        <f t="shared" si="11"/>
        <v>5.8983145328050872</v>
      </c>
      <c r="AB81" s="109">
        <f t="shared" si="25"/>
        <v>212.20911154123593</v>
      </c>
      <c r="AC81" s="109">
        <f t="shared" si="12"/>
        <v>2.508398332528206</v>
      </c>
      <c r="AD81" s="132">
        <f t="shared" si="13"/>
        <v>84.067128653332929</v>
      </c>
      <c r="AE81" s="123">
        <f t="shared" si="26"/>
        <v>3.7261710039766376E-67</v>
      </c>
      <c r="AF81" s="98">
        <f t="shared" si="27"/>
        <v>0.19612543106869459</v>
      </c>
      <c r="AG81" s="98">
        <f t="shared" si="28"/>
        <v>0.89430713403317807</v>
      </c>
      <c r="AH81" s="98">
        <f t="shared" si="14"/>
        <v>1.0904325651018727</v>
      </c>
      <c r="AI81" s="97">
        <f t="shared" si="29"/>
        <v>272.60814127546814</v>
      </c>
      <c r="AJ81" s="97">
        <f t="shared" si="30"/>
        <v>98.062715534347291</v>
      </c>
      <c r="AK81" s="97">
        <f t="shared" si="31"/>
        <v>447.15356701658902</v>
      </c>
      <c r="AM81" s="54">
        <v>19.454338133906116</v>
      </c>
      <c r="AN81" s="54">
        <v>89.13072679276064</v>
      </c>
      <c r="AP81" s="97">
        <f ca="1">AD81*AJ81/(AJ81+AK81)*2.71828^(-0.69315/半Cs134*(NOW()-R81)/365.25)+AD81*AK81/(AJ81+AK81)*2.71828^(-0.69315/半Cs137*(NOW()-R81)/365.25)</f>
        <v>67.026108309140696</v>
      </c>
    </row>
    <row r="82" spans="1:42" ht="9.9499999999999993" customHeight="1" x14ac:dyDescent="0.15">
      <c r="A82" s="9"/>
      <c r="R82" s="116">
        <v>42415</v>
      </c>
      <c r="S82" s="194">
        <f t="shared" si="32"/>
        <v>7.9947323224609255</v>
      </c>
      <c r="T82" s="194">
        <f t="shared" si="33"/>
        <v>57.194396431437589</v>
      </c>
      <c r="U82" s="184">
        <f t="shared" si="17"/>
        <v>65.189128753898515</v>
      </c>
      <c r="V82" s="183">
        <f t="shared" si="21"/>
        <v>1.3076729941653857</v>
      </c>
      <c r="W82" s="183">
        <f t="shared" si="22"/>
        <v>9.3551059140348833</v>
      </c>
      <c r="X82" s="344">
        <f t="shared" si="20"/>
        <v>10.66277890820027</v>
      </c>
      <c r="Y82" s="345">
        <f t="shared" si="23"/>
        <v>1396.7922754217495</v>
      </c>
      <c r="Z82" s="339">
        <f t="shared" si="24"/>
        <v>69.839613771087485</v>
      </c>
      <c r="AA82" s="109">
        <f t="shared" si="11"/>
        <v>4.5527835742459652</v>
      </c>
      <c r="AB82" s="109">
        <f t="shared" si="25"/>
        <v>181.58299580482745</v>
      </c>
      <c r="AC82" s="109">
        <f t="shared" si="12"/>
        <v>1.9361793377555323</v>
      </c>
      <c r="AD82" s="132">
        <f t="shared" si="13"/>
        <v>64.889629120014973</v>
      </c>
      <c r="AE82" s="123">
        <f t="shared" si="26"/>
        <v>2.5575352112486148E-68</v>
      </c>
      <c r="AF82" s="98">
        <f t="shared" si="27"/>
        <v>0.19060893821494954</v>
      </c>
      <c r="AG82" s="98">
        <f t="shared" si="28"/>
        <v>0.89255919247918947</v>
      </c>
      <c r="AH82" s="98">
        <f t="shared" si="14"/>
        <v>1.083168130694139</v>
      </c>
      <c r="AI82" s="97">
        <f t="shared" si="29"/>
        <v>270.79203267353478</v>
      </c>
      <c r="AJ82" s="97">
        <f t="shared" si="30"/>
        <v>95.304469107474773</v>
      </c>
      <c r="AK82" s="97">
        <f t="shared" si="31"/>
        <v>446.27959623959475</v>
      </c>
      <c r="AM82" s="54">
        <v>17.379852874915056</v>
      </c>
      <c r="AN82" s="54">
        <v>80.511307590871922</v>
      </c>
      <c r="AP82" s="97">
        <f ca="1">AD82*AJ82/(AJ82+AK82)*2.71828^(-0.69315/半Cs134*(NOW()-R82)/365.25)+AD82*AK82/(AJ82+AK82)*2.71828^(-0.69315/半Cs137*(NOW()-R82)/365.25)</f>
        <v>52.083003516613338</v>
      </c>
    </row>
    <row r="83" spans="1:42" ht="9.9499999999999993" customHeight="1" x14ac:dyDescent="0.15">
      <c r="A83" s="9"/>
      <c r="R83" s="116">
        <v>42444</v>
      </c>
      <c r="S83" s="194">
        <f t="shared" si="32"/>
        <v>6.8766064134320537</v>
      </c>
      <c r="T83" s="194">
        <f t="shared" si="33"/>
        <v>49.678090643284186</v>
      </c>
      <c r="U83" s="184">
        <f t="shared" si="17"/>
        <v>56.554697056716236</v>
      </c>
      <c r="V83" s="183">
        <f t="shared" si="21"/>
        <v>1.1247846876731422</v>
      </c>
      <c r="W83" s="183">
        <f t="shared" si="22"/>
        <v>8.1256876297674658</v>
      </c>
      <c r="X83" s="344">
        <f t="shared" si="20"/>
        <v>9.2504723174406074</v>
      </c>
      <c r="Y83" s="345">
        <f t="shared" si="23"/>
        <v>1693.3774360775287</v>
      </c>
      <c r="Z83" s="339">
        <f t="shared" si="24"/>
        <v>84.668871803876442</v>
      </c>
      <c r="AA83" s="109">
        <f t="shared" si="11"/>
        <v>4.7884223950021747</v>
      </c>
      <c r="AB83" s="109">
        <f t="shared" si="25"/>
        <v>220.13906669007875</v>
      </c>
      <c r="AC83" s="109">
        <f t="shared" si="12"/>
        <v>2.0363903424037852</v>
      </c>
      <c r="AD83" s="132">
        <f t="shared" si="13"/>
        <v>68.248127374059607</v>
      </c>
      <c r="AE83" s="123">
        <f t="shared" si="26"/>
        <v>2.0866095049004787E-69</v>
      </c>
      <c r="AF83" s="98">
        <f t="shared" si="27"/>
        <v>0.18558890519189994</v>
      </c>
      <c r="AG83" s="98">
        <f t="shared" si="28"/>
        <v>0.89092711435749306</v>
      </c>
      <c r="AH83" s="98">
        <f t="shared" si="14"/>
        <v>1.076516019549393</v>
      </c>
      <c r="AI83" s="97">
        <f t="shared" si="29"/>
        <v>269.12900488734829</v>
      </c>
      <c r="AJ83" s="97">
        <f t="shared" si="30"/>
        <v>92.794452595949963</v>
      </c>
      <c r="AK83" s="97">
        <f t="shared" si="31"/>
        <v>445.46355717874656</v>
      </c>
      <c r="AM83" s="54">
        <v>14.949144377026203</v>
      </c>
      <c r="AN83" s="54">
        <v>69.930767450326911</v>
      </c>
      <c r="AP83" s="97">
        <f ca="1">AD83*AJ83/(AJ83+AK83)*2.71828^(-0.69315/半Cs134*(NOW()-R83)/365.25)+AD83*AK83/(AJ83+AK83)*2.71828^(-0.69315/半Cs137*(NOW()-R83)/365.25)</f>
        <v>55.1171617258384</v>
      </c>
    </row>
    <row r="84" spans="1:42" ht="9.9499999999999993" customHeight="1" x14ac:dyDescent="0.15">
      <c r="A84" s="9"/>
      <c r="R84" s="116">
        <v>42475</v>
      </c>
      <c r="S84" s="194">
        <f t="shared" si="32"/>
        <v>12.243821941116702</v>
      </c>
      <c r="T84" s="194">
        <f t="shared" si="33"/>
        <v>89.284691823692441</v>
      </c>
      <c r="U84" s="184">
        <f t="shared" si="17"/>
        <v>101.52851376480915</v>
      </c>
      <c r="V84" s="183">
        <f t="shared" si="21"/>
        <v>2.0026830983178519</v>
      </c>
      <c r="W84" s="183">
        <f t="shared" si="22"/>
        <v>14.604013690640018</v>
      </c>
      <c r="X84" s="344">
        <f t="shared" si="20"/>
        <v>16.606696788957869</v>
      </c>
      <c r="Y84" s="345">
        <f t="shared" si="23"/>
        <v>1746.1190670895824</v>
      </c>
      <c r="Z84" s="339">
        <f t="shared" si="24"/>
        <v>87.305953354479129</v>
      </c>
      <c r="AA84" s="109">
        <f t="shared" si="11"/>
        <v>8.8640436869000201</v>
      </c>
      <c r="AB84" s="109">
        <f t="shared" si="25"/>
        <v>226.99547872164572</v>
      </c>
      <c r="AC84" s="109">
        <f t="shared" si="12"/>
        <v>3.7696450875947085</v>
      </c>
      <c r="AD84" s="132">
        <f t="shared" si="13"/>
        <v>126.33688774494729</v>
      </c>
      <c r="AE84" s="123">
        <f t="shared" si="26"/>
        <v>1.4321879686180307E-70</v>
      </c>
      <c r="AF84" s="98">
        <f t="shared" si="27"/>
        <v>0.18036877711546054</v>
      </c>
      <c r="AG84" s="98">
        <f t="shared" si="28"/>
        <v>0.88918577912097607</v>
      </c>
      <c r="AH84" s="98">
        <f t="shared" si="14"/>
        <v>1.0695545562364366</v>
      </c>
      <c r="AI84" s="97">
        <f t="shared" si="29"/>
        <v>267.38863905910915</v>
      </c>
      <c r="AJ84" s="97">
        <f t="shared" si="30"/>
        <v>90.184388557730273</v>
      </c>
      <c r="AK84" s="97">
        <f t="shared" si="31"/>
        <v>444.59288956048806</v>
      </c>
      <c r="AM84" s="54">
        <v>26.617004219818917</v>
      </c>
      <c r="AN84" s="54">
        <v>125.68411828929283</v>
      </c>
      <c r="AP84" s="97">
        <f ca="1">AD84*AJ84/(AJ84+AK84)*2.71828^(-0.69315/半Cs134*(NOW()-R84)/365.25)+AD84*AK84/(AJ84+AK84)*2.71828^(-0.69315/半Cs137*(NOW()-R84)/365.25)</f>
        <v>102.69370783619559</v>
      </c>
    </row>
    <row r="85" spans="1:42" ht="9.9499999999999993" customHeight="1" x14ac:dyDescent="0.15">
      <c r="A85" s="9"/>
      <c r="R85" s="116">
        <v>42505</v>
      </c>
      <c r="S85" s="194">
        <f t="shared" si="32"/>
        <v>18.115508838317258</v>
      </c>
      <c r="T85" s="194">
        <f t="shared" si="33"/>
        <v>133.21034102396089</v>
      </c>
      <c r="U85" s="184">
        <f t="shared" si="17"/>
        <v>151.32584986227815</v>
      </c>
      <c r="V85" s="183">
        <f t="shared" si="21"/>
        <v>2.9630962899005326</v>
      </c>
      <c r="W85" s="183">
        <f t="shared" si="22"/>
        <v>21.788792729332364</v>
      </c>
      <c r="X85" s="344">
        <f t="shared" si="20"/>
        <v>24.751889019232898</v>
      </c>
      <c r="Y85" s="345">
        <f t="shared" si="23"/>
        <v>1961.988831965293</v>
      </c>
      <c r="Z85" s="339">
        <f t="shared" si="24"/>
        <v>98.099441598264661</v>
      </c>
      <c r="AA85" s="109">
        <f t="shared" si="11"/>
        <v>14.844981370872322</v>
      </c>
      <c r="AB85" s="109">
        <f t="shared" si="25"/>
        <v>255.0585481554881</v>
      </c>
      <c r="AC85" s="109">
        <f t="shared" si="12"/>
        <v>6.3131808773513116</v>
      </c>
      <c r="AD85" s="132">
        <f t="shared" si="13"/>
        <v>211.58162248223633</v>
      </c>
      <c r="AE85" s="123">
        <f t="shared" si="26"/>
        <v>1.0717394589603265E-71</v>
      </c>
      <c r="AF85" s="98">
        <f t="shared" si="27"/>
        <v>0.17545688313079261</v>
      </c>
      <c r="AG85" s="98">
        <f t="shared" si="28"/>
        <v>0.88750385661878872</v>
      </c>
      <c r="AH85" s="98">
        <f t="shared" si="14"/>
        <v>1.0629607397495813</v>
      </c>
      <c r="AI85" s="97">
        <f t="shared" si="29"/>
        <v>265.74018493739533</v>
      </c>
      <c r="AJ85" s="97">
        <f t="shared" si="30"/>
        <v>87.728441565396309</v>
      </c>
      <c r="AK85" s="97">
        <f t="shared" si="31"/>
        <v>443.75192830939437</v>
      </c>
      <c r="AM85" s="54">
        <v>39.381540952863595</v>
      </c>
      <c r="AN85" s="54">
        <v>187.51729906480782</v>
      </c>
      <c r="AP85" s="97">
        <f ca="1">AD85*AJ85/(AJ85+AK85)*2.71828^(-0.69315/半Cs134*(NOW()-R85)/365.25)+AD85*AK85/(AJ85+AK85)*2.71828^(-0.69315/半Cs137*(NOW()-R85)/365.25)</f>
        <v>173.05227843869929</v>
      </c>
    </row>
    <row r="86" spans="1:42" ht="9.9499999999999993" customHeight="1" x14ac:dyDescent="0.15">
      <c r="A86" s="9"/>
      <c r="R86" s="116">
        <v>42536</v>
      </c>
      <c r="S86" s="194">
        <f t="shared" si="32"/>
        <v>19.20613058152966</v>
      </c>
      <c r="T86" s="194">
        <f t="shared" si="33"/>
        <v>142.37161332208308</v>
      </c>
      <c r="U86" s="184">
        <f t="shared" si="17"/>
        <v>161.57774390361274</v>
      </c>
      <c r="V86" s="183">
        <f t="shared" si="21"/>
        <v>3.1414858272764921</v>
      </c>
      <c r="W86" s="183">
        <f t="shared" si="22"/>
        <v>23.287272965223764</v>
      </c>
      <c r="X86" s="344">
        <f t="shared" si="20"/>
        <v>26.428758792500254</v>
      </c>
      <c r="Y86" s="345">
        <f t="shared" si="23"/>
        <v>1925.3982748451397</v>
      </c>
      <c r="Z86" s="339">
        <f t="shared" si="24"/>
        <v>96.269913742256989</v>
      </c>
      <c r="AA86" s="109">
        <f t="shared" si="11"/>
        <v>15.55507546826929</v>
      </c>
      <c r="AB86" s="109">
        <f t="shared" si="25"/>
        <v>250.30177572986815</v>
      </c>
      <c r="AC86" s="109">
        <f t="shared" si="12"/>
        <v>6.6151652560991794</v>
      </c>
      <c r="AD86" s="132">
        <f t="shared" si="13"/>
        <v>221.70240724368469</v>
      </c>
      <c r="AE86" s="123">
        <f t="shared" si="26"/>
        <v>7.3561073838270948E-73</v>
      </c>
      <c r="AF86" s="98">
        <f t="shared" si="27"/>
        <v>0.17052174220257513</v>
      </c>
      <c r="AG86" s="98">
        <f t="shared" si="28"/>
        <v>0.88576921220942018</v>
      </c>
      <c r="AH86" s="98">
        <f t="shared" si="14"/>
        <v>1.0562909544119954</v>
      </c>
      <c r="AI86" s="97">
        <f t="shared" si="29"/>
        <v>264.07273860299881</v>
      </c>
      <c r="AJ86" s="97">
        <f t="shared" si="30"/>
        <v>85.260871101287563</v>
      </c>
      <c r="AK86" s="97">
        <f t="shared" si="31"/>
        <v>442.88460610471009</v>
      </c>
      <c r="AM86" s="54">
        <v>41.752457785934048</v>
      </c>
      <c r="AN86" s="54">
        <v>200.41342277514434</v>
      </c>
      <c r="AP86" s="97">
        <f ca="1">AD86*AJ86/(AJ86+AK86)*2.71828^(-0.69315/半Cs134*(NOW()-R86)/365.25)+AD86*AK86/(AJ86+AK86)*2.71828^(-0.69315/半Cs137*(NOW()-R86)/365.25)</f>
        <v>182.47503296291953</v>
      </c>
    </row>
    <row r="87" spans="1:42" ht="9.9499999999999993" customHeight="1" x14ac:dyDescent="0.15">
      <c r="A87" s="9"/>
      <c r="R87" s="116">
        <v>42566</v>
      </c>
      <c r="S87" s="194">
        <f t="shared" si="32"/>
        <v>17.977721771492487</v>
      </c>
      <c r="T87" s="194">
        <f t="shared" si="33"/>
        <v>134.22111808245339</v>
      </c>
      <c r="U87" s="184">
        <f t="shared" si="17"/>
        <v>152.19883985394588</v>
      </c>
      <c r="V87" s="183">
        <f t="shared" si="21"/>
        <v>2.9405588966565079</v>
      </c>
      <c r="W87" s="183">
        <f t="shared" si="22"/>
        <v>21.954122325021153</v>
      </c>
      <c r="X87" s="344">
        <f t="shared" si="20"/>
        <v>24.894681221677661</v>
      </c>
      <c r="Y87" s="345">
        <f t="shared" si="23"/>
        <v>2048.4678935640973</v>
      </c>
      <c r="Z87" s="339">
        <f t="shared" si="24"/>
        <v>102.42339467820487</v>
      </c>
      <c r="AA87" s="109">
        <f t="shared" si="11"/>
        <v>15.588721843925596</v>
      </c>
      <c r="AB87" s="109">
        <f t="shared" si="25"/>
        <v>266.30082616333266</v>
      </c>
      <c r="AC87" s="109">
        <f t="shared" si="12"/>
        <v>6.6294741764055649</v>
      </c>
      <c r="AD87" s="132">
        <f t="shared" si="13"/>
        <v>222.1819602033116</v>
      </c>
      <c r="AE87" s="123">
        <f t="shared" si="26"/>
        <v>5.5047456900535746E-74</v>
      </c>
      <c r="AF87" s="98">
        <f t="shared" si="27"/>
        <v>0.1658780076650628</v>
      </c>
      <c r="AG87" s="98">
        <f t="shared" si="28"/>
        <v>0.88409375224959885</v>
      </c>
      <c r="AH87" s="98">
        <f t="shared" si="14"/>
        <v>1.0499717599146616</v>
      </c>
      <c r="AI87" s="97">
        <f t="shared" si="29"/>
        <v>262.49293997866539</v>
      </c>
      <c r="AJ87" s="97">
        <f t="shared" si="30"/>
        <v>82.939003832531398</v>
      </c>
      <c r="AK87" s="97">
        <f t="shared" si="31"/>
        <v>442.04687612479944</v>
      </c>
      <c r="AM87" s="54">
        <v>39.082003851070617</v>
      </c>
      <c r="AN87" s="54">
        <v>188.94014794056511</v>
      </c>
      <c r="AP87" s="97">
        <f ca="1">AD87*AJ87/(AJ87+AK87)*2.71828^(-0.69315/半Cs134*(NOW()-R87)/365.25)+AD87*AK87/(AJ87+AK87)*2.71828^(-0.69315/半Cs137*(NOW()-R87)/365.25)</f>
        <v>183.97032618459357</v>
      </c>
    </row>
    <row r="88" spans="1:42" ht="9.9499999999999993" customHeight="1" x14ac:dyDescent="0.15">
      <c r="A88" s="9"/>
      <c r="R88" s="116">
        <v>42597</v>
      </c>
      <c r="S88" s="194">
        <f t="shared" si="32"/>
        <v>15.373896183414519</v>
      </c>
      <c r="T88" s="194">
        <f t="shared" si="33"/>
        <v>115.55520693803163</v>
      </c>
      <c r="U88" s="184">
        <f t="shared" si="17"/>
        <v>130.92910312144616</v>
      </c>
      <c r="V88" s="183">
        <f t="shared" si="21"/>
        <v>2.5146594086298402</v>
      </c>
      <c r="W88" s="183">
        <f t="shared" si="22"/>
        <v>18.900998476649761</v>
      </c>
      <c r="X88" s="344">
        <f t="shared" si="20"/>
        <v>21.4156578852796</v>
      </c>
      <c r="Y88" s="345">
        <f t="shared" si="23"/>
        <v>2077.2402597818054</v>
      </c>
      <c r="Z88" s="339">
        <f t="shared" si="24"/>
        <v>103.86201298909027</v>
      </c>
      <c r="AA88" s="109">
        <f t="shared" si="11"/>
        <v>13.598560209049582</v>
      </c>
      <c r="AB88" s="109">
        <f t="shared" si="25"/>
        <v>270.04123377163472</v>
      </c>
      <c r="AC88" s="109">
        <f t="shared" si="12"/>
        <v>5.7831106773721412</v>
      </c>
      <c r="AD88" s="132">
        <f t="shared" si="13"/>
        <v>193.81670886421722</v>
      </c>
      <c r="AE88" s="123">
        <f t="shared" si="26"/>
        <v>3.7782970551421681E-75</v>
      </c>
      <c r="AF88" s="98">
        <f t="shared" si="27"/>
        <v>0.16121229532530362</v>
      </c>
      <c r="AG88" s="98">
        <f t="shared" si="28"/>
        <v>0.88236577295884966</v>
      </c>
      <c r="AH88" s="98">
        <f t="shared" si="14"/>
        <v>1.0435780682841533</v>
      </c>
      <c r="AI88" s="97">
        <f t="shared" si="29"/>
        <v>260.89451707103831</v>
      </c>
      <c r="AJ88" s="97">
        <f t="shared" si="30"/>
        <v>80.606147662651807</v>
      </c>
      <c r="AK88" s="97">
        <f t="shared" si="31"/>
        <v>441.18288647942484</v>
      </c>
      <c r="AM88" s="54">
        <v>33.421513442205473</v>
      </c>
      <c r="AN88" s="54">
        <v>162.6645508999714</v>
      </c>
      <c r="AP88" s="97">
        <f ca="1">AD88*AJ88/(AJ88+AK88)*2.71828^(-0.69315/半Cs134*(NOW()-R88)/365.25)+AD88*AK88/(AJ88+AK88)*2.71828^(-0.69315/半Cs137*(NOW()-R88)/365.25)</f>
        <v>161.46666453724615</v>
      </c>
    </row>
    <row r="89" spans="1:42" ht="9.9499999999999993" customHeight="1" x14ac:dyDescent="0.15">
      <c r="A89" s="9"/>
      <c r="R89" s="116">
        <v>42628</v>
      </c>
      <c r="S89" s="194">
        <f t="shared" si="32"/>
        <v>14.136035445145264</v>
      </c>
      <c r="T89" s="194">
        <f t="shared" si="33"/>
        <v>106.91416681402139</v>
      </c>
      <c r="U89" s="184">
        <f t="shared" si="17"/>
        <v>121.05020225916665</v>
      </c>
      <c r="V89" s="183">
        <f t="shared" si="21"/>
        <v>2.3121864561052634</v>
      </c>
      <c r="W89" s="183">
        <f t="shared" si="22"/>
        <v>17.487610966486137</v>
      </c>
      <c r="X89" s="344">
        <f t="shared" si="20"/>
        <v>19.7997974225914</v>
      </c>
      <c r="Y89" s="345">
        <f t="shared" si="23"/>
        <v>1926.1100535760713</v>
      </c>
      <c r="Z89" s="339">
        <f t="shared" si="24"/>
        <v>96.305502678803578</v>
      </c>
      <c r="AA89" s="109">
        <f t="shared" si="11"/>
        <v>11.657800577939888</v>
      </c>
      <c r="AB89" s="109">
        <f t="shared" si="25"/>
        <v>250.39430696488927</v>
      </c>
      <c r="AC89" s="109">
        <f t="shared" si="12"/>
        <v>4.9577565536749741</v>
      </c>
      <c r="AD89" s="132">
        <f t="shared" si="13"/>
        <v>166.15557131614864</v>
      </c>
      <c r="AE89" s="123">
        <f t="shared" si="26"/>
        <v>2.5933130140215856E-76</v>
      </c>
      <c r="AF89" s="98">
        <f t="shared" si="27"/>
        <v>0.15667781720968191</v>
      </c>
      <c r="AG89" s="98">
        <f t="shared" si="28"/>
        <v>0.88064117103890704</v>
      </c>
      <c r="AH89" s="98">
        <f t="shared" si="14"/>
        <v>1.0373189882485889</v>
      </c>
      <c r="AI89" s="97">
        <f t="shared" si="29"/>
        <v>259.32974706214725</v>
      </c>
      <c r="AJ89" s="97">
        <f t="shared" si="30"/>
        <v>78.338908604840952</v>
      </c>
      <c r="AK89" s="97">
        <f t="shared" si="31"/>
        <v>440.32058551945352</v>
      </c>
      <c r="AM89" s="54">
        <v>30.730511837272314</v>
      </c>
      <c r="AN89" s="54">
        <v>150.50074670346703</v>
      </c>
      <c r="AP89" s="97">
        <f ca="1">AD89*AJ89/(AJ89+AK89)*2.71828^(-0.69315/半Cs134*(NOW()-R89)/365.25)+AD89*AK89/(AJ89+AK89)*2.71828^(-0.69315/半Cs137*(NOW()-R89)/365.25)</f>
        <v>139.25768878731682</v>
      </c>
    </row>
    <row r="90" spans="1:42" ht="9.9499999999999993" customHeight="1" x14ac:dyDescent="0.15">
      <c r="A90" s="9"/>
      <c r="R90" s="116">
        <v>42658</v>
      </c>
      <c r="S90" s="194">
        <f t="shared" si="32"/>
        <v>12.897657798246739</v>
      </c>
      <c r="T90" s="194">
        <f t="shared" si="33"/>
        <v>98.06537895802397</v>
      </c>
      <c r="U90" s="184">
        <f t="shared" si="17"/>
        <v>110.96303675627071</v>
      </c>
      <c r="V90" s="183">
        <f t="shared" si="21"/>
        <v>2.1096289544766407</v>
      </c>
      <c r="W90" s="183">
        <f t="shared" si="22"/>
        <v>16.040242819102737</v>
      </c>
      <c r="X90" s="344">
        <f t="shared" si="20"/>
        <v>18.149871773579378</v>
      </c>
      <c r="Y90" s="345">
        <f t="shared" si="23"/>
        <v>1981.8453154523022</v>
      </c>
      <c r="Z90" s="339">
        <f t="shared" si="24"/>
        <v>99.092265772615121</v>
      </c>
      <c r="AA90" s="109">
        <f t="shared" si="11"/>
        <v>10.995578729188837</v>
      </c>
      <c r="AB90" s="109">
        <f t="shared" si="25"/>
        <v>257.63989100879928</v>
      </c>
      <c r="AC90" s="109">
        <f t="shared" si="12"/>
        <v>4.6761309855686735</v>
      </c>
      <c r="AD90" s="132">
        <f t="shared" si="13"/>
        <v>156.71709714757512</v>
      </c>
      <c r="AE90" s="123">
        <f t="shared" si="26"/>
        <v>1.940636248497582E-77</v>
      </c>
      <c r="AF90" s="98">
        <f t="shared" si="27"/>
        <v>0.15241108745639148</v>
      </c>
      <c r="AG90" s="98">
        <f t="shared" si="28"/>
        <v>0.8789754109281378</v>
      </c>
      <c r="AH90" s="98">
        <f t="shared" si="14"/>
        <v>1.0313864983845293</v>
      </c>
      <c r="AI90" s="97">
        <f t="shared" si="29"/>
        <v>257.8466245961323</v>
      </c>
      <c r="AJ90" s="97">
        <f t="shared" si="30"/>
        <v>76.205543728195735</v>
      </c>
      <c r="AK90" s="97">
        <f t="shared" si="31"/>
        <v>439.48770546406888</v>
      </c>
      <c r="AM90" s="54">
        <v>28.038386517927691</v>
      </c>
      <c r="AN90" s="54">
        <v>138.04450054420192</v>
      </c>
      <c r="AP90" s="97">
        <f ca="1">AD90*AJ90/(AJ90+AK90)*2.71828^(-0.69315/半Cs134*(NOW()-R90)/365.25)+AD90*AK90/(AJ90+AK90)*2.71828^(-0.69315/半Cs137*(NOW()-R90)/365.25)</f>
        <v>132.10265300009584</v>
      </c>
    </row>
    <row r="91" spans="1:42" ht="9.9499999999999993" customHeight="1" x14ac:dyDescent="0.15">
      <c r="A91" s="9"/>
      <c r="R91" s="116">
        <v>42689</v>
      </c>
      <c r="S91" s="194">
        <f t="shared" si="32"/>
        <v>10.659573101200355</v>
      </c>
      <c r="T91" s="194">
        <f t="shared" si="33"/>
        <v>81.454163577288327</v>
      </c>
      <c r="U91" s="184">
        <f t="shared" si="17"/>
        <v>92.113736678488678</v>
      </c>
      <c r="V91" s="183">
        <f t="shared" si="21"/>
        <v>1.7435525432927466</v>
      </c>
      <c r="W91" s="183">
        <f t="shared" si="22"/>
        <v>13.32319903608259</v>
      </c>
      <c r="X91" s="344">
        <f t="shared" si="20"/>
        <v>15.066751579375337</v>
      </c>
      <c r="Y91" s="345">
        <f t="shared" si="23"/>
        <v>1792.6949151346919</v>
      </c>
      <c r="Z91" s="339">
        <f t="shared" si="24"/>
        <v>89.634745756734603</v>
      </c>
      <c r="AA91" s="109">
        <f t="shared" si="11"/>
        <v>8.2565913678791318</v>
      </c>
      <c r="AB91" s="109">
        <f t="shared" si="25"/>
        <v>233.05033896750996</v>
      </c>
      <c r="AC91" s="109">
        <f t="shared" si="12"/>
        <v>3.5113115627126881</v>
      </c>
      <c r="AD91" s="132">
        <f t="shared" si="13"/>
        <v>117.67902930591819</v>
      </c>
      <c r="AE91" s="123">
        <f t="shared" si="26"/>
        <v>1.3319961785062935E-78</v>
      </c>
      <c r="AF91" s="98">
        <f t="shared" si="27"/>
        <v>0.14812416418385471</v>
      </c>
      <c r="AG91" s="98">
        <f t="shared" si="28"/>
        <v>0.8772574355400109</v>
      </c>
      <c r="AH91" s="98">
        <f t="shared" si="14"/>
        <v>1.0253815997238656</v>
      </c>
      <c r="AI91" s="97">
        <f t="shared" si="29"/>
        <v>256.34539993096638</v>
      </c>
      <c r="AJ91" s="97">
        <f t="shared" si="30"/>
        <v>74.062082091927351</v>
      </c>
      <c r="AK91" s="97">
        <f t="shared" si="31"/>
        <v>438.62871777000544</v>
      </c>
      <c r="AM91" s="54">
        <v>23.172985002609465</v>
      </c>
      <c r="AN91" s="54">
        <v>114.66125403018648</v>
      </c>
      <c r="AP91" s="97">
        <f ca="1">AD91*AJ91/(AJ91+AK91)*2.71828^(-0.69315/半Cs134*(NOW()-R91)/365.25)+AD91*AK91/(AJ91+AK91)*2.71828^(-0.69315/半Cs137*(NOW()-R91)/365.25)</f>
        <v>99.776935320928217</v>
      </c>
    </row>
    <row r="92" spans="1:42" ht="9.9499999999999993" customHeight="1" x14ac:dyDescent="0.15">
      <c r="A92" s="9"/>
      <c r="R92" s="116">
        <v>42719</v>
      </c>
      <c r="S92" s="194">
        <f t="shared" si="32"/>
        <v>7.804334988072557</v>
      </c>
      <c r="T92" s="194">
        <f t="shared" si="33"/>
        <v>59.883895127383624</v>
      </c>
      <c r="U92" s="184">
        <f t="shared" si="17"/>
        <v>67.688230115456179</v>
      </c>
      <c r="V92" s="183">
        <f t="shared" si="21"/>
        <v>1.2765303064181983</v>
      </c>
      <c r="W92" s="183">
        <f t="shared" si="22"/>
        <v>9.795018680426173</v>
      </c>
      <c r="X92" s="344">
        <f t="shared" si="20"/>
        <v>11.071548986844371</v>
      </c>
      <c r="Y92" s="345">
        <f t="shared" si="23"/>
        <v>1799.2373359978412</v>
      </c>
      <c r="Z92" s="339">
        <f t="shared" si="24"/>
        <v>89.961866799892064</v>
      </c>
      <c r="AA92" s="109">
        <f t="shared" si="11"/>
        <v>6.089359541567112</v>
      </c>
      <c r="AB92" s="109">
        <f t="shared" si="25"/>
        <v>233.90085367971938</v>
      </c>
      <c r="AC92" s="109">
        <f t="shared" si="12"/>
        <v>2.5896447595797309</v>
      </c>
      <c r="AD92" s="132">
        <f t="shared" si="13"/>
        <v>86.790043011468441</v>
      </c>
      <c r="AE92" s="123">
        <f t="shared" si="26"/>
        <v>9.9676361969931463E-80</v>
      </c>
      <c r="AF92" s="98">
        <f t="shared" si="27"/>
        <v>0.14409037184643203</v>
      </c>
      <c r="AG92" s="98">
        <f t="shared" si="28"/>
        <v>0.8755980758699714</v>
      </c>
      <c r="AH92" s="98">
        <f t="shared" si="14"/>
        <v>1.0196884477164034</v>
      </c>
      <c r="AI92" s="97">
        <f t="shared" si="29"/>
        <v>254.92211192910085</v>
      </c>
      <c r="AJ92" s="97">
        <f t="shared" si="30"/>
        <v>72.04518592321601</v>
      </c>
      <c r="AK92" s="97">
        <f t="shared" si="31"/>
        <v>437.79903793498568</v>
      </c>
      <c r="AM92" s="54">
        <v>16.965945626244689</v>
      </c>
      <c r="AN92" s="54">
        <v>84.297256395037266</v>
      </c>
      <c r="AP92" s="97">
        <f ca="1">AD92*AJ92/(AJ92+AK92)*2.71828^(-0.69315/半Cs134*(NOW()-R92)/365.25)+AD92*AK92/(AJ92+AK92)*2.71828^(-0.69315/半Cs137*(NOW()-R92)/365.25)</f>
        <v>73.997833937691766</v>
      </c>
    </row>
    <row r="93" spans="1:42" ht="9.9499999999999993" customHeight="1" x14ac:dyDescent="0.15">
      <c r="A93" s="9"/>
      <c r="R93" s="116">
        <v>42750</v>
      </c>
      <c r="S93" s="194">
        <f t="shared" si="32"/>
        <v>6.9942027888611022</v>
      </c>
      <c r="T93" s="194">
        <f t="shared" si="33"/>
        <v>53.884242640173824</v>
      </c>
      <c r="U93" s="184">
        <f t="shared" si="17"/>
        <v>60.878445429034926</v>
      </c>
      <c r="V93" s="183">
        <f t="shared" si="21"/>
        <v>1.1440195536020825</v>
      </c>
      <c r="W93" s="183">
        <f t="shared" si="22"/>
        <v>8.813674563393068</v>
      </c>
      <c r="X93" s="344">
        <f t="shared" si="20"/>
        <v>9.9576941169951496</v>
      </c>
      <c r="Y93" s="345">
        <f t="shared" si="23"/>
        <v>1648.5540255565254</v>
      </c>
      <c r="Z93" s="339">
        <f t="shared" si="24"/>
        <v>82.427701277826273</v>
      </c>
      <c r="AA93" s="109">
        <f t="shared" si="11"/>
        <v>5.018070314082939</v>
      </c>
      <c r="AB93" s="109">
        <f t="shared" si="25"/>
        <v>214.3120233223483</v>
      </c>
      <c r="AC93" s="109">
        <f t="shared" si="12"/>
        <v>2.1340535738382749</v>
      </c>
      <c r="AD93" s="132">
        <f t="shared" si="13"/>
        <v>71.521238879212135</v>
      </c>
      <c r="AE93" s="123">
        <f t="shared" si="26"/>
        <v>6.8414950681329591E-81</v>
      </c>
      <c r="AF93" s="98">
        <f t="shared" si="27"/>
        <v>0.1400374884327257</v>
      </c>
      <c r="AG93" s="98">
        <f t="shared" si="28"/>
        <v>0.87388670155217618</v>
      </c>
      <c r="AH93" s="98">
        <f t="shared" si="14"/>
        <v>1.0139241899849019</v>
      </c>
      <c r="AI93" s="97">
        <f t="shared" si="29"/>
        <v>253.48104749622547</v>
      </c>
      <c r="AJ93" s="97">
        <f t="shared" si="30"/>
        <v>70.018744216362848</v>
      </c>
      <c r="AK93" s="97">
        <f t="shared" si="31"/>
        <v>436.9433507760881</v>
      </c>
      <c r="AM93" s="54">
        <v>15.204788671437178</v>
      </c>
      <c r="AN93" s="54">
        <v>75.851676111396415</v>
      </c>
      <c r="AP93" s="97">
        <f ca="1">AD93*AJ93/(AJ93+AK93)*2.71828^(-0.69315/半Cs134*(NOW()-R93)/365.25)+AD93*AK93/(AJ93+AK93)*2.71828^(-0.69315/半Cs137*(NOW()-R93)/365.25)</f>
        <v>61.32621297829332</v>
      </c>
    </row>
    <row r="94" spans="1:42" ht="9.9499999999999993" customHeight="1" x14ac:dyDescent="0.15">
      <c r="A94" s="9"/>
      <c r="R94" s="116">
        <v>42781</v>
      </c>
      <c r="S94" s="194">
        <f t="shared" si="32"/>
        <v>6.3419098581509958</v>
      </c>
      <c r="T94" s="194">
        <f t="shared" si="33"/>
        <v>49.031236408955095</v>
      </c>
      <c r="U94" s="184">
        <f t="shared" si="17"/>
        <v>55.373146267106094</v>
      </c>
      <c r="V94" s="183">
        <f t="shared" si="21"/>
        <v>1.0373260690212212</v>
      </c>
      <c r="W94" s="183">
        <f t="shared" si="22"/>
        <v>8.019883735493579</v>
      </c>
      <c r="X94" s="344">
        <f t="shared" si="20"/>
        <v>9.0572098045148</v>
      </c>
      <c r="Y94" s="345">
        <f t="shared" si="23"/>
        <v>1410.6339569142071</v>
      </c>
      <c r="Z94" s="339">
        <f t="shared" si="24"/>
        <v>70.531697845710354</v>
      </c>
      <c r="AA94" s="109">
        <f t="shared" si="11"/>
        <v>3.9055620212778512</v>
      </c>
      <c r="AB94" s="109">
        <f t="shared" si="25"/>
        <v>183.38241439884695</v>
      </c>
      <c r="AC94" s="109">
        <f t="shared" si="12"/>
        <v>1.6609330016688324</v>
      </c>
      <c r="AD94" s="132">
        <f t="shared" si="13"/>
        <v>55.664950229466832</v>
      </c>
      <c r="AE94" s="123">
        <f t="shared" si="26"/>
        <v>4.6958028806673868E-82</v>
      </c>
      <c r="AF94" s="98">
        <f t="shared" si="27"/>
        <v>0.13609860197630813</v>
      </c>
      <c r="AG94" s="98">
        <f t="shared" si="28"/>
        <v>0.87217867215042888</v>
      </c>
      <c r="AH94" s="98">
        <f t="shared" si="14"/>
        <v>1.008277274126737</v>
      </c>
      <c r="AI94" s="97">
        <f t="shared" si="29"/>
        <v>252.06931853168425</v>
      </c>
      <c r="AJ94" s="97">
        <f t="shared" si="30"/>
        <v>68.049300988154059</v>
      </c>
      <c r="AK94" s="97">
        <f t="shared" si="31"/>
        <v>436.08933607521442</v>
      </c>
      <c r="AM94" s="54">
        <v>13.786760561197816</v>
      </c>
      <c r="AN94" s="54">
        <v>69.020204816993456</v>
      </c>
      <c r="AP94" s="97">
        <f ca="1">AD94*AJ94/(AJ94+AK94)*2.71828^(-0.69315/半Cs134*(NOW()-R94)/365.25)+AD94*AK94/(AJ94+AK94)*2.71828^(-0.69315/半Cs137*(NOW()-R94)/365.25)</f>
        <v>47.997481431794334</v>
      </c>
    </row>
    <row r="95" spans="1:42" ht="9.9499999999999993" customHeight="1" x14ac:dyDescent="0.15">
      <c r="A95" s="9"/>
      <c r="R95" s="116">
        <v>42809</v>
      </c>
      <c r="S95" s="194">
        <f t="shared" si="32"/>
        <v>5.5291387076202438</v>
      </c>
      <c r="T95" s="194">
        <f t="shared" si="33"/>
        <v>42.865668104419058</v>
      </c>
      <c r="U95" s="184">
        <f t="shared" si="17"/>
        <v>48.394806812039299</v>
      </c>
      <c r="V95" s="183">
        <f t="shared" si="21"/>
        <v>0.90438367131269681</v>
      </c>
      <c r="W95" s="183">
        <f t="shared" si="22"/>
        <v>7.0114012947654016</v>
      </c>
      <c r="X95" s="344">
        <f t="shared" si="20"/>
        <v>7.9157849660780988</v>
      </c>
      <c r="Y95" s="345">
        <f t="shared" si="23"/>
        <v>1710.1581639847061</v>
      </c>
      <c r="Z95" s="339">
        <f t="shared" si="24"/>
        <v>85.507908199235317</v>
      </c>
      <c r="AA95" s="109">
        <f t="shared" si="11"/>
        <v>4.1381386982035844</v>
      </c>
      <c r="AB95" s="109">
        <f t="shared" si="25"/>
        <v>222.32056131801181</v>
      </c>
      <c r="AC95" s="109">
        <f t="shared" si="12"/>
        <v>1.7598417569311622</v>
      </c>
      <c r="AD95" s="132">
        <f t="shared" si="13"/>
        <v>58.979804551347463</v>
      </c>
      <c r="AE95" s="123">
        <f t="shared" si="26"/>
        <v>4.1769548188013801E-83</v>
      </c>
      <c r="AF95" s="98">
        <f t="shared" si="27"/>
        <v>0.13263621197460204</v>
      </c>
      <c r="AG95" s="98">
        <f t="shared" si="28"/>
        <v>0.87063880550500161</v>
      </c>
      <c r="AH95" s="98">
        <f t="shared" si="14"/>
        <v>1.0032750174796037</v>
      </c>
      <c r="AI95" s="97">
        <f t="shared" si="29"/>
        <v>250.81875436990092</v>
      </c>
      <c r="AJ95" s="97">
        <f t="shared" si="30"/>
        <v>66.318105987301024</v>
      </c>
      <c r="AK95" s="97">
        <f t="shared" si="31"/>
        <v>435.31940275250082</v>
      </c>
      <c r="AM95" s="54">
        <v>12.019866755696182</v>
      </c>
      <c r="AN95" s="54">
        <v>60.341068446805622</v>
      </c>
      <c r="AP95" s="97">
        <f ca="1">AD95*AJ95/(AJ95+AK95)*2.71828^(-0.69315/半Cs134*(NOW()-R95)/365.25)+AD95*AK95/(AJ95+AK95)*2.71828^(-0.69315/半Cs137*(NOW()-R95)/365.25)</f>
        <v>51.109300112068183</v>
      </c>
    </row>
    <row r="96" spans="1:42" ht="9.9499999999999993" customHeight="1" x14ac:dyDescent="0.15">
      <c r="A96" s="9"/>
      <c r="R96" s="116">
        <v>42840</v>
      </c>
      <c r="S96" s="194">
        <f t="shared" si="32"/>
        <v>9.9786479808740118</v>
      </c>
      <c r="T96" s="194">
        <f t="shared" si="33"/>
        <v>77.552240719031133</v>
      </c>
      <c r="U96" s="184">
        <f t="shared" si="17"/>
        <v>87.530888699905148</v>
      </c>
      <c r="V96" s="183">
        <f t="shared" si="21"/>
        <v>1.6321757823225327</v>
      </c>
      <c r="W96" s="183">
        <f t="shared" si="22"/>
        <v>12.684973897171508</v>
      </c>
      <c r="X96" s="344">
        <f t="shared" si="20"/>
        <v>14.31714967949404</v>
      </c>
      <c r="Y96" s="345">
        <f t="shared" si="23"/>
        <v>1731.9997197065838</v>
      </c>
      <c r="Z96" s="339">
        <f t="shared" si="24"/>
        <v>86.599985985329198</v>
      </c>
      <c r="AA96" s="109">
        <f t="shared" si="11"/>
        <v>7.5801737346951956</v>
      </c>
      <c r="AB96" s="109">
        <f t="shared" si="25"/>
        <v>225.1599635618559</v>
      </c>
      <c r="AC96" s="109">
        <f t="shared" si="12"/>
        <v>3.2236489001445152</v>
      </c>
      <c r="AD96" s="132">
        <f t="shared" si="13"/>
        <v>108.03822634839712</v>
      </c>
      <c r="AE96" s="123">
        <f t="shared" si="26"/>
        <v>2.8669400876874204E-84</v>
      </c>
      <c r="AF96" s="98">
        <f t="shared" si="27"/>
        <v>0.12890550397045017</v>
      </c>
      <c r="AG96" s="98">
        <f t="shared" si="28"/>
        <v>0.86893712418239621</v>
      </c>
      <c r="AH96" s="98">
        <f t="shared" si="14"/>
        <v>0.99784262815284641</v>
      </c>
      <c r="AI96" s="97">
        <f t="shared" si="29"/>
        <v>249.46065703821159</v>
      </c>
      <c r="AJ96" s="97">
        <f t="shared" si="30"/>
        <v>64.452751985225078</v>
      </c>
      <c r="AK96" s="97">
        <f t="shared" si="31"/>
        <v>434.46856209119812</v>
      </c>
      <c r="AM96" s="54">
        <v>21.692713001900024</v>
      </c>
      <c r="AN96" s="54">
        <v>109.16860210905661</v>
      </c>
      <c r="AP96" s="97">
        <f ca="1">AD96*AJ96/(AJ96+AK96)*2.71828^(-0.69315/半Cs134*(NOW()-R96)/365.25)+AD96*AK96/(AJ96+AK96)*2.71828^(-0.69315/半Cs137*(NOW()-R96)/365.25)</f>
        <v>94.130853253443732</v>
      </c>
    </row>
    <row r="97" spans="1:42" ht="9.9499999999999993" customHeight="1" x14ac:dyDescent="0.15">
      <c r="A97" s="9"/>
      <c r="R97" s="116">
        <v>42870</v>
      </c>
      <c r="S97" s="194">
        <f t="shared" si="32"/>
        <v>14.950287223123969</v>
      </c>
      <c r="T97" s="194">
        <f t="shared" si="33"/>
        <v>116.4322501103704</v>
      </c>
      <c r="U97" s="184">
        <f t="shared" ref="U97:U118" si="34">S97+T97</f>
        <v>131.38253733349438</v>
      </c>
      <c r="V97" s="183">
        <f t="shared" ref="V97:V119" si="35">S97/濃度比</f>
        <v>2.4453710353465783</v>
      </c>
      <c r="W97" s="183">
        <f t="shared" ref="W97:W119" si="36">T97/濃度比</f>
        <v>19.044453644993851</v>
      </c>
      <c r="X97" s="344">
        <f t="shared" ref="X97:X119" si="37">V97+W97</f>
        <v>21.48982468034043</v>
      </c>
      <c r="Y97" s="345">
        <f t="shared" ref="Y97:Y119" si="38">IF(MONTH(R97)&lt;=3,(INDEX(月値割合表,MATCH(MONTH(R97),月,0),2)*INDEX(年度別焼却量,MATCH(YEAR(R97)-1,年度,0),2)),(INDEX(月値割合表,MATCH(MONTH(R97),月,0),2)*INDEX(年度別焼却量,MATCH(YEAR(R97),年度,0),2)))</f>
        <v>1946.1239334012707</v>
      </c>
      <c r="Z97" s="339">
        <f t="shared" ref="Z97:Z119" si="39">Y97*飛灰発生率</f>
        <v>97.306196670063542</v>
      </c>
      <c r="AA97" s="109">
        <f t="shared" si="11"/>
        <v>12.784335016784969</v>
      </c>
      <c r="AB97" s="109">
        <f t="shared" ref="AB97:AB119" si="40">Y97*主灰発生率</f>
        <v>252.99611134216519</v>
      </c>
      <c r="AC97" s="109">
        <f t="shared" si="12"/>
        <v>5.4368420775510167</v>
      </c>
      <c r="AD97" s="132">
        <f t="shared" si="13"/>
        <v>182.21177094335985</v>
      </c>
      <c r="AE97" s="123">
        <f t="shared" ref="AE97:AE119" si="41">1*2.71828^(-0.69315/半I131*(R97-事故日)/365.25)</f>
        <v>2.14539773114732E-85</v>
      </c>
      <c r="AF97" s="98">
        <f t="shared" ref="AF97:AF119" si="42">1*2.71828^(-0.69315/半Cs134*(R97-事故日)/365.25)</f>
        <v>0.12539508393174401</v>
      </c>
      <c r="AG97" s="98">
        <f t="shared" ref="AG97:AG119" si="43">1*2.71828^(-0.69315/半Cs137*(R97-事故日)/365.25)</f>
        <v>0.86729350263955829</v>
      </c>
      <c r="AH97" s="98">
        <f t="shared" si="14"/>
        <v>0.99268858657130232</v>
      </c>
      <c r="AI97" s="97">
        <f t="shared" ref="AI97:AI119" si="44">250*2.71828^(-0.69315/半Cs134*(R97-事故日)/365.25)+250*2.71828^(-0.69315/半Cs137*(R97-事故日)/365.25)</f>
        <v>248.17214664282557</v>
      </c>
      <c r="AJ97" s="97">
        <f t="shared" ref="AJ97:AJ119" si="45">500*2.71828^(-0.69315/半Cs134*(R97-事故日)/365.25)</f>
        <v>62.697541965872006</v>
      </c>
      <c r="AK97" s="97">
        <f t="shared" ref="AK97:AK119" si="46">500*2.71828^(-0.69315/半Cs137*(R97-事故日)/365.25)</f>
        <v>433.64675131977913</v>
      </c>
      <c r="AM97" s="54">
        <v>32.500624398095582</v>
      </c>
      <c r="AN97" s="54">
        <v>163.89914549357442</v>
      </c>
      <c r="AP97" s="97">
        <f ca="1">AD97*AJ97/(AJ97+AK97)*2.71828^(-0.69315/半Cs134*(NOW()-R97)/365.25)+AD97*AK97/(AJ97+AK97)*2.71828^(-0.69315/半Cs137*(NOW()-R97)/365.25)</f>
        <v>159.58056680363222</v>
      </c>
    </row>
    <row r="98" spans="1:42" ht="9.9499999999999993" customHeight="1" x14ac:dyDescent="0.15">
      <c r="A98" s="9"/>
      <c r="R98" s="116">
        <v>42901</v>
      </c>
      <c r="S98" s="194">
        <f t="shared" si="32"/>
        <v>16.050534408509495</v>
      </c>
      <c r="T98" s="194">
        <f t="shared" si="33"/>
        <v>125.25552146049097</v>
      </c>
      <c r="U98" s="184">
        <f t="shared" si="34"/>
        <v>141.30605586900046</v>
      </c>
      <c r="V98" s="183">
        <f t="shared" si="35"/>
        <v>2.6253349757518092</v>
      </c>
      <c r="W98" s="183">
        <f t="shared" si="36"/>
        <v>20.487648138489316</v>
      </c>
      <c r="X98" s="344">
        <f t="shared" si="37"/>
        <v>23.112983114241125</v>
      </c>
      <c r="Y98" s="345">
        <f t="shared" si="38"/>
        <v>1909.829252316523</v>
      </c>
      <c r="Z98" s="339">
        <f t="shared" si="39"/>
        <v>95.491462615826151</v>
      </c>
      <c r="AA98" s="109">
        <f t="shared" ref="AA98:AA119" si="47">(Z98*U98)/10^3</f>
        <v>13.493521951404498</v>
      </c>
      <c r="AB98" s="109">
        <f t="shared" si="40"/>
        <v>248.277802801148</v>
      </c>
      <c r="AC98" s="109">
        <f t="shared" ref="AC98:AC119" si="48">(AB98*X98)/10^3</f>
        <v>5.7384406637838223</v>
      </c>
      <c r="AD98" s="132">
        <f t="shared" ref="AD98:AD119" si="49">(AA98+AC98)*10</f>
        <v>192.3196261518832</v>
      </c>
      <c r="AE98" s="123">
        <f t="shared" si="41"/>
        <v>1.472538494257577E-86</v>
      </c>
      <c r="AF98" s="98">
        <f t="shared" si="42"/>
        <v>0.12186804982589187</v>
      </c>
      <c r="AG98" s="98">
        <f t="shared" si="43"/>
        <v>0.86559835977970978</v>
      </c>
      <c r="AH98" s="98">
        <f t="shared" ref="AH98:AH119" si="50">AF98+AG98</f>
        <v>0.98746640960560161</v>
      </c>
      <c r="AI98" s="97">
        <f t="shared" si="44"/>
        <v>246.8666024014004</v>
      </c>
      <c r="AJ98" s="97">
        <f t="shared" si="45"/>
        <v>60.934024912945937</v>
      </c>
      <c r="AK98" s="97">
        <f t="shared" si="46"/>
        <v>432.79917988985488</v>
      </c>
      <c r="AM98" s="54">
        <v>34.892466105455419</v>
      </c>
      <c r="AN98" s="54">
        <v>176.31947262262895</v>
      </c>
      <c r="AP98" s="97">
        <f ca="1">AD98*AJ98/(AJ98+AK98)*2.71828^(-0.69315/半Cs134*(NOW()-R98)/365.25)+AD98*AK98/(AJ98+AK98)*2.71828^(-0.69315/半Cs137*(NOW()-R98)/365.25)</f>
        <v>169.32374977365637</v>
      </c>
    </row>
    <row r="99" spans="1:42" ht="9.9499999999999993" customHeight="1" x14ac:dyDescent="0.15">
      <c r="A99" s="9"/>
      <c r="R99" s="116">
        <v>42931</v>
      </c>
      <c r="S99" s="194">
        <f t="shared" si="32"/>
        <v>15.193546815947673</v>
      </c>
      <c r="T99" s="194">
        <f t="shared" si="33"/>
        <v>118.76127366265872</v>
      </c>
      <c r="U99" s="184">
        <f t="shared" si="34"/>
        <v>133.95482047860639</v>
      </c>
      <c r="V99" s="183">
        <f t="shared" si="35"/>
        <v>2.4851602349441091</v>
      </c>
      <c r="W99" s="183">
        <f t="shared" si="36"/>
        <v>19.425404636129109</v>
      </c>
      <c r="X99" s="344">
        <f t="shared" si="37"/>
        <v>21.91056487107322</v>
      </c>
      <c r="Y99" s="345">
        <f t="shared" si="38"/>
        <v>2031.9037139859201</v>
      </c>
      <c r="Z99" s="339">
        <f t="shared" si="39"/>
        <v>101.59518569929601</v>
      </c>
      <c r="AA99" s="109">
        <f t="shared" si="47"/>
        <v>13.609164861839876</v>
      </c>
      <c r="AB99" s="109">
        <f t="shared" si="40"/>
        <v>264.14748281816964</v>
      </c>
      <c r="AC99" s="109">
        <f t="shared" si="48"/>
        <v>5.7876205578182045</v>
      </c>
      <c r="AD99" s="132">
        <f t="shared" si="49"/>
        <v>193.96785419658079</v>
      </c>
      <c r="AE99" s="123">
        <f t="shared" si="41"/>
        <v>1.1019346927322042E-87</v>
      </c>
      <c r="AF99" s="98">
        <f t="shared" si="42"/>
        <v>0.11854927730641186</v>
      </c>
      <c r="AG99" s="98">
        <f t="shared" si="43"/>
        <v>0.86396105361337716</v>
      </c>
      <c r="AH99" s="98">
        <f t="shared" si="50"/>
        <v>0.98251033091978901</v>
      </c>
      <c r="AI99" s="97">
        <f t="shared" si="44"/>
        <v>245.62758272994728</v>
      </c>
      <c r="AJ99" s="97">
        <f t="shared" si="45"/>
        <v>59.274638653205933</v>
      </c>
      <c r="AK99" s="97">
        <f t="shared" si="46"/>
        <v>431.9805268066886</v>
      </c>
      <c r="AM99" s="54">
        <v>33.029449599886242</v>
      </c>
      <c r="AN99" s="54">
        <v>167.17766128015941</v>
      </c>
      <c r="AP99" s="97">
        <f ca="1">AD99*AJ99/(AJ99+AK99)*2.71828^(-0.69315/半Cs134*(NOW()-R99)/365.25)+AD99*AK99/(AJ99+AK99)*2.71828^(-0.69315/半Cs137*(NOW()-R99)/365.25)</f>
        <v>171.63633744840925</v>
      </c>
    </row>
    <row r="100" spans="1:42" ht="9.9499999999999993" customHeight="1" x14ac:dyDescent="0.15">
      <c r="A100" s="9"/>
      <c r="R100" s="116">
        <v>42962</v>
      </c>
      <c r="S100" s="194">
        <f t="shared" si="32"/>
        <v>13.137848467393788</v>
      </c>
      <c r="T100" s="194">
        <f t="shared" si="33"/>
        <v>102.83496043888398</v>
      </c>
      <c r="U100" s="184">
        <f t="shared" si="34"/>
        <v>115.97280890627778</v>
      </c>
      <c r="V100" s="183">
        <f t="shared" si="35"/>
        <v>2.148916179967816</v>
      </c>
      <c r="W100" s="183">
        <f t="shared" si="36"/>
        <v>16.820388125340095</v>
      </c>
      <c r="X100" s="344">
        <f t="shared" si="37"/>
        <v>18.969304305307912</v>
      </c>
      <c r="Y100" s="345">
        <f t="shared" si="38"/>
        <v>2060.4434230834381</v>
      </c>
      <c r="Z100" s="339">
        <f t="shared" si="39"/>
        <v>103.02217115417191</v>
      </c>
      <c r="AA100" s="109">
        <f t="shared" si="47"/>
        <v>11.947770568372622</v>
      </c>
      <c r="AB100" s="109">
        <f t="shared" si="40"/>
        <v>267.85764500084696</v>
      </c>
      <c r="AC100" s="109">
        <f t="shared" si="48"/>
        <v>5.0810731785242043</v>
      </c>
      <c r="AD100" s="132">
        <f t="shared" si="49"/>
        <v>170.28843746896825</v>
      </c>
      <c r="AE100" s="123">
        <f t="shared" si="41"/>
        <v>7.5633586707407704E-89</v>
      </c>
      <c r="AF100" s="98">
        <f t="shared" si="42"/>
        <v>0.11521479774649998</v>
      </c>
      <c r="AG100" s="98">
        <f t="shared" si="43"/>
        <v>0.86227242409319449</v>
      </c>
      <c r="AH100" s="98">
        <f t="shared" si="50"/>
        <v>0.9774872218396945</v>
      </c>
      <c r="AI100" s="97">
        <f t="shared" si="44"/>
        <v>244.37180545992362</v>
      </c>
      <c r="AJ100" s="97">
        <f t="shared" si="45"/>
        <v>57.607398873249991</v>
      </c>
      <c r="AK100" s="97">
        <f t="shared" si="46"/>
        <v>431.13621204659722</v>
      </c>
      <c r="AM100" s="54">
        <v>28.560540146508234</v>
      </c>
      <c r="AN100" s="54">
        <v>144.75853663243265</v>
      </c>
      <c r="AP100" s="97">
        <f ca="1">AD100*AJ100/(AJ100+AK100)*2.71828^(-0.69315/半Cs134*(NOW()-R100)/365.25)+AD100*AK100/(AJ100+AK100)*2.71828^(-0.69315/半Cs137*(NOW()-R100)/365.25)</f>
        <v>151.45746181661735</v>
      </c>
    </row>
    <row r="101" spans="1:42" ht="9.9499999999999993" customHeight="1" x14ac:dyDescent="0.15">
      <c r="A101" s="9"/>
      <c r="R101" s="116">
        <v>42993</v>
      </c>
      <c r="S101" s="194">
        <f t="shared" si="32"/>
        <v>12.206458623601099</v>
      </c>
      <c r="T101" s="194">
        <f t="shared" si="33"/>
        <v>95.647659231485335</v>
      </c>
      <c r="U101" s="184">
        <f t="shared" si="34"/>
        <v>107.85411785508643</v>
      </c>
      <c r="V101" s="183">
        <f t="shared" si="35"/>
        <v>1.9965716990468203</v>
      </c>
      <c r="W101" s="183">
        <f t="shared" si="36"/>
        <v>15.644784076228618</v>
      </c>
      <c r="X101" s="344">
        <f t="shared" si="37"/>
        <v>17.641355775275439</v>
      </c>
      <c r="Y101" s="345">
        <f t="shared" si="38"/>
        <v>1910.5352755114486</v>
      </c>
      <c r="Z101" s="339">
        <f t="shared" si="39"/>
        <v>95.526763775572434</v>
      </c>
      <c r="AA101" s="109">
        <f t="shared" si="47"/>
        <v>10.30295483856559</v>
      </c>
      <c r="AB101" s="109">
        <f t="shared" si="40"/>
        <v>248.36958581648832</v>
      </c>
      <c r="AC101" s="109">
        <f t="shared" si="48"/>
        <v>4.3815762271464758</v>
      </c>
      <c r="AD101" s="132">
        <f t="shared" si="49"/>
        <v>146.84531065712065</v>
      </c>
      <c r="AE101" s="123">
        <f t="shared" si="41"/>
        <v>5.1912690252480865E-90</v>
      </c>
      <c r="AF101" s="98">
        <f t="shared" si="42"/>
        <v>0.11197410833181805</v>
      </c>
      <c r="AG101" s="98">
        <f t="shared" si="43"/>
        <v>0.86058709503388842</v>
      </c>
      <c r="AH101" s="98">
        <f t="shared" si="50"/>
        <v>0.97256120336570651</v>
      </c>
      <c r="AI101" s="97">
        <f t="shared" si="44"/>
        <v>243.14030084142661</v>
      </c>
      <c r="AJ101" s="97">
        <f t="shared" si="45"/>
        <v>55.987054165909022</v>
      </c>
      <c r="AK101" s="97">
        <f t="shared" si="46"/>
        <v>430.29354751694422</v>
      </c>
      <c r="AM101" s="54">
        <v>26.535779616524128</v>
      </c>
      <c r="AN101" s="54">
        <v>134.64112908271244</v>
      </c>
      <c r="AP101" s="97">
        <f ca="1">AD101*AJ101/(AJ101+AK101)*2.71828^(-0.69315/半Cs134*(NOW()-R101)/365.25)+AD101*AK101/(AJ101+AK101)*2.71828^(-0.69315/半Cs137*(NOW()-R101)/365.25)</f>
        <v>131.26826468913922</v>
      </c>
    </row>
    <row r="102" spans="1:42" ht="9.9499999999999993" customHeight="1" x14ac:dyDescent="0.15">
      <c r="A102" s="9"/>
      <c r="R102" s="116">
        <v>43023</v>
      </c>
      <c r="S102" s="194">
        <f t="shared" si="32"/>
        <v>11.245373997709541</v>
      </c>
      <c r="T102" s="194">
        <f t="shared" si="33"/>
        <v>88.19874568471036</v>
      </c>
      <c r="U102" s="184">
        <f t="shared" si="34"/>
        <v>99.444119682419895</v>
      </c>
      <c r="V102" s="183">
        <f t="shared" si="35"/>
        <v>1.8393701368562962</v>
      </c>
      <c r="W102" s="183">
        <f t="shared" si="36"/>
        <v>14.426388927009668</v>
      </c>
      <c r="X102" s="344">
        <f t="shared" si="37"/>
        <v>16.265759063865964</v>
      </c>
      <c r="Y102" s="345">
        <f t="shared" si="38"/>
        <v>1965.8198547631407</v>
      </c>
      <c r="Z102" s="339">
        <f t="shared" si="39"/>
        <v>98.290992738157044</v>
      </c>
      <c r="AA102" s="109">
        <f t="shared" si="47"/>
        <v>9.7744612455571538</v>
      </c>
      <c r="AB102" s="109">
        <f t="shared" si="40"/>
        <v>255.55658111920829</v>
      </c>
      <c r="AC102" s="109">
        <f t="shared" si="48"/>
        <v>4.1568217756703598</v>
      </c>
      <c r="AD102" s="132">
        <f t="shared" si="49"/>
        <v>139.31283021227514</v>
      </c>
      <c r="AE102" s="123">
        <f t="shared" si="41"/>
        <v>3.8847469594407849E-91</v>
      </c>
      <c r="AF102" s="98">
        <f t="shared" si="42"/>
        <v>0.10892477264329396</v>
      </c>
      <c r="AG102" s="98">
        <f t="shared" si="43"/>
        <v>0.85895926783037602</v>
      </c>
      <c r="AH102" s="98">
        <f t="shared" si="50"/>
        <v>0.96788404047366994</v>
      </c>
      <c r="AI102" s="97">
        <f t="shared" si="44"/>
        <v>241.9710101184175</v>
      </c>
      <c r="AJ102" s="97">
        <f t="shared" si="45"/>
        <v>54.462386321646981</v>
      </c>
      <c r="AK102" s="97">
        <f t="shared" si="46"/>
        <v>429.479633915188</v>
      </c>
      <c r="AM102" s="54">
        <v>24.446465212412043</v>
      </c>
      <c r="AN102" s="54">
        <v>124.15545553423578</v>
      </c>
      <c r="AP102" s="97">
        <f ca="1">AD102*AJ102/(AJ102+AK102)*2.71828^(-0.69315/半Cs134*(NOW()-R102)/365.25)+AD102*AK102/(AJ102+AK102)*2.71828^(-0.69315/半Cs137*(NOW()-R102)/365.25)</f>
        <v>125.13661104226644</v>
      </c>
    </row>
    <row r="103" spans="1:42" ht="9.9499999999999993" customHeight="1" x14ac:dyDescent="0.15">
      <c r="A103" s="9"/>
      <c r="R103" s="116">
        <v>43054</v>
      </c>
      <c r="S103" s="194">
        <f t="shared" si="32"/>
        <v>9.3819900235437323</v>
      </c>
      <c r="T103" s="194">
        <f t="shared" si="33"/>
        <v>73.632631615295267</v>
      </c>
      <c r="U103" s="184">
        <f t="shared" si="34"/>
        <v>83.014621638839003</v>
      </c>
      <c r="V103" s="183">
        <f t="shared" si="35"/>
        <v>1.5345823337760878</v>
      </c>
      <c r="W103" s="183">
        <f t="shared" si="36"/>
        <v>12.043855875215966</v>
      </c>
      <c r="X103" s="344">
        <f t="shared" si="37"/>
        <v>13.578438208992054</v>
      </c>
      <c r="Y103" s="345">
        <f t="shared" si="38"/>
        <v>1778.1989493465678</v>
      </c>
      <c r="Z103" s="339">
        <f t="shared" si="39"/>
        <v>88.909947467328394</v>
      </c>
      <c r="AA103" s="109">
        <f t="shared" si="47"/>
        <v>7.3808256489293189</v>
      </c>
      <c r="AB103" s="109">
        <f t="shared" si="40"/>
        <v>231.16586341505382</v>
      </c>
      <c r="AC103" s="109">
        <f t="shared" si="48"/>
        <v>3.1388713924096052</v>
      </c>
      <c r="AD103" s="132">
        <f t="shared" si="49"/>
        <v>105.19697041338924</v>
      </c>
      <c r="AE103" s="123">
        <f t="shared" si="41"/>
        <v>2.6663771268032477E-92</v>
      </c>
      <c r="AF103" s="98">
        <f t="shared" si="42"/>
        <v>0.10586100510122509</v>
      </c>
      <c r="AG103" s="98">
        <f t="shared" si="43"/>
        <v>0.85728041440263558</v>
      </c>
      <c r="AH103" s="98">
        <f t="shared" si="50"/>
        <v>0.96314141950386067</v>
      </c>
      <c r="AI103" s="97">
        <f t="shared" si="44"/>
        <v>240.78535487596514</v>
      </c>
      <c r="AJ103" s="97">
        <f t="shared" si="45"/>
        <v>52.930502550612545</v>
      </c>
      <c r="AK103" s="97">
        <f t="shared" si="46"/>
        <v>428.64020720131776</v>
      </c>
      <c r="AM103" s="54">
        <v>20.395630485964634</v>
      </c>
      <c r="AN103" s="54">
        <v>103.65105364493117</v>
      </c>
      <c r="AP103" s="97">
        <f ca="1">AD103*AJ103/(AJ103+AK103)*2.71828^(-0.69315/半Cs134*(NOW()-R103)/365.25)+AD103*AK103/(AJ103+AK103)*2.71828^(-0.69315/半Cs137*(NOW()-R103)/365.25)</f>
        <v>94.957610056312561</v>
      </c>
    </row>
    <row r="104" spans="1:42" ht="9.9499999999999993" customHeight="1" x14ac:dyDescent="0.15">
      <c r="A104" s="9"/>
      <c r="R104" s="116">
        <v>43084</v>
      </c>
      <c r="S104" s="192">
        <v>6.9</v>
      </c>
      <c r="T104" s="192">
        <v>54.65</v>
      </c>
      <c r="U104" s="184">
        <f t="shared" si="34"/>
        <v>61.55</v>
      </c>
      <c r="V104" s="183">
        <f t="shared" si="35"/>
        <v>1.1286111023869445</v>
      </c>
      <c r="W104" s="183">
        <f t="shared" si="36"/>
        <v>8.9389270645574648</v>
      </c>
      <c r="X104" s="344">
        <f t="shared" si="37"/>
        <v>10.067538166944409</v>
      </c>
      <c r="Y104" s="345">
        <f t="shared" si="38"/>
        <v>1784.6884673380669</v>
      </c>
      <c r="Z104" s="339">
        <f t="shared" si="39"/>
        <v>89.234423366903343</v>
      </c>
      <c r="AA104" s="109">
        <f t="shared" si="47"/>
        <v>5.4923787582329009</v>
      </c>
      <c r="AB104" s="109">
        <f t="shared" si="40"/>
        <v>232.00950075394869</v>
      </c>
      <c r="AC104" s="109">
        <f t="shared" si="48"/>
        <v>2.335764503934096</v>
      </c>
      <c r="AD104" s="132">
        <f t="shared" si="49"/>
        <v>78.281432621669964</v>
      </c>
      <c r="AE104" s="123">
        <f t="shared" si="41"/>
        <v>1.9953118179184824E-93</v>
      </c>
      <c r="AF104" s="98">
        <f t="shared" si="42"/>
        <v>0.10297814453919582</v>
      </c>
      <c r="AG104" s="98">
        <f t="shared" si="43"/>
        <v>0.85565884188817898</v>
      </c>
      <c r="AH104" s="98">
        <f t="shared" si="50"/>
        <v>0.95863698642737483</v>
      </c>
      <c r="AI104" s="97">
        <f t="shared" si="44"/>
        <v>239.65924660684368</v>
      </c>
      <c r="AJ104" s="97">
        <f t="shared" si="45"/>
        <v>51.489072269597912</v>
      </c>
      <c r="AK104" s="97">
        <f t="shared" si="46"/>
        <v>427.82942094408946</v>
      </c>
      <c r="AM104" s="195">
        <v>15.060558423692514</v>
      </c>
      <c r="AN104" s="195">
        <v>76.573010492435301</v>
      </c>
      <c r="AP104" s="97">
        <f ca="1">AD104*AJ104/(AJ104+AK104)*2.71828^(-0.69315/半Cs134*(NOW()-R104)/365.25)+AD104*AK104/(AJ104+AK104)*2.71828^(-0.69315/半Cs137*(NOW()-R104)/365.25)</f>
        <v>70.99392489083283</v>
      </c>
    </row>
    <row r="105" spans="1:42" ht="9.9499999999999993" customHeight="1" x14ac:dyDescent="0.15">
      <c r="A105" s="9"/>
      <c r="R105" s="116">
        <v>43115</v>
      </c>
      <c r="S105" s="192">
        <v>6.9</v>
      </c>
      <c r="T105" s="192">
        <v>54.65</v>
      </c>
      <c r="U105" s="184">
        <f t="shared" si="34"/>
        <v>61.55</v>
      </c>
      <c r="V105" s="183">
        <f t="shared" si="35"/>
        <v>1.1286111023869445</v>
      </c>
      <c r="W105" s="183">
        <f t="shared" si="36"/>
        <v>8.9389270645574648</v>
      </c>
      <c r="X105" s="344">
        <f t="shared" si="37"/>
        <v>10.067538166944409</v>
      </c>
      <c r="Y105" s="345">
        <f t="shared" si="38"/>
        <v>1635.2236018728358</v>
      </c>
      <c r="Z105" s="339">
        <f t="shared" si="39"/>
        <v>81.761180093641798</v>
      </c>
      <c r="AA105" s="109">
        <f t="shared" si="47"/>
        <v>5.0324006347636523</v>
      </c>
      <c r="AB105" s="109">
        <f t="shared" si="40"/>
        <v>212.57906824346867</v>
      </c>
      <c r="AC105" s="109">
        <f t="shared" si="48"/>
        <v>2.1401478830346008</v>
      </c>
      <c r="AD105" s="132">
        <f t="shared" si="49"/>
        <v>71.725485177982534</v>
      </c>
      <c r="AE105" s="123">
        <f t="shared" si="41"/>
        <v>1.3695238963270222E-94</v>
      </c>
      <c r="AF105" s="98">
        <f t="shared" si="42"/>
        <v>0.10008164001478548</v>
      </c>
      <c r="AG105" s="98">
        <f t="shared" si="43"/>
        <v>0.85398643921033268</v>
      </c>
      <c r="AH105" s="98">
        <f t="shared" si="50"/>
        <v>0.95406807922511816</v>
      </c>
      <c r="AI105" s="97">
        <f t="shared" si="44"/>
        <v>238.51701980627956</v>
      </c>
      <c r="AJ105" s="97">
        <f t="shared" si="45"/>
        <v>50.040820007392739</v>
      </c>
      <c r="AK105" s="97">
        <f t="shared" si="46"/>
        <v>426.99321960516636</v>
      </c>
      <c r="AM105" s="195">
        <v>13.610010365075995</v>
      </c>
      <c r="AN105" s="195">
        <v>69.235842446987093</v>
      </c>
      <c r="AP105" s="97">
        <f ca="1">AD105*AJ105/(AJ105+AK105)*2.71828^(-0.69315/半Cs134*(NOW()-R105)/365.25)+AD105*AK105/(AJ105+AK105)*2.71828^(-0.69315/半Cs137*(NOW()-R105)/365.25)</f>
        <v>65.359802585064855</v>
      </c>
    </row>
    <row r="106" spans="1:42" ht="9.9499999999999993" customHeight="1" x14ac:dyDescent="0.15">
      <c r="A106" s="9"/>
      <c r="R106" s="116">
        <v>43146</v>
      </c>
      <c r="S106" s="194">
        <f>AM106*6.9/14</f>
        <v>6.1302825341810587</v>
      </c>
      <c r="T106" s="194">
        <f>AN106*54.7/69</f>
        <v>50.175306270672287</v>
      </c>
      <c r="U106" s="184">
        <f t="shared" si="34"/>
        <v>56.305588804853343</v>
      </c>
      <c r="V106" s="183">
        <f t="shared" si="35"/>
        <v>1.0027108592529732</v>
      </c>
      <c r="W106" s="183">
        <f t="shared" si="36"/>
        <v>8.2070156119921762</v>
      </c>
      <c r="X106" s="344">
        <f t="shared" si="37"/>
        <v>9.2097264712451494</v>
      </c>
      <c r="Y106" s="345">
        <f t="shared" si="38"/>
        <v>1399.2273860546818</v>
      </c>
      <c r="Z106" s="339">
        <f t="shared" si="39"/>
        <v>69.961369302734099</v>
      </c>
      <c r="AA106" s="109">
        <f t="shared" si="47"/>
        <v>3.9392160921842354</v>
      </c>
      <c r="AB106" s="109">
        <f t="shared" si="40"/>
        <v>181.89956018710865</v>
      </c>
      <c r="AC106" s="109">
        <f t="shared" si="48"/>
        <v>1.6752451945630649</v>
      </c>
      <c r="AD106" s="132">
        <f t="shared" si="49"/>
        <v>56.144612867473001</v>
      </c>
      <c r="AE106" s="123">
        <f t="shared" si="41"/>
        <v>9.4000129993089718E-96</v>
      </c>
      <c r="AF106" s="98">
        <f t="shared" si="42"/>
        <v>9.7266606549088308E-2</v>
      </c>
      <c r="AG106" s="98">
        <f t="shared" si="43"/>
        <v>0.85231730527766869</v>
      </c>
      <c r="AH106" s="98">
        <f t="shared" si="50"/>
        <v>0.94958391182675705</v>
      </c>
      <c r="AI106" s="97">
        <f t="shared" si="44"/>
        <v>237.39597795668925</v>
      </c>
      <c r="AJ106" s="97">
        <f t="shared" si="45"/>
        <v>48.633303274544154</v>
      </c>
      <c r="AK106" s="97">
        <f t="shared" si="46"/>
        <v>426.15865263883433</v>
      </c>
      <c r="AM106" s="54">
        <v>12.43825441717896</v>
      </c>
      <c r="AN106" s="54">
        <v>63.292433869769425</v>
      </c>
      <c r="AP106" s="97">
        <f ca="1">AD106*AJ106/(AJ106+AK106)*2.71828^(-0.69315/半Cs134*(NOW()-R106)/365.25)+AD106*AK106/(AJ106+AK106)*2.71828^(-0.69315/半Cs137*(NOW()-R106)/365.25)</f>
        <v>51.403340895027718</v>
      </c>
    </row>
    <row r="107" spans="1:42" ht="9.9499999999999993" customHeight="1" x14ac:dyDescent="0.15">
      <c r="A107" s="9"/>
      <c r="R107" s="116">
        <v>43174</v>
      </c>
      <c r="S107" s="194">
        <f t="shared" ref="S107:S119" si="51">AM107*6.9/14</f>
        <v>5.3804276712947088</v>
      </c>
      <c r="T107" s="194">
        <f t="shared" ref="T107:T119" si="52">AN107*54.7/69</f>
        <v>44.03861688932291</v>
      </c>
      <c r="U107" s="184">
        <f t="shared" si="34"/>
        <v>49.419044560617621</v>
      </c>
      <c r="V107" s="183">
        <f t="shared" si="35"/>
        <v>0.88005947904538284</v>
      </c>
      <c r="W107" s="183">
        <f t="shared" si="36"/>
        <v>7.2032568050804402</v>
      </c>
      <c r="X107" s="344">
        <f t="shared" si="37"/>
        <v>8.0833162841258233</v>
      </c>
      <c r="Y107" s="345">
        <f t="shared" si="38"/>
        <v>1696.32960117231</v>
      </c>
      <c r="Z107" s="339">
        <f t="shared" si="39"/>
        <v>84.816480058615511</v>
      </c>
      <c r="AA107" s="109">
        <f t="shared" si="47"/>
        <v>4.1915494074914559</v>
      </c>
      <c r="AB107" s="109">
        <f t="shared" si="40"/>
        <v>220.52284815240031</v>
      </c>
      <c r="AC107" s="109">
        <f t="shared" si="48"/>
        <v>1.7825559294921036</v>
      </c>
      <c r="AD107" s="132">
        <f t="shared" si="49"/>
        <v>59.741053369835591</v>
      </c>
      <c r="AE107" s="123">
        <f t="shared" si="41"/>
        <v>8.3613879440946017E-97</v>
      </c>
      <c r="AF107" s="98">
        <f t="shared" si="42"/>
        <v>9.4792114371174033E-2</v>
      </c>
      <c r="AG107" s="98">
        <f t="shared" si="43"/>
        <v>0.8508125046770284</v>
      </c>
      <c r="AH107" s="98">
        <f t="shared" si="50"/>
        <v>0.94560461904820248</v>
      </c>
      <c r="AI107" s="97">
        <f t="shared" si="44"/>
        <v>236.40115476205062</v>
      </c>
      <c r="AJ107" s="97">
        <f t="shared" si="45"/>
        <v>47.396057185587019</v>
      </c>
      <c r="AK107" s="97">
        <f t="shared" si="46"/>
        <v>425.40625233851421</v>
      </c>
      <c r="AM107" s="54">
        <v>10.916809767844335</v>
      </c>
      <c r="AN107" s="54">
        <v>55.55145457702524</v>
      </c>
      <c r="AP107" s="97">
        <f ca="1">AD107*AJ107/(AJ107+AK107)*2.71828^(-0.69315/半Cs134*(NOW()-R107)/365.25)+AD107*AK107/(AJ107+AK107)*2.71828^(-0.69315/半Cs137*(NOW()-R107)/365.25)</f>
        <v>54.926242974813739</v>
      </c>
    </row>
    <row r="108" spans="1:42" ht="9.9499999999999993" customHeight="1" x14ac:dyDescent="0.15">
      <c r="A108" s="9"/>
      <c r="R108" s="116">
        <v>43205</v>
      </c>
      <c r="S108" s="194">
        <f t="shared" si="51"/>
        <v>9.7774472144205742</v>
      </c>
      <c r="T108" s="194">
        <f t="shared" si="52"/>
        <v>80.005483349159903</v>
      </c>
      <c r="U108" s="184">
        <f t="shared" si="34"/>
        <v>89.782930563580479</v>
      </c>
      <c r="V108" s="183">
        <f t="shared" si="35"/>
        <v>1.5992660114778787</v>
      </c>
      <c r="W108" s="183">
        <f t="shared" si="36"/>
        <v>13.086243008651548</v>
      </c>
      <c r="X108" s="344">
        <f t="shared" si="37"/>
        <v>14.685509020129427</v>
      </c>
      <c r="Y108" s="345">
        <f t="shared" si="38"/>
        <v>1713.8349413318274</v>
      </c>
      <c r="Z108" s="339">
        <f t="shared" si="39"/>
        <v>85.691747066591375</v>
      </c>
      <c r="AA108" s="109">
        <f t="shared" si="47"/>
        <v>7.6936561767516753</v>
      </c>
      <c r="AB108" s="109">
        <f t="shared" si="40"/>
        <v>222.79854237313756</v>
      </c>
      <c r="AC108" s="109">
        <f t="shared" si="48"/>
        <v>3.2719100036924003</v>
      </c>
      <c r="AD108" s="132">
        <f t="shared" si="49"/>
        <v>109.65566180444074</v>
      </c>
      <c r="AE108" s="123">
        <f t="shared" si="41"/>
        <v>5.739013067062413E-98</v>
      </c>
      <c r="AF108" s="98">
        <f t="shared" si="42"/>
        <v>9.2125861358137676E-2</v>
      </c>
      <c r="AG108" s="98">
        <f t="shared" si="43"/>
        <v>0.84914957426421711</v>
      </c>
      <c r="AH108" s="98">
        <f t="shared" si="50"/>
        <v>0.94127543562235483</v>
      </c>
      <c r="AI108" s="97">
        <f t="shared" si="44"/>
        <v>235.31885890558868</v>
      </c>
      <c r="AJ108" s="97">
        <f t="shared" si="45"/>
        <v>46.062930679068835</v>
      </c>
      <c r="AK108" s="97">
        <f t="shared" si="46"/>
        <v>424.57478713210855</v>
      </c>
      <c r="AM108" s="54">
        <v>19.838298695925801</v>
      </c>
      <c r="AN108" s="54">
        <v>100.92099362142656</v>
      </c>
      <c r="AP108" s="97">
        <f ca="1">AD108*AJ108/(AJ108+AK108)*2.71828^(-0.69315/半Cs134*(NOW()-R108)/365.25)+AD108*AK108/(AJ108+AK108)*2.71828^(-0.69315/半Cs137*(NOW()-R108)/365.25)</f>
        <v>101.28168967077227</v>
      </c>
    </row>
    <row r="109" spans="1:42" ht="9.9499999999999993" customHeight="1" x14ac:dyDescent="0.15">
      <c r="A109" s="9"/>
      <c r="R109" s="116">
        <v>43235</v>
      </c>
      <c r="S109" s="194">
        <f t="shared" si="51"/>
        <v>14.742475926357946</v>
      </c>
      <c r="T109" s="194">
        <f t="shared" si="52"/>
        <v>120.59504885241336</v>
      </c>
      <c r="U109" s="184">
        <f t="shared" si="34"/>
        <v>135.3375247787713</v>
      </c>
      <c r="V109" s="183">
        <f t="shared" si="35"/>
        <v>2.4113800010376565</v>
      </c>
      <c r="W109" s="183">
        <f t="shared" si="36"/>
        <v>19.725349424308646</v>
      </c>
      <c r="X109" s="344">
        <f t="shared" si="37"/>
        <v>22.136729425346303</v>
      </c>
      <c r="Y109" s="345">
        <f t="shared" si="38"/>
        <v>1925.7134740127251</v>
      </c>
      <c r="Z109" s="339">
        <f t="shared" si="39"/>
        <v>96.285673700636266</v>
      </c>
      <c r="AA109" s="109">
        <f t="shared" si="47"/>
        <v>13.031064750300549</v>
      </c>
      <c r="AB109" s="109">
        <f t="shared" si="40"/>
        <v>250.34275162165426</v>
      </c>
      <c r="AC109" s="109">
        <f t="shared" si="48"/>
        <v>5.5417697562452348</v>
      </c>
      <c r="AD109" s="132">
        <f t="shared" si="49"/>
        <v>185.72834506545786</v>
      </c>
      <c r="AE109" s="123">
        <f t="shared" si="41"/>
        <v>4.2946365241389509E-99</v>
      </c>
      <c r="AF109" s="98">
        <f t="shared" si="42"/>
        <v>8.9617043194183912E-2</v>
      </c>
      <c r="AG109" s="98">
        <f t="shared" si="43"/>
        <v>0.84754338148626951</v>
      </c>
      <c r="AH109" s="98">
        <f t="shared" si="50"/>
        <v>0.93716042468045346</v>
      </c>
      <c r="AI109" s="97">
        <f t="shared" si="44"/>
        <v>234.29010617011335</v>
      </c>
      <c r="AJ109" s="97">
        <f t="shared" si="45"/>
        <v>44.808521597091953</v>
      </c>
      <c r="AK109" s="97">
        <f t="shared" si="46"/>
        <v>423.77169074313474</v>
      </c>
      <c r="AM109" s="54">
        <v>29.912269995508876</v>
      </c>
      <c r="AN109" s="54">
        <v>152.12172524344646</v>
      </c>
      <c r="AP109" s="97">
        <f ca="1">AD109*AJ109/(AJ109+AK109)*2.71828^(-0.69315/半Cs134*(NOW()-R109)/365.25)+AD109*AK109/(AJ109+AK109)*2.71828^(-0.69315/半Cs137*(NOW()-R109)/365.25)</f>
        <v>172.2982439739877</v>
      </c>
    </row>
    <row r="110" spans="1:42" ht="9.9499999999999993" customHeight="1" x14ac:dyDescent="0.15">
      <c r="A110" s="9"/>
      <c r="R110" s="116">
        <v>43266</v>
      </c>
      <c r="S110" s="194">
        <f t="shared" si="51"/>
        <v>15.921909672371484</v>
      </c>
      <c r="T110" s="194">
        <f t="shared" si="52"/>
        <v>130.1773592971671</v>
      </c>
      <c r="U110" s="184">
        <f t="shared" si="34"/>
        <v>146.09926896953857</v>
      </c>
      <c r="V110" s="183">
        <f t="shared" si="35"/>
        <v>2.6042962358609469</v>
      </c>
      <c r="W110" s="183">
        <f t="shared" si="36"/>
        <v>21.292697533651754</v>
      </c>
      <c r="X110" s="344">
        <f t="shared" si="37"/>
        <v>23.896993769512701</v>
      </c>
      <c r="Y110" s="345">
        <f t="shared" si="38"/>
        <v>1889.7994424342019</v>
      </c>
      <c r="Z110" s="339">
        <f t="shared" si="39"/>
        <v>94.489972121710096</v>
      </c>
      <c r="AA110" s="109">
        <f t="shared" si="47"/>
        <v>13.804915851933925</v>
      </c>
      <c r="AB110" s="109">
        <f t="shared" si="40"/>
        <v>245.67392751644624</v>
      </c>
      <c r="AC110" s="109">
        <f t="shared" si="48"/>
        <v>5.8708683151922303</v>
      </c>
      <c r="AD110" s="132">
        <f t="shared" si="49"/>
        <v>196.75784167126156</v>
      </c>
      <c r="AE110" s="123">
        <f t="shared" si="41"/>
        <v>2.9477133814519115E-100</v>
      </c>
      <c r="AF110" s="98">
        <f t="shared" si="42"/>
        <v>8.7096351330509594E-2</v>
      </c>
      <c r="AG110" s="98">
        <f t="shared" si="43"/>
        <v>0.84588684064148545</v>
      </c>
      <c r="AH110" s="98">
        <f t="shared" si="50"/>
        <v>0.93298319197199509</v>
      </c>
      <c r="AI110" s="97">
        <f t="shared" si="44"/>
        <v>233.24579799299877</v>
      </c>
      <c r="AJ110" s="97">
        <f t="shared" si="45"/>
        <v>43.548175665254796</v>
      </c>
      <c r="AK110" s="97">
        <f t="shared" si="46"/>
        <v>422.94342032074275</v>
      </c>
      <c r="AM110" s="54">
        <v>32.305323972927646</v>
      </c>
      <c r="AN110" s="54">
        <v>164.20910039313583</v>
      </c>
      <c r="AP110" s="97">
        <f ca="1">AD110*AJ110/(AJ110+AK110)*2.71828^(-0.69315/半Cs134*(NOW()-R110)/365.25)+AD110*AK110/(AJ110+AK110)*2.71828^(-0.69315/半Cs137*(NOW()-R110)/365.25)</f>
        <v>183.34743256518453</v>
      </c>
    </row>
    <row r="111" spans="1:42" ht="9.9499999999999993" customHeight="1" x14ac:dyDescent="0.15">
      <c r="A111" s="9"/>
      <c r="R111" s="116">
        <v>43296</v>
      </c>
      <c r="S111" s="194">
        <f t="shared" si="51"/>
        <v>15.15538654696547</v>
      </c>
      <c r="T111" s="194">
        <f t="shared" si="52"/>
        <v>123.89173149936265</v>
      </c>
      <c r="U111" s="184">
        <f t="shared" si="34"/>
        <v>139.04711804632811</v>
      </c>
      <c r="V111" s="183">
        <f t="shared" si="35"/>
        <v>2.4789184808508646</v>
      </c>
      <c r="W111" s="183">
        <f t="shared" si="36"/>
        <v>20.26457734262652</v>
      </c>
      <c r="X111" s="344">
        <f t="shared" si="37"/>
        <v>22.743495823477385</v>
      </c>
      <c r="Y111" s="345">
        <f t="shared" si="38"/>
        <v>2010.5936177870296</v>
      </c>
      <c r="Z111" s="339">
        <f t="shared" si="39"/>
        <v>100.52968088935148</v>
      </c>
      <c r="AA111" s="109">
        <f t="shared" si="47"/>
        <v>13.97836240578135</v>
      </c>
      <c r="AB111" s="109">
        <f t="shared" si="40"/>
        <v>261.37717031231386</v>
      </c>
      <c r="AC111" s="109">
        <f t="shared" si="48"/>
        <v>5.9446305813504479</v>
      </c>
      <c r="AD111" s="132">
        <f t="shared" si="49"/>
        <v>199.22992987131801</v>
      </c>
      <c r="AE111" s="123">
        <f t="shared" si="41"/>
        <v>2.2058422594176746E-101</v>
      </c>
      <c r="AF111" s="98">
        <f t="shared" si="42"/>
        <v>8.4724499333570027E-2</v>
      </c>
      <c r="AG111" s="98">
        <f t="shared" si="43"/>
        <v>0.8442868194254628</v>
      </c>
      <c r="AH111" s="98">
        <f t="shared" si="50"/>
        <v>0.92901131875903287</v>
      </c>
      <c r="AI111" s="97">
        <f t="shared" si="44"/>
        <v>232.25282968975822</v>
      </c>
      <c r="AJ111" s="97">
        <f t="shared" si="45"/>
        <v>42.362249666785011</v>
      </c>
      <c r="AK111" s="97">
        <f t="shared" si="46"/>
        <v>422.1434097127314</v>
      </c>
      <c r="AM111" s="54">
        <v>30.750059660509645</v>
      </c>
      <c r="AN111" s="54">
        <v>156.2802463154666</v>
      </c>
      <c r="AP111" s="97">
        <f ca="1">AD111*AJ111/(AJ111+AK111)*2.71828^(-0.69315/半Cs134*(NOW()-R111)/365.25)+AD111*AK111/(AJ111+AK111)*2.71828^(-0.69315/半Cs137*(NOW()-R111)/365.25)</f>
        <v>186.44475890456235</v>
      </c>
    </row>
    <row r="112" spans="1:42" ht="9.9499999999999993" customHeight="1" x14ac:dyDescent="0.15">
      <c r="A112" s="9"/>
      <c r="R112" s="116">
        <v>43327</v>
      </c>
      <c r="S112" s="194">
        <f t="shared" si="51"/>
        <v>13.173213662236574</v>
      </c>
      <c r="T112" s="194">
        <f t="shared" si="52"/>
        <v>107.64553480830688</v>
      </c>
      <c r="U112" s="184">
        <f t="shared" si="34"/>
        <v>120.81874847054345</v>
      </c>
      <c r="V112" s="183">
        <f t="shared" si="35"/>
        <v>2.1547007526544313</v>
      </c>
      <c r="W112" s="183">
        <f t="shared" si="36"/>
        <v>17.607238508266004</v>
      </c>
      <c r="X112" s="344">
        <f t="shared" si="37"/>
        <v>19.761939260920435</v>
      </c>
      <c r="Y112" s="345">
        <f t="shared" si="38"/>
        <v>2038.8340095782348</v>
      </c>
      <c r="Z112" s="339">
        <f t="shared" si="39"/>
        <v>101.94170047891174</v>
      </c>
      <c r="AA112" s="109">
        <f t="shared" si="47"/>
        <v>12.316468668821116</v>
      </c>
      <c r="AB112" s="109">
        <f t="shared" si="40"/>
        <v>265.04842124517052</v>
      </c>
      <c r="AC112" s="109">
        <f t="shared" si="48"/>
        <v>5.2378708018499127</v>
      </c>
      <c r="AD112" s="132">
        <f t="shared" si="49"/>
        <v>175.54339470671027</v>
      </c>
      <c r="AE112" s="123">
        <f t="shared" si="41"/>
        <v>1.5140258573479772E-102</v>
      </c>
      <c r="AF112" s="98">
        <f t="shared" si="42"/>
        <v>8.2341421868480508E-2</v>
      </c>
      <c r="AG112" s="98">
        <f t="shared" si="43"/>
        <v>0.84263664359772117</v>
      </c>
      <c r="AH112" s="98">
        <f t="shared" si="50"/>
        <v>0.92497806546620165</v>
      </c>
      <c r="AI112" s="97">
        <f t="shared" si="44"/>
        <v>231.24451636655044</v>
      </c>
      <c r="AJ112" s="97">
        <f t="shared" si="45"/>
        <v>41.170710934240255</v>
      </c>
      <c r="AK112" s="97">
        <f t="shared" si="46"/>
        <v>421.31832179886061</v>
      </c>
      <c r="AM112" s="54">
        <v>26.728259604537971</v>
      </c>
      <c r="AN112" s="54">
        <v>135.7868720616668</v>
      </c>
      <c r="AP112" s="97">
        <f ca="1">AD112*AJ112/(AJ112+AK112)*2.71828^(-0.69315/半Cs134*(NOW()-R112)/365.25)+AD112*AK112/(AJ112+AK112)*2.71828^(-0.69315/半Cs137*(NOW()-R112)/365.25)</f>
        <v>164.99457359189859</v>
      </c>
    </row>
    <row r="113" spans="1:42" ht="9.9499999999999993" customHeight="1" x14ac:dyDescent="0.15">
      <c r="A113" s="9"/>
      <c r="R113" s="116">
        <v>43358</v>
      </c>
      <c r="S113" s="194">
        <f t="shared" si="51"/>
        <v>12.300014125741651</v>
      </c>
      <c r="T113" s="194">
        <f t="shared" si="52"/>
        <v>100.46931605473279</v>
      </c>
      <c r="U113" s="184">
        <f t="shared" si="34"/>
        <v>112.76933018047444</v>
      </c>
      <c r="V113" s="183">
        <f t="shared" si="35"/>
        <v>2.011874275627286</v>
      </c>
      <c r="W113" s="183">
        <f t="shared" si="36"/>
        <v>16.433447180955696</v>
      </c>
      <c r="X113" s="344">
        <f t="shared" si="37"/>
        <v>18.445321456582981</v>
      </c>
      <c r="Y113" s="345">
        <f t="shared" si="38"/>
        <v>1890.4980610350519</v>
      </c>
      <c r="Z113" s="339">
        <f t="shared" si="39"/>
        <v>94.524903051752602</v>
      </c>
      <c r="AA113" s="109">
        <f t="shared" si="47"/>
        <v>10.659510002520424</v>
      </c>
      <c r="AB113" s="109">
        <f t="shared" si="40"/>
        <v>245.76474793455677</v>
      </c>
      <c r="AC113" s="109">
        <f t="shared" si="48"/>
        <v>4.5332097783489882</v>
      </c>
      <c r="AD113" s="132">
        <f t="shared" si="49"/>
        <v>151.92719780869413</v>
      </c>
      <c r="AE113" s="123">
        <f t="shared" si="41"/>
        <v>1.0391832357602129E-103</v>
      </c>
      <c r="AF113" s="98">
        <f t="shared" si="42"/>
        <v>8.002537410848562E-2</v>
      </c>
      <c r="AG113" s="98">
        <f t="shared" si="43"/>
        <v>0.84098969307232896</v>
      </c>
      <c r="AH113" s="98">
        <f t="shared" si="50"/>
        <v>0.92101506718081461</v>
      </c>
      <c r="AI113" s="97">
        <f t="shared" si="44"/>
        <v>230.25376679520363</v>
      </c>
      <c r="AJ113" s="97">
        <f t="shared" si="45"/>
        <v>40.012687054242811</v>
      </c>
      <c r="AK113" s="97">
        <f t="shared" si="46"/>
        <v>420.49484653616446</v>
      </c>
      <c r="AM113" s="54">
        <v>24.956550400055523</v>
      </c>
      <c r="AN113" s="54">
        <v>126.73460343284391</v>
      </c>
      <c r="AP113" s="97">
        <f ca="1">AD113*AJ113/(AJ113+AK113)*2.71828^(-0.69315/半Cs134*(NOW()-R113)/365.25)+AD113*AK113/(AJ113+AK113)*2.71828^(-0.69315/半Cs137*(NOW()-R113)/365.25)</f>
        <v>143.41196795778026</v>
      </c>
    </row>
    <row r="114" spans="1:42" ht="9.9499999999999993" customHeight="1" x14ac:dyDescent="0.15">
      <c r="A114" s="9"/>
      <c r="R114" s="116">
        <v>43388</v>
      </c>
      <c r="S114" s="194">
        <f t="shared" si="51"/>
        <v>11.382002875124794</v>
      </c>
      <c r="T114" s="194">
        <f t="shared" si="52"/>
        <v>92.930047407253866</v>
      </c>
      <c r="U114" s="184">
        <f t="shared" si="34"/>
        <v>104.31205028237866</v>
      </c>
      <c r="V114" s="183">
        <f t="shared" si="35"/>
        <v>1.8617180887341978</v>
      </c>
      <c r="W114" s="183">
        <f t="shared" si="36"/>
        <v>15.200272934662578</v>
      </c>
      <c r="X114" s="344">
        <f t="shared" si="37"/>
        <v>17.061991023396775</v>
      </c>
      <c r="Y114" s="345">
        <f t="shared" si="38"/>
        <v>1945.2028294945005</v>
      </c>
      <c r="Z114" s="339">
        <f t="shared" si="39"/>
        <v>97.260141474725032</v>
      </c>
      <c r="AA114" s="109">
        <f t="shared" si="47"/>
        <v>10.145404767982781</v>
      </c>
      <c r="AB114" s="109">
        <f t="shared" si="40"/>
        <v>252.87636783428508</v>
      </c>
      <c r="AC114" s="109">
        <f t="shared" si="48"/>
        <v>4.3145743180177529</v>
      </c>
      <c r="AD114" s="132">
        <f t="shared" si="49"/>
        <v>144.59979086000533</v>
      </c>
      <c r="AE114" s="123">
        <f t="shared" si="41"/>
        <v>7.7764490643564758E-105</v>
      </c>
      <c r="AF114" s="98">
        <f t="shared" si="42"/>
        <v>7.7846082548213805E-2</v>
      </c>
      <c r="AG114" s="98">
        <f t="shared" si="43"/>
        <v>0.8393989349629446</v>
      </c>
      <c r="AH114" s="98">
        <f t="shared" si="50"/>
        <v>0.91724501751115839</v>
      </c>
      <c r="AI114" s="97">
        <f t="shared" si="44"/>
        <v>229.3112543777896</v>
      </c>
      <c r="AJ114" s="97">
        <f t="shared" si="45"/>
        <v>38.9230412741069</v>
      </c>
      <c r="AK114" s="97">
        <f t="shared" si="46"/>
        <v>419.69946748147231</v>
      </c>
      <c r="AM114" s="54">
        <v>23.093918877064798</v>
      </c>
      <c r="AN114" s="54">
        <v>117.22437424315387</v>
      </c>
      <c r="AP114" s="97">
        <f ca="1">AD114*AJ114/(AJ114+AK114)*2.71828^(-0.69315/半Cs134*(NOW()-R114)/365.25)+AD114*AK114/(AJ114+AK114)*2.71828^(-0.69315/半Cs137*(NOW()-R114)/365.25)</f>
        <v>137.05626936371476</v>
      </c>
    </row>
    <row r="115" spans="1:42" ht="9.9499999999999993" customHeight="1" x14ac:dyDescent="0.15">
      <c r="A115" s="9"/>
      <c r="R115" s="116">
        <v>43419</v>
      </c>
      <c r="S115" s="194">
        <f t="shared" si="51"/>
        <v>9.537715254249731</v>
      </c>
      <c r="T115" s="194">
        <f t="shared" si="52"/>
        <v>77.828559665936353</v>
      </c>
      <c r="U115" s="184">
        <f t="shared" si="34"/>
        <v>87.366274920186086</v>
      </c>
      <c r="V115" s="183">
        <f t="shared" si="35"/>
        <v>1.5600538155581978</v>
      </c>
      <c r="W115" s="183">
        <f t="shared" si="36"/>
        <v>12.730170510400074</v>
      </c>
      <c r="X115" s="344">
        <f t="shared" si="37"/>
        <v>14.29022432595827</v>
      </c>
      <c r="Y115" s="345">
        <f t="shared" si="38"/>
        <v>1759.549645046116</v>
      </c>
      <c r="Z115" s="339">
        <f t="shared" si="39"/>
        <v>87.977482252305805</v>
      </c>
      <c r="AA115" s="109">
        <f t="shared" si="47"/>
        <v>7.6862649012407411</v>
      </c>
      <c r="AB115" s="109">
        <f t="shared" si="40"/>
        <v>228.74145385599508</v>
      </c>
      <c r="AC115" s="109">
        <f t="shared" si="48"/>
        <v>3.268766688248002</v>
      </c>
      <c r="AD115" s="132">
        <f t="shared" si="49"/>
        <v>109.55031589488743</v>
      </c>
      <c r="AE115" s="123">
        <f t="shared" si="41"/>
        <v>5.3375280628150486E-106</v>
      </c>
      <c r="AF115" s="98">
        <f t="shared" si="42"/>
        <v>7.5656476867149131E-2</v>
      </c>
      <c r="AG115" s="98">
        <f t="shared" si="43"/>
        <v>0.83775831260518885</v>
      </c>
      <c r="AH115" s="98">
        <f t="shared" si="50"/>
        <v>0.91341478947233801</v>
      </c>
      <c r="AI115" s="97">
        <f t="shared" si="44"/>
        <v>228.35369736808448</v>
      </c>
      <c r="AJ115" s="97">
        <f t="shared" si="45"/>
        <v>37.828238433574562</v>
      </c>
      <c r="AK115" s="97">
        <f t="shared" si="46"/>
        <v>418.87915630259442</v>
      </c>
      <c r="AM115" s="54">
        <v>19.351886023115394</v>
      </c>
      <c r="AN115" s="54">
        <v>98.174965574947123</v>
      </c>
      <c r="AP115" s="97">
        <f ca="1">AD115*AJ115/(AJ115+AK115)*2.71828^(-0.69315/半Cs134*(NOW()-R115)/365.25)+AD115*AK115/(AJ115+AK115)*2.71828^(-0.69315/半Cs137*(NOW()-R115)/365.25)</f>
        <v>104.27067808516406</v>
      </c>
    </row>
    <row r="116" spans="1:42" ht="9.9499999999999993" customHeight="1" x14ac:dyDescent="0.15">
      <c r="A116" s="9"/>
      <c r="R116" s="116">
        <v>43449</v>
      </c>
      <c r="S116" s="194">
        <f t="shared" si="51"/>
        <v>7.0672148298631186</v>
      </c>
      <c r="T116" s="194">
        <f t="shared" si="52"/>
        <v>57.615544553586275</v>
      </c>
      <c r="U116" s="184">
        <f t="shared" si="34"/>
        <v>64.682759383449394</v>
      </c>
      <c r="V116" s="183">
        <f t="shared" si="35"/>
        <v>1.1559619014401703</v>
      </c>
      <c r="W116" s="183">
        <f t="shared" si="36"/>
        <v>9.4239917758329153</v>
      </c>
      <c r="X116" s="344">
        <f t="shared" si="37"/>
        <v>10.579953677273085</v>
      </c>
      <c r="Y116" s="345">
        <f t="shared" si="38"/>
        <v>1765.9711026016155</v>
      </c>
      <c r="Z116" s="339">
        <f t="shared" si="39"/>
        <v>88.298555130080786</v>
      </c>
      <c r="AA116" s="109">
        <f t="shared" si="47"/>
        <v>5.7113941953852567</v>
      </c>
      <c r="AB116" s="109">
        <f t="shared" si="40"/>
        <v>229.57624333821002</v>
      </c>
      <c r="AC116" s="109">
        <f t="shared" si="48"/>
        <v>2.4289060199206354</v>
      </c>
      <c r="AD116" s="132">
        <f t="shared" si="49"/>
        <v>81.403002153058921</v>
      </c>
      <c r="AE116" s="123">
        <f t="shared" si="41"/>
        <v>3.9941959879377097E-107</v>
      </c>
      <c r="AF116" s="98">
        <f t="shared" si="42"/>
        <v>7.3596161331567087E-2</v>
      </c>
      <c r="AG116" s="98">
        <f t="shared" si="43"/>
        <v>0.83617366675226246</v>
      </c>
      <c r="AH116" s="98">
        <f t="shared" si="50"/>
        <v>0.90976982808382956</v>
      </c>
      <c r="AI116" s="97">
        <f t="shared" si="44"/>
        <v>227.44245702095736</v>
      </c>
      <c r="AJ116" s="97">
        <f t="shared" si="45"/>
        <v>36.798080665783544</v>
      </c>
      <c r="AK116" s="97">
        <f t="shared" si="46"/>
        <v>418.08683337613121</v>
      </c>
      <c r="AM116" s="54">
        <v>14.339276466388934</v>
      </c>
      <c r="AN116" s="54">
        <v>72.677743586790726</v>
      </c>
      <c r="AP116" s="97">
        <f ca="1">AD116*AJ116/(AJ116+AK116)*2.71828^(-0.69315/半Cs134*(NOW()-R116)/365.25)+AD116*AK116/(AJ116+AK116)*2.71828^(-0.69315/半Cs137*(NOW()-R116)/365.25)</f>
        <v>77.790308740068284</v>
      </c>
    </row>
    <row r="117" spans="1:42" ht="9.9499999999999993" customHeight="1" x14ac:dyDescent="0.15">
      <c r="A117" s="9"/>
      <c r="R117" s="116">
        <v>43480</v>
      </c>
      <c r="S117" s="194">
        <f t="shared" si="51"/>
        <v>6.4098982606657353</v>
      </c>
      <c r="T117" s="194">
        <f t="shared" si="52"/>
        <v>52.21633263296345</v>
      </c>
      <c r="U117" s="184">
        <f t="shared" si="34"/>
        <v>58.626230893629184</v>
      </c>
      <c r="V117" s="183">
        <f t="shared" si="35"/>
        <v>1.048446716254799</v>
      </c>
      <c r="W117" s="183">
        <f t="shared" si="36"/>
        <v>8.5408598167380081</v>
      </c>
      <c r="X117" s="344">
        <f t="shared" si="37"/>
        <v>9.5893065329928078</v>
      </c>
      <c r="Y117" s="345">
        <f t="shared" si="38"/>
        <v>1618.0737871337069</v>
      </c>
      <c r="Z117" s="339">
        <f t="shared" si="39"/>
        <v>80.903689356685348</v>
      </c>
      <c r="AA117" s="109">
        <f t="shared" si="47"/>
        <v>4.7430783723714844</v>
      </c>
      <c r="AB117" s="109">
        <f t="shared" si="40"/>
        <v>210.34959232738191</v>
      </c>
      <c r="AC117" s="109">
        <f t="shared" si="48"/>
        <v>2.0171067199173374</v>
      </c>
      <c r="AD117" s="132">
        <f t="shared" si="49"/>
        <v>67.601850922888218</v>
      </c>
      <c r="AE117" s="123">
        <f t="shared" si="41"/>
        <v>2.7414997510518673E-108</v>
      </c>
      <c r="AF117" s="98">
        <f t="shared" si="42"/>
        <v>7.1526094763267448E-2</v>
      </c>
      <c r="AG117" s="98">
        <f t="shared" si="43"/>
        <v>0.83453934824707987</v>
      </c>
      <c r="AH117" s="98">
        <f t="shared" si="50"/>
        <v>0.9060654430103473</v>
      </c>
      <c r="AI117" s="97">
        <f t="shared" si="44"/>
        <v>226.51636075258682</v>
      </c>
      <c r="AJ117" s="97">
        <f t="shared" si="45"/>
        <v>35.763047381633726</v>
      </c>
      <c r="AK117" s="97">
        <f t="shared" si="46"/>
        <v>417.26967412353991</v>
      </c>
      <c r="AM117" s="54">
        <v>13.005590673814535</v>
      </c>
      <c r="AN117" s="54">
        <v>65.867037507760102</v>
      </c>
      <c r="AP117" s="97">
        <f ca="1">AD117*AJ117/(AJ117+AK117)*2.71828^(-0.69315/半Cs134*(NOW()-R117)/365.25)+AD117*AK117/(AJ117+AK117)*2.71828^(-0.69315/半Cs137*(NOW()-R117)/365.25)</f>
        <v>64.865776728118874</v>
      </c>
    </row>
    <row r="118" spans="1:42" ht="9.9499999999999993" customHeight="1" x14ac:dyDescent="0.15">
      <c r="A118" s="9"/>
      <c r="R118" s="116">
        <v>43511</v>
      </c>
      <c r="S118" s="194">
        <f t="shared" si="51"/>
        <v>5.8774270143166785</v>
      </c>
      <c r="T118" s="194">
        <f t="shared" si="52"/>
        <v>47.847518810820844</v>
      </c>
      <c r="U118" s="184">
        <f t="shared" si="34"/>
        <v>53.724945825137524</v>
      </c>
      <c r="V118" s="183">
        <f t="shared" si="35"/>
        <v>0.9613520843227179</v>
      </c>
      <c r="W118" s="183">
        <f t="shared" si="36"/>
        <v>7.8262668045739954</v>
      </c>
      <c r="X118" s="344">
        <f t="shared" si="37"/>
        <v>8.7876188888967128</v>
      </c>
      <c r="Y118" s="345">
        <f t="shared" si="38"/>
        <v>1384.5526403983263</v>
      </c>
      <c r="Z118" s="339">
        <f t="shared" si="39"/>
        <v>69.227632019916314</v>
      </c>
      <c r="AA118" s="109">
        <f t="shared" si="47"/>
        <v>3.7192507798725596</v>
      </c>
      <c r="AB118" s="109">
        <f t="shared" si="40"/>
        <v>179.99184325178243</v>
      </c>
      <c r="AC118" s="109">
        <f t="shared" si="48"/>
        <v>1.5816997216066995</v>
      </c>
      <c r="AD118" s="132">
        <f t="shared" si="49"/>
        <v>53.009505014792595</v>
      </c>
      <c r="AE118" s="123">
        <f t="shared" si="41"/>
        <v>1.8816855526655323E-109</v>
      </c>
      <c r="AF118" s="98">
        <f t="shared" si="42"/>
        <v>6.9514253726295272E-2</v>
      </c>
      <c r="AG118" s="98">
        <f t="shared" si="43"/>
        <v>0.83290822405078624</v>
      </c>
      <c r="AH118" s="98">
        <f t="shared" si="50"/>
        <v>0.90242247777708151</v>
      </c>
      <c r="AI118" s="97">
        <f t="shared" si="44"/>
        <v>225.60561944427036</v>
      </c>
      <c r="AJ118" s="97">
        <f t="shared" si="45"/>
        <v>34.757126863147633</v>
      </c>
      <c r="AK118" s="97">
        <f t="shared" si="46"/>
        <v>416.4541120253931</v>
      </c>
      <c r="AM118" s="54">
        <v>11.925214231946883</v>
      </c>
      <c r="AN118" s="54">
        <v>60.356102339061025</v>
      </c>
      <c r="AP118" s="97">
        <f ca="1">AD118*AJ118/(AJ118+AK118)*2.71828^(-0.69315/半Cs134*(NOW()-R118)/365.25)+AD118*AK118/(AJ118+AK118)*2.71828^(-0.69315/半Cs137*(NOW()-R118)/365.25)</f>
        <v>51.069363775399758</v>
      </c>
    </row>
    <row r="119" spans="1:42" ht="9.9499999999999993" customHeight="1" x14ac:dyDescent="0.15">
      <c r="A119" s="9"/>
      <c r="R119" s="116">
        <v>43539</v>
      </c>
      <c r="S119" s="194">
        <f t="shared" si="51"/>
        <v>5.174613915042916</v>
      </c>
      <c r="T119" s="194">
        <f t="shared" si="52"/>
        <v>42.093643714728977</v>
      </c>
      <c r="U119" s="184">
        <f>S119+T119</f>
        <v>47.268257629771895</v>
      </c>
      <c r="V119" s="183">
        <f t="shared" si="35"/>
        <v>0.84639517609904458</v>
      </c>
      <c r="W119" s="183">
        <f t="shared" si="36"/>
        <v>6.8851237154150065</v>
      </c>
      <c r="X119" s="344">
        <f t="shared" si="37"/>
        <v>7.7315188915140514</v>
      </c>
      <c r="Y119" s="345">
        <f t="shared" si="38"/>
        <v>1678.5389220484969</v>
      </c>
      <c r="Z119" s="339">
        <f t="shared" si="39"/>
        <v>83.92694610242485</v>
      </c>
      <c r="AA119" s="109">
        <f t="shared" si="47"/>
        <v>3.967080510449398</v>
      </c>
      <c r="AB119" s="109">
        <f t="shared" si="40"/>
        <v>218.21005986630462</v>
      </c>
      <c r="AC119" s="109">
        <f t="shared" si="48"/>
        <v>1.6870952001747461</v>
      </c>
      <c r="AD119" s="132">
        <f t="shared" si="49"/>
        <v>56.541757106241441</v>
      </c>
      <c r="AE119" s="123">
        <f t="shared" si="41"/>
        <v>1.6737745890129772E-110</v>
      </c>
      <c r="AF119" s="98">
        <f t="shared" si="42"/>
        <v>6.7745789880355969E-2</v>
      </c>
      <c r="AG119" s="98">
        <f t="shared" si="43"/>
        <v>0.83143769096637177</v>
      </c>
      <c r="AH119" s="98">
        <f t="shared" si="50"/>
        <v>0.89918348084672772</v>
      </c>
      <c r="AI119" s="97">
        <f t="shared" si="44"/>
        <v>224.79587021168192</v>
      </c>
      <c r="AJ119" s="97">
        <f t="shared" si="45"/>
        <v>33.872894940177986</v>
      </c>
      <c r="AK119" s="97">
        <f t="shared" si="46"/>
        <v>415.71884548318587</v>
      </c>
      <c r="AM119" s="54">
        <v>10.49921663921751</v>
      </c>
      <c r="AN119" s="54">
        <v>53.098014923515528</v>
      </c>
      <c r="AP119" s="97">
        <f ca="1">AD119*AJ119/(AJ119+AK119)*2.71828^(-0.69315/半Cs134*(NOW()-R119)/365.25)+AD119*AK119/(AJ119+AK119)*2.71828^(-0.69315/半Cs137*(NOW()-R119)/365.25)</f>
        <v>54.668553598849336</v>
      </c>
    </row>
    <row r="120" spans="1:42" ht="9.9499999999999993" customHeight="1" x14ac:dyDescent="0.15">
      <c r="A120" s="9"/>
      <c r="R120" s="63"/>
      <c r="S120" s="63" t="s">
        <v>427</v>
      </c>
      <c r="T120" s="64"/>
      <c r="U120" s="64"/>
      <c r="V120" s="64"/>
      <c r="W120" s="64"/>
      <c r="X120" s="340"/>
      <c r="Y120" s="359" t="s">
        <v>286</v>
      </c>
      <c r="Z120" s="362" t="s">
        <v>265</v>
      </c>
      <c r="AA120" s="365" t="s">
        <v>283</v>
      </c>
      <c r="AB120" s="354" t="s">
        <v>457</v>
      </c>
      <c r="AC120" s="365" t="s">
        <v>284</v>
      </c>
      <c r="AD120" s="368" t="s">
        <v>285</v>
      </c>
      <c r="AE120" s="371" t="s">
        <v>269</v>
      </c>
      <c r="AF120" s="357" t="s">
        <v>270</v>
      </c>
      <c r="AG120" s="357" t="s">
        <v>271</v>
      </c>
      <c r="AH120" s="352" t="s">
        <v>272</v>
      </c>
      <c r="AI120" s="352" t="s">
        <v>273</v>
      </c>
      <c r="AJ120" s="357" t="s">
        <v>274</v>
      </c>
      <c r="AK120" s="357" t="s">
        <v>275</v>
      </c>
      <c r="AM120" s="62" t="s">
        <v>18</v>
      </c>
      <c r="AN120" s="62" t="s">
        <v>19</v>
      </c>
    </row>
    <row r="121" spans="1:42" ht="9.9499999999999993" customHeight="1" x14ac:dyDescent="0.15">
      <c r="A121" s="9"/>
      <c r="R121" s="61"/>
      <c r="S121" s="54" t="s">
        <v>15</v>
      </c>
      <c r="T121" s="54"/>
      <c r="U121" s="54"/>
      <c r="V121" s="54" t="s">
        <v>202</v>
      </c>
      <c r="W121" s="54"/>
      <c r="X121" s="341"/>
      <c r="Y121" s="360"/>
      <c r="Z121" s="363"/>
      <c r="AA121" s="366"/>
      <c r="AB121" s="355"/>
      <c r="AC121" s="366"/>
      <c r="AD121" s="369"/>
      <c r="AE121" s="372"/>
      <c r="AF121" s="358"/>
      <c r="AG121" s="358"/>
      <c r="AH121" s="353"/>
      <c r="AI121" s="353"/>
      <c r="AJ121" s="358"/>
      <c r="AK121" s="358"/>
    </row>
    <row r="122" spans="1:42" ht="9.9499999999999993" customHeight="1" x14ac:dyDescent="0.15">
      <c r="A122" s="9"/>
      <c r="R122" s="65" t="s">
        <v>267</v>
      </c>
      <c r="S122" s="62" t="s">
        <v>18</v>
      </c>
      <c r="T122" s="62" t="s">
        <v>19</v>
      </c>
      <c r="U122" s="60" t="s">
        <v>287</v>
      </c>
      <c r="V122" s="62" t="s">
        <v>18</v>
      </c>
      <c r="W122" s="62" t="s">
        <v>19</v>
      </c>
      <c r="X122" s="342" t="s">
        <v>287</v>
      </c>
      <c r="Y122" s="361"/>
      <c r="Z122" s="364"/>
      <c r="AA122" s="367"/>
      <c r="AB122" s="356"/>
      <c r="AC122" s="367"/>
      <c r="AD122" s="370"/>
      <c r="AE122" s="372"/>
      <c r="AF122" s="358"/>
      <c r="AG122" s="358"/>
      <c r="AH122" s="353"/>
      <c r="AI122" s="353"/>
      <c r="AJ122" s="358"/>
      <c r="AK122" s="358"/>
    </row>
    <row r="123" spans="1:42" ht="12" customHeight="1" x14ac:dyDescent="0.15">
      <c r="A123" s="9"/>
      <c r="J123" s="53"/>
      <c r="K123" s="53"/>
      <c r="M123" s="48"/>
      <c r="N123" s="48"/>
      <c r="O123" s="48"/>
      <c r="P123" s="48"/>
      <c r="S123" s="58"/>
      <c r="T123" s="9"/>
      <c r="X123" s="9"/>
      <c r="Y123" s="140" t="s">
        <v>293</v>
      </c>
      <c r="Z123" s="141" t="s">
        <v>294</v>
      </c>
      <c r="AD123" s="346"/>
      <c r="AE123" s="119">
        <f>8.021/365.25</f>
        <v>2.1960301163586587E-2</v>
      </c>
      <c r="AF123" s="119">
        <v>2.0619999999999998</v>
      </c>
      <c r="AG123" s="120">
        <v>30.07</v>
      </c>
      <c r="AH123" s="117" t="s">
        <v>268</v>
      </c>
      <c r="AI123" s="128"/>
      <c r="AJ123" s="128"/>
      <c r="AK123" s="128"/>
    </row>
    <row r="124" spans="1:42" ht="12" customHeight="1" x14ac:dyDescent="0.15">
      <c r="A124" s="9"/>
      <c r="J124" s="53"/>
      <c r="K124" s="53"/>
      <c r="M124" s="48"/>
      <c r="N124" s="48"/>
      <c r="O124" s="48"/>
      <c r="P124" s="48"/>
      <c r="X124" s="9"/>
    </row>
    <row r="125" spans="1:42" ht="12" customHeight="1" x14ac:dyDescent="0.15">
      <c r="A125" s="9"/>
      <c r="J125" s="52"/>
      <c r="K125" s="52"/>
      <c r="M125" s="48"/>
      <c r="N125" s="48"/>
      <c r="O125" s="48"/>
      <c r="P125" s="48"/>
      <c r="R125" s="116">
        <v>43081</v>
      </c>
      <c r="S125" s="54">
        <v>4.3</v>
      </c>
      <c r="T125" s="54">
        <v>77.599999999999994</v>
      </c>
    </row>
    <row r="126" spans="1:42" ht="12" customHeight="1" x14ac:dyDescent="0.15">
      <c r="A126" s="9"/>
      <c r="J126" s="53"/>
      <c r="K126" s="53"/>
      <c r="M126" s="48"/>
      <c r="N126" s="48"/>
      <c r="O126" s="48"/>
      <c r="P126" s="48"/>
      <c r="R126" s="116">
        <v>43109</v>
      </c>
      <c r="S126" s="54">
        <v>9.5</v>
      </c>
      <c r="T126" s="54">
        <v>31.7</v>
      </c>
      <c r="AF126" s="86"/>
      <c r="AG126" s="86"/>
      <c r="AK126" s="86"/>
      <c r="AL126" s="86"/>
    </row>
    <row r="127" spans="1:42" ht="12" customHeight="1" x14ac:dyDescent="0.15">
      <c r="A127" s="9"/>
      <c r="J127" s="52"/>
      <c r="K127" s="52"/>
      <c r="M127" s="48"/>
      <c r="N127" s="48"/>
      <c r="O127" s="48"/>
      <c r="P127" s="48"/>
      <c r="R127" s="54" t="s">
        <v>468</v>
      </c>
      <c r="S127" s="183">
        <f>AVERAGE(S126,S125)</f>
        <v>6.9</v>
      </c>
      <c r="T127" s="183">
        <f t="shared" ref="T127" si="53">AVERAGE(T126,T125)</f>
        <v>54.65</v>
      </c>
      <c r="AF127" s="86"/>
      <c r="AG127" s="86"/>
      <c r="AK127" s="86"/>
      <c r="AL127" s="86"/>
    </row>
    <row r="128" spans="1:42" ht="12" customHeight="1" x14ac:dyDescent="0.15">
      <c r="A128" s="9"/>
      <c r="J128" s="52"/>
      <c r="K128" s="52"/>
      <c r="M128" s="48"/>
      <c r="N128" s="48"/>
      <c r="O128" s="48"/>
      <c r="P128" s="48"/>
      <c r="T128" s="9"/>
      <c r="AF128" s="86"/>
      <c r="AG128" s="86"/>
      <c r="AK128" s="86"/>
      <c r="AL128" s="86"/>
    </row>
    <row r="129" spans="1:38" ht="12" customHeight="1" x14ac:dyDescent="0.15">
      <c r="A129" s="9"/>
      <c r="M129" s="48"/>
      <c r="N129" s="48"/>
      <c r="O129" s="48"/>
      <c r="P129" s="48"/>
      <c r="S129" s="196" t="s">
        <v>462</v>
      </c>
      <c r="AF129" s="86"/>
      <c r="AG129" s="86"/>
      <c r="AK129" s="86"/>
      <c r="AL129" s="86"/>
    </row>
    <row r="130" spans="1:38" ht="12" customHeight="1" x14ac:dyDescent="0.15">
      <c r="A130" s="9"/>
      <c r="M130" s="48"/>
      <c r="N130" s="48"/>
      <c r="O130" s="48"/>
      <c r="P130" s="48"/>
      <c r="T130" s="193" t="s">
        <v>465</v>
      </c>
      <c r="X130" s="9"/>
      <c r="AF130" s="9"/>
      <c r="AG130" s="9"/>
      <c r="AH130" s="9"/>
      <c r="AI130" s="9"/>
      <c r="AJ130" s="9"/>
      <c r="AK130" s="9"/>
      <c r="AL130" s="9"/>
    </row>
    <row r="131" spans="1:38" ht="12" customHeight="1" x14ac:dyDescent="0.15">
      <c r="A131" s="9"/>
      <c r="M131" s="48"/>
      <c r="N131" s="48"/>
      <c r="O131" s="48"/>
      <c r="P131" s="48"/>
      <c r="X131" s="9"/>
      <c r="AF131" s="9"/>
      <c r="AG131" s="9"/>
      <c r="AH131" s="9"/>
      <c r="AI131" s="9"/>
      <c r="AJ131" s="9"/>
      <c r="AK131" s="9"/>
      <c r="AL131" s="9"/>
    </row>
    <row r="132" spans="1:38" ht="12" customHeight="1" x14ac:dyDescent="0.15">
      <c r="A132" s="9"/>
      <c r="M132" s="48"/>
      <c r="N132" s="48"/>
      <c r="O132" s="48"/>
      <c r="P132" s="48"/>
      <c r="T132" s="9"/>
      <c r="X132" s="9"/>
      <c r="AF132" s="9"/>
      <c r="AG132" s="9"/>
      <c r="AH132" s="9"/>
      <c r="AI132" s="9"/>
      <c r="AJ132" s="9"/>
      <c r="AK132" s="9"/>
      <c r="AL132" s="9"/>
    </row>
    <row r="133" spans="1:38" ht="12" customHeight="1" x14ac:dyDescent="0.15">
      <c r="A133" s="9"/>
      <c r="M133" s="48"/>
      <c r="N133" s="48"/>
      <c r="O133" s="48"/>
      <c r="P133" s="48"/>
      <c r="T133" s="9"/>
      <c r="X133" s="9"/>
      <c r="AF133" s="9"/>
      <c r="AG133" s="9"/>
      <c r="AH133" s="9"/>
      <c r="AI133" s="9"/>
      <c r="AJ133" s="9"/>
      <c r="AK133" s="9"/>
      <c r="AL133" s="9"/>
    </row>
    <row r="134" spans="1:38" ht="12" customHeight="1" x14ac:dyDescent="0.15">
      <c r="A134" s="9"/>
      <c r="M134" s="48"/>
      <c r="N134" s="48"/>
      <c r="O134" s="48"/>
      <c r="P134" s="48"/>
      <c r="U134" s="47"/>
      <c r="V134" s="47"/>
      <c r="W134" s="47"/>
      <c r="AF134" s="86"/>
      <c r="AG134" s="86"/>
      <c r="AK134" s="86"/>
      <c r="AL134" s="86"/>
    </row>
    <row r="135" spans="1:38" ht="12" customHeight="1" x14ac:dyDescent="0.15">
      <c r="A135" s="9"/>
      <c r="M135" s="48"/>
      <c r="N135" s="48"/>
      <c r="O135" s="48"/>
      <c r="P135" s="48"/>
      <c r="V135" s="47"/>
      <c r="W135" s="47"/>
      <c r="AF135" s="86"/>
      <c r="AG135" s="86"/>
      <c r="AK135" s="86"/>
      <c r="AL135" s="86"/>
    </row>
    <row r="136" spans="1:38" ht="12" customHeight="1" x14ac:dyDescent="0.15">
      <c r="A136" s="9"/>
      <c r="M136" s="48"/>
      <c r="N136" s="48"/>
      <c r="O136" s="48"/>
      <c r="P136" s="48"/>
      <c r="U136" s="48"/>
      <c r="V136" s="47"/>
      <c r="W136" s="47"/>
      <c r="AF136" s="86"/>
      <c r="AG136" s="86"/>
      <c r="AK136" s="86"/>
      <c r="AL136" s="86"/>
    </row>
    <row r="137" spans="1:38" ht="12" customHeight="1" x14ac:dyDescent="0.15">
      <c r="A137" s="9"/>
      <c r="M137" s="48"/>
      <c r="N137" s="48"/>
      <c r="O137" s="48"/>
      <c r="P137" s="48"/>
      <c r="U137" s="47"/>
      <c r="V137" s="47"/>
      <c r="W137" s="47"/>
      <c r="AF137" s="86"/>
      <c r="AG137" s="86"/>
      <c r="AK137" s="86"/>
      <c r="AL137" s="86"/>
    </row>
    <row r="138" spans="1:38" ht="12" customHeight="1" x14ac:dyDescent="0.15">
      <c r="A138" s="9"/>
      <c r="M138" s="48"/>
      <c r="N138" s="48"/>
      <c r="O138" s="48"/>
      <c r="P138" s="48"/>
      <c r="U138" s="53"/>
      <c r="V138" s="47"/>
      <c r="W138" s="47"/>
      <c r="AF138" s="86"/>
      <c r="AG138" s="86"/>
      <c r="AK138" s="86"/>
      <c r="AL138" s="86"/>
    </row>
    <row r="139" spans="1:38" ht="12" customHeight="1" x14ac:dyDescent="0.15">
      <c r="A139" s="9"/>
      <c r="M139" s="48"/>
      <c r="N139" s="48"/>
      <c r="O139" s="48"/>
      <c r="P139" s="48"/>
      <c r="U139" s="53"/>
      <c r="V139" s="51"/>
      <c r="W139" s="51"/>
      <c r="AF139" s="86"/>
      <c r="AG139" s="86"/>
      <c r="AK139" s="86"/>
      <c r="AL139" s="86"/>
    </row>
    <row r="140" spans="1:38" ht="12" customHeight="1" x14ac:dyDescent="0.15">
      <c r="A140" s="9"/>
      <c r="M140" s="48"/>
      <c r="N140" s="48"/>
      <c r="O140" s="48"/>
      <c r="P140" s="48"/>
      <c r="U140" s="52"/>
      <c r="V140" s="47"/>
      <c r="W140" s="47"/>
      <c r="AF140" s="86"/>
      <c r="AG140" s="86"/>
      <c r="AK140" s="86"/>
      <c r="AL140" s="86"/>
    </row>
    <row r="141" spans="1:38" ht="12" customHeight="1" x14ac:dyDescent="0.15">
      <c r="A141" s="9"/>
      <c r="M141" s="48"/>
      <c r="N141" s="48"/>
      <c r="O141" s="48"/>
      <c r="P141" s="48"/>
      <c r="U141" s="53"/>
      <c r="AF141" s="86"/>
      <c r="AG141" s="86"/>
      <c r="AK141" s="86"/>
      <c r="AL141" s="86"/>
    </row>
    <row r="142" spans="1:38" ht="12" customHeight="1" x14ac:dyDescent="0.15">
      <c r="A142" s="9"/>
      <c r="M142" s="48"/>
      <c r="N142" s="48"/>
      <c r="O142" s="48"/>
      <c r="P142" s="48"/>
      <c r="U142" s="53"/>
      <c r="V142" s="48"/>
      <c r="W142" s="48"/>
      <c r="AF142" s="86"/>
      <c r="AG142" s="86"/>
      <c r="AK142" s="86"/>
      <c r="AL142" s="86"/>
    </row>
    <row r="143" spans="1:38" ht="12" customHeight="1" x14ac:dyDescent="0.15">
      <c r="A143" s="9"/>
      <c r="M143" s="48"/>
      <c r="N143" s="48"/>
      <c r="O143" s="48"/>
      <c r="P143" s="48"/>
      <c r="U143" s="53"/>
      <c r="V143" s="47"/>
      <c r="W143" s="47"/>
    </row>
    <row r="144" spans="1:38" ht="12" customHeight="1" x14ac:dyDescent="0.15">
      <c r="A144" s="9"/>
      <c r="M144" s="48"/>
      <c r="N144" s="48"/>
      <c r="O144" s="48"/>
      <c r="P144" s="48"/>
      <c r="U144" s="52"/>
      <c r="V144" s="53"/>
      <c r="W144" s="53"/>
    </row>
    <row r="145" spans="1:38" ht="12" customHeight="1" x14ac:dyDescent="0.15">
      <c r="A145" s="9"/>
      <c r="M145" s="48"/>
      <c r="N145" s="48"/>
      <c r="O145" s="48"/>
      <c r="P145" s="48"/>
      <c r="U145" s="53"/>
      <c r="V145" s="53"/>
      <c r="W145" s="53"/>
    </row>
    <row r="146" spans="1:38" ht="12" customHeight="1" x14ac:dyDescent="0.15">
      <c r="A146" s="9"/>
      <c r="M146" s="48"/>
      <c r="N146" s="48"/>
      <c r="O146" s="48"/>
      <c r="P146" s="48"/>
      <c r="U146" s="50"/>
      <c r="V146" s="52"/>
      <c r="W146" s="52"/>
    </row>
    <row r="147" spans="1:38" ht="12" customHeight="1" x14ac:dyDescent="0.15">
      <c r="A147" s="9"/>
      <c r="U147" s="50"/>
      <c r="V147" s="53"/>
      <c r="W147" s="53"/>
    </row>
    <row r="148" spans="1:38" ht="12" customHeight="1" x14ac:dyDescent="0.15">
      <c r="A148" s="9"/>
      <c r="U148" s="47"/>
      <c r="V148" s="53"/>
      <c r="W148" s="53"/>
    </row>
    <row r="149" spans="1:38" ht="12" customHeight="1" x14ac:dyDescent="0.15">
      <c r="A149" s="9"/>
      <c r="U149" s="51"/>
      <c r="V149" s="53"/>
      <c r="W149" s="53"/>
    </row>
    <row r="150" spans="1:38" ht="12" customHeight="1" x14ac:dyDescent="0.15">
      <c r="A150" s="9"/>
      <c r="U150" s="51"/>
      <c r="V150" s="52"/>
      <c r="W150" s="52"/>
    </row>
    <row r="151" spans="1:38" ht="12" customHeight="1" x14ac:dyDescent="0.15">
      <c r="A151" s="9"/>
      <c r="U151" s="51"/>
      <c r="V151" s="53"/>
      <c r="W151" s="53"/>
    </row>
    <row r="152" spans="1:38" ht="12" customHeight="1" x14ac:dyDescent="0.15">
      <c r="A152" s="9"/>
      <c r="U152" s="51"/>
      <c r="V152" s="50"/>
      <c r="W152" s="50"/>
    </row>
    <row r="153" spans="1:38" ht="12" customHeight="1" x14ac:dyDescent="0.15">
      <c r="A153" s="9"/>
      <c r="U153" s="51"/>
      <c r="V153" s="50"/>
      <c r="W153" s="50"/>
    </row>
    <row r="154" spans="1:38" ht="12" customHeight="1" x14ac:dyDescent="0.15">
      <c r="A154" s="9"/>
      <c r="U154" s="51"/>
      <c r="V154" s="47"/>
      <c r="W154" s="47"/>
    </row>
    <row r="155" spans="1:38" ht="12" customHeight="1" x14ac:dyDescent="0.15">
      <c r="A155" s="9"/>
      <c r="U155" s="51"/>
      <c r="V155" s="51"/>
      <c r="W155" s="51"/>
    </row>
    <row r="156" spans="1:38" ht="12" customHeight="1" x14ac:dyDescent="0.15">
      <c r="A156" s="9"/>
      <c r="U156" s="51"/>
      <c r="V156" s="51"/>
      <c r="W156" s="51"/>
    </row>
    <row r="157" spans="1:38" ht="12" customHeight="1" x14ac:dyDescent="0.15">
      <c r="A157" s="9"/>
      <c r="U157" s="51"/>
      <c r="V157" s="51"/>
      <c r="W157" s="51"/>
    </row>
    <row r="158" spans="1:38" ht="12" customHeight="1" x14ac:dyDescent="0.15">
      <c r="A158" s="9"/>
      <c r="U158" s="51"/>
      <c r="V158" s="51"/>
      <c r="W158" s="51"/>
    </row>
    <row r="159" spans="1:38" ht="12" customHeight="1" x14ac:dyDescent="0.15">
      <c r="A159" s="9"/>
      <c r="U159" s="51"/>
      <c r="V159" s="51"/>
      <c r="W159" s="51"/>
    </row>
    <row r="160" spans="1:38" ht="12" customHeight="1" x14ac:dyDescent="0.15">
      <c r="A160" s="9"/>
      <c r="U160" s="51"/>
      <c r="V160" s="51"/>
      <c r="W160" s="51"/>
      <c r="AF160" s="86"/>
      <c r="AG160" s="86"/>
      <c r="AK160" s="86"/>
      <c r="AL160" s="86"/>
    </row>
    <row r="161" spans="1:38" ht="12" customHeight="1" x14ac:dyDescent="0.15">
      <c r="A161" s="9"/>
      <c r="U161" s="51"/>
      <c r="V161" s="51"/>
      <c r="W161" s="51"/>
      <c r="AF161" s="86"/>
      <c r="AG161" s="86"/>
      <c r="AK161" s="86"/>
      <c r="AL161" s="86"/>
    </row>
    <row r="162" spans="1:38" ht="12" customHeight="1" x14ac:dyDescent="0.15">
      <c r="A162" s="9"/>
      <c r="U162" s="51"/>
      <c r="V162" s="51"/>
      <c r="W162" s="51"/>
      <c r="AF162" s="86"/>
      <c r="AG162" s="86"/>
      <c r="AK162" s="86"/>
      <c r="AL162" s="86"/>
    </row>
    <row r="163" spans="1:38" ht="12" customHeight="1" x14ac:dyDescent="0.15">
      <c r="A163" s="9"/>
      <c r="U163" s="51"/>
      <c r="V163" s="51"/>
      <c r="W163" s="51"/>
    </row>
    <row r="164" spans="1:38" ht="12" customHeight="1" x14ac:dyDescent="0.15">
      <c r="A164" s="9"/>
      <c r="U164" s="51"/>
      <c r="V164" s="51"/>
      <c r="W164" s="51"/>
    </row>
    <row r="165" spans="1:38" ht="12" customHeight="1" x14ac:dyDescent="0.15">
      <c r="A165" s="9"/>
      <c r="U165" s="51"/>
      <c r="V165" s="51"/>
      <c r="W165" s="51"/>
    </row>
    <row r="166" spans="1:38" ht="12" customHeight="1" x14ac:dyDescent="0.15">
      <c r="A166" s="9"/>
      <c r="U166" s="51"/>
      <c r="V166" s="51"/>
      <c r="W166" s="51"/>
    </row>
    <row r="167" spans="1:38" ht="12" customHeight="1" x14ac:dyDescent="0.15">
      <c r="A167" s="9"/>
      <c r="U167" s="51"/>
      <c r="V167" s="51"/>
      <c r="W167" s="51"/>
    </row>
    <row r="168" spans="1:38" ht="12" customHeight="1" x14ac:dyDescent="0.15">
      <c r="A168" s="9"/>
      <c r="U168" s="51"/>
      <c r="V168" s="51"/>
      <c r="W168" s="51"/>
    </row>
    <row r="169" spans="1:38" ht="12" customHeight="1" x14ac:dyDescent="0.15">
      <c r="A169" s="9"/>
      <c r="U169" s="51"/>
      <c r="V169" s="51"/>
      <c r="W169" s="51"/>
    </row>
    <row r="170" spans="1:38" ht="12" customHeight="1" x14ac:dyDescent="0.15">
      <c r="A170" s="9"/>
      <c r="U170" s="51"/>
      <c r="V170" s="51"/>
      <c r="W170" s="51"/>
    </row>
    <row r="171" spans="1:38" ht="12" customHeight="1" x14ac:dyDescent="0.15">
      <c r="A171" s="9"/>
      <c r="U171" s="51"/>
      <c r="V171" s="51"/>
      <c r="W171" s="51"/>
    </row>
    <row r="172" spans="1:38" ht="12" customHeight="1" x14ac:dyDescent="0.15">
      <c r="A172" s="9"/>
      <c r="U172" s="51"/>
      <c r="V172" s="51"/>
      <c r="W172" s="51"/>
    </row>
    <row r="173" spans="1:38" ht="12" customHeight="1" x14ac:dyDescent="0.15">
      <c r="A173" s="9"/>
      <c r="U173" s="51"/>
      <c r="V173" s="51"/>
      <c r="W173" s="51"/>
    </row>
    <row r="174" spans="1:38" ht="12" customHeight="1" x14ac:dyDescent="0.15">
      <c r="A174" s="9"/>
      <c r="U174" s="51"/>
      <c r="V174" s="51"/>
      <c r="W174" s="51"/>
    </row>
    <row r="175" spans="1:38" ht="12" customHeight="1" x14ac:dyDescent="0.15">
      <c r="A175" s="9"/>
      <c r="U175" s="53"/>
      <c r="V175" s="51"/>
      <c r="W175" s="51"/>
    </row>
    <row r="176" spans="1:38" ht="12" customHeight="1" x14ac:dyDescent="0.15">
      <c r="A176" s="9"/>
      <c r="U176" s="53"/>
      <c r="V176" s="51"/>
      <c r="W176" s="51"/>
    </row>
    <row r="177" spans="1:23" ht="12" customHeight="1" x14ac:dyDescent="0.15">
      <c r="A177" s="9"/>
      <c r="U177" s="53"/>
      <c r="V177" s="51"/>
      <c r="W177" s="51"/>
    </row>
    <row r="178" spans="1:23" ht="12" customHeight="1" x14ac:dyDescent="0.15">
      <c r="A178" s="9"/>
      <c r="U178" s="53"/>
      <c r="V178" s="51"/>
      <c r="W178" s="51"/>
    </row>
    <row r="179" spans="1:23" ht="12" customHeight="1" x14ac:dyDescent="0.15">
      <c r="A179" s="9"/>
      <c r="U179" s="53"/>
      <c r="V179" s="51"/>
      <c r="W179" s="51"/>
    </row>
    <row r="180" spans="1:23" ht="12" customHeight="1" x14ac:dyDescent="0.15">
      <c r="A180" s="9"/>
      <c r="U180" s="53"/>
      <c r="V180" s="51"/>
      <c r="W180" s="51"/>
    </row>
    <row r="181" spans="1:23" ht="12" customHeight="1" x14ac:dyDescent="0.15">
      <c r="A181" s="9"/>
      <c r="U181" s="53"/>
      <c r="V181" s="53"/>
      <c r="W181" s="53"/>
    </row>
    <row r="182" spans="1:23" ht="12" customHeight="1" x14ac:dyDescent="0.15">
      <c r="A182" s="9"/>
      <c r="U182" s="53"/>
      <c r="V182" s="53"/>
      <c r="W182" s="53"/>
    </row>
    <row r="183" spans="1:23" ht="12" customHeight="1" x14ac:dyDescent="0.15">
      <c r="A183" s="9"/>
      <c r="U183" s="53"/>
      <c r="V183" s="53"/>
      <c r="W183" s="53"/>
    </row>
    <row r="184" spans="1:23" ht="12" customHeight="1" x14ac:dyDescent="0.15">
      <c r="A184" s="9"/>
      <c r="U184" s="53"/>
      <c r="V184" s="53"/>
      <c r="W184" s="53"/>
    </row>
    <row r="185" spans="1:23" ht="12" customHeight="1" x14ac:dyDescent="0.15">
      <c r="A185" s="9"/>
      <c r="U185" s="47"/>
      <c r="V185" s="53"/>
      <c r="W185" s="53"/>
    </row>
    <row r="186" spans="1:23" ht="12" customHeight="1" x14ac:dyDescent="0.15">
      <c r="A186" s="9"/>
      <c r="U186" s="47"/>
      <c r="V186" s="53"/>
      <c r="W186" s="53"/>
    </row>
    <row r="187" spans="1:23" ht="12" customHeight="1" x14ac:dyDescent="0.15">
      <c r="A187" s="9"/>
      <c r="U187" s="47"/>
      <c r="V187" s="53"/>
      <c r="W187" s="53"/>
    </row>
    <row r="188" spans="1:23" ht="12" customHeight="1" x14ac:dyDescent="0.15">
      <c r="A188" s="9"/>
      <c r="U188" s="51"/>
      <c r="V188" s="53"/>
      <c r="W188" s="53"/>
    </row>
    <row r="189" spans="1:23" ht="12" customHeight="1" x14ac:dyDescent="0.15">
      <c r="A189" s="9"/>
      <c r="U189" s="51"/>
      <c r="V189" s="53"/>
      <c r="W189" s="53"/>
    </row>
    <row r="190" spans="1:23" ht="12" customHeight="1" x14ac:dyDescent="0.15">
      <c r="A190" s="9"/>
      <c r="U190" s="51"/>
      <c r="V190" s="53"/>
      <c r="W190" s="53"/>
    </row>
    <row r="191" spans="1:23" ht="12" customHeight="1" x14ac:dyDescent="0.15">
      <c r="A191" s="9"/>
      <c r="U191" s="51"/>
      <c r="V191" s="47"/>
      <c r="W191" s="47"/>
    </row>
    <row r="192" spans="1:23" ht="12" customHeight="1" x14ac:dyDescent="0.15">
      <c r="A192" s="9"/>
      <c r="U192" s="47"/>
      <c r="V192" s="47"/>
      <c r="W192" s="47"/>
    </row>
    <row r="193" spans="1:23" ht="12" customHeight="1" x14ac:dyDescent="0.15">
      <c r="A193" s="9"/>
      <c r="U193" s="51"/>
      <c r="V193" s="47"/>
      <c r="W193" s="47"/>
    </row>
    <row r="194" spans="1:23" ht="12" customHeight="1" x14ac:dyDescent="0.15">
      <c r="A194" s="9"/>
      <c r="U194" s="51"/>
      <c r="V194" s="51"/>
      <c r="W194" s="51"/>
    </row>
    <row r="195" spans="1:23" ht="12" customHeight="1" x14ac:dyDescent="0.15">
      <c r="A195" s="9"/>
      <c r="U195" s="47"/>
      <c r="V195" s="51"/>
      <c r="W195" s="51"/>
    </row>
    <row r="196" spans="1:23" ht="12" customHeight="1" x14ac:dyDescent="0.15">
      <c r="A196" s="9"/>
      <c r="U196" s="47"/>
      <c r="V196" s="51"/>
      <c r="W196" s="51"/>
    </row>
    <row r="197" spans="1:23" ht="12" customHeight="1" x14ac:dyDescent="0.15">
      <c r="A197" s="9"/>
      <c r="U197" s="47"/>
      <c r="V197" s="51"/>
      <c r="W197" s="51"/>
    </row>
    <row r="198" spans="1:23" ht="12" customHeight="1" x14ac:dyDescent="0.15">
      <c r="A198" s="9"/>
      <c r="U198" s="47"/>
      <c r="V198" s="47"/>
      <c r="W198" s="47"/>
    </row>
    <row r="199" spans="1:23" ht="12" customHeight="1" x14ac:dyDescent="0.15">
      <c r="A199" s="9"/>
      <c r="U199" s="47"/>
      <c r="V199" s="51"/>
      <c r="W199" s="51"/>
    </row>
    <row r="200" spans="1:23" ht="12" customHeight="1" x14ac:dyDescent="0.15">
      <c r="A200" s="9"/>
      <c r="U200" s="47"/>
      <c r="V200" s="51"/>
      <c r="W200" s="51"/>
    </row>
    <row r="201" spans="1:23" ht="12" customHeight="1" x14ac:dyDescent="0.15">
      <c r="A201" s="9"/>
      <c r="U201" s="47"/>
      <c r="V201" s="47"/>
      <c r="W201" s="47"/>
    </row>
    <row r="202" spans="1:23" ht="12" customHeight="1" x14ac:dyDescent="0.15">
      <c r="A202" s="9"/>
      <c r="U202" s="47"/>
      <c r="V202" s="47"/>
      <c r="W202" s="47"/>
    </row>
    <row r="203" spans="1:23" ht="12" customHeight="1" x14ac:dyDescent="0.15">
      <c r="A203" s="9"/>
      <c r="U203" s="47"/>
      <c r="V203" s="47"/>
      <c r="W203" s="47"/>
    </row>
    <row r="204" spans="1:23" ht="12" customHeight="1" x14ac:dyDescent="0.15">
      <c r="A204" s="9"/>
      <c r="U204" s="47"/>
      <c r="V204" s="47"/>
      <c r="W204" s="47"/>
    </row>
    <row r="205" spans="1:23" ht="12" customHeight="1" x14ac:dyDescent="0.15">
      <c r="A205" s="9"/>
      <c r="U205" s="52"/>
      <c r="V205" s="47"/>
      <c r="W205" s="47"/>
    </row>
    <row r="206" spans="1:23" ht="12" customHeight="1" x14ac:dyDescent="0.15">
      <c r="A206" s="9"/>
      <c r="U206" s="47"/>
      <c r="V206" s="47"/>
      <c r="W206" s="47"/>
    </row>
    <row r="207" spans="1:23" ht="12" customHeight="1" x14ac:dyDescent="0.15">
      <c r="A207" s="9"/>
      <c r="U207" s="51"/>
      <c r="V207" s="47"/>
      <c r="W207" s="47"/>
    </row>
    <row r="208" spans="1:23" ht="12" customHeight="1" x14ac:dyDescent="0.15">
      <c r="A208" s="9"/>
      <c r="U208" s="47"/>
      <c r="V208" s="47"/>
      <c r="W208" s="47"/>
    </row>
    <row r="209" spans="1:23" ht="12" customHeight="1" x14ac:dyDescent="0.15">
      <c r="A209" s="9"/>
      <c r="U209" s="51"/>
      <c r="V209" s="47"/>
      <c r="W209" s="47"/>
    </row>
    <row r="210" spans="1:23" ht="12" customHeight="1" x14ac:dyDescent="0.15">
      <c r="A210" s="9"/>
      <c r="U210" s="51"/>
      <c r="V210" s="47"/>
      <c r="W210" s="47"/>
    </row>
    <row r="211" spans="1:23" ht="12" customHeight="1" x14ac:dyDescent="0.15">
      <c r="A211" s="9"/>
      <c r="U211" s="47"/>
      <c r="V211" s="52"/>
      <c r="W211" s="52"/>
    </row>
    <row r="212" spans="1:23" ht="12" customHeight="1" x14ac:dyDescent="0.15">
      <c r="A212" s="9"/>
      <c r="U212" s="52"/>
      <c r="V212" s="47"/>
      <c r="W212" s="47"/>
    </row>
    <row r="213" spans="1:23" ht="12" customHeight="1" x14ac:dyDescent="0.15">
      <c r="A213" s="9"/>
      <c r="U213" s="52"/>
      <c r="V213" s="51"/>
      <c r="W213" s="51"/>
    </row>
    <row r="214" spans="1:23" ht="12" customHeight="1" x14ac:dyDescent="0.15">
      <c r="A214" s="9"/>
      <c r="U214" s="52"/>
      <c r="V214" s="47"/>
      <c r="W214" s="47"/>
    </row>
    <row r="215" spans="1:23" ht="12" customHeight="1" x14ac:dyDescent="0.15">
      <c r="A215" s="9"/>
      <c r="U215" s="52"/>
      <c r="V215" s="51"/>
      <c r="W215" s="51"/>
    </row>
    <row r="216" spans="1:23" ht="12" customHeight="1" x14ac:dyDescent="0.15">
      <c r="A216" s="9"/>
      <c r="U216" s="52"/>
      <c r="V216" s="51"/>
      <c r="W216" s="51"/>
    </row>
    <row r="217" spans="1:23" ht="12" customHeight="1" x14ac:dyDescent="0.15">
      <c r="A217" s="9"/>
      <c r="U217" s="52"/>
      <c r="V217" s="47"/>
      <c r="W217" s="47"/>
    </row>
    <row r="218" spans="1:23" ht="12" customHeight="1" x14ac:dyDescent="0.15">
      <c r="A218" s="9"/>
      <c r="U218" s="52"/>
      <c r="V218" s="52"/>
      <c r="W218" s="52"/>
    </row>
    <row r="219" spans="1:23" ht="12" customHeight="1" x14ac:dyDescent="0.15">
      <c r="A219" s="9"/>
      <c r="U219" s="53"/>
      <c r="V219" s="52"/>
      <c r="W219" s="52"/>
    </row>
    <row r="220" spans="1:23" ht="12" customHeight="1" x14ac:dyDescent="0.15">
      <c r="A220" s="9"/>
      <c r="U220" s="53"/>
      <c r="V220" s="52"/>
      <c r="W220" s="52"/>
    </row>
    <row r="221" spans="1:23" ht="12" customHeight="1" x14ac:dyDescent="0.15">
      <c r="A221" s="9"/>
      <c r="U221" s="53"/>
      <c r="V221" s="52"/>
      <c r="W221" s="52"/>
    </row>
    <row r="222" spans="1:23" ht="12" customHeight="1" x14ac:dyDescent="0.15">
      <c r="A222" s="9"/>
      <c r="V222" s="52"/>
      <c r="W222" s="52"/>
    </row>
    <row r="223" spans="1:23" ht="12" customHeight="1" x14ac:dyDescent="0.15">
      <c r="A223" s="9"/>
      <c r="V223" s="52"/>
      <c r="W223" s="52"/>
    </row>
    <row r="224" spans="1:23" ht="12" customHeight="1" x14ac:dyDescent="0.15">
      <c r="A224" s="9"/>
      <c r="V224" s="52"/>
      <c r="W224" s="52"/>
    </row>
    <row r="225" spans="1:38" ht="12" customHeight="1" x14ac:dyDescent="0.15">
      <c r="A225" s="9"/>
      <c r="V225" s="53"/>
      <c r="W225" s="53"/>
      <c r="AF225" s="86"/>
      <c r="AG225" s="86"/>
      <c r="AK225" s="86"/>
      <c r="AL225" s="86"/>
    </row>
    <row r="226" spans="1:38" ht="12" customHeight="1" x14ac:dyDescent="0.15">
      <c r="A226" s="9"/>
      <c r="V226" s="53"/>
      <c r="W226" s="53"/>
      <c r="AF226" s="86"/>
      <c r="AG226" s="86"/>
      <c r="AK226" s="86"/>
      <c r="AL226" s="86"/>
    </row>
    <row r="227" spans="1:38" ht="12" customHeight="1" x14ac:dyDescent="0.15">
      <c r="A227" s="9"/>
      <c r="V227" s="53"/>
      <c r="W227" s="53"/>
      <c r="AF227" s="86"/>
      <c r="AG227" s="86"/>
      <c r="AK227" s="86"/>
      <c r="AL227" s="86"/>
    </row>
    <row r="228" spans="1:38" ht="12" customHeight="1" x14ac:dyDescent="0.15">
      <c r="A228" s="9"/>
      <c r="AF228" s="86"/>
      <c r="AG228" s="86"/>
      <c r="AK228" s="86"/>
      <c r="AL228" s="86"/>
    </row>
    <row r="229" spans="1:38" ht="12" customHeight="1" x14ac:dyDescent="0.15">
      <c r="A229" s="9"/>
      <c r="AF229" s="86"/>
      <c r="AG229" s="86"/>
      <c r="AK229" s="86"/>
      <c r="AL229" s="86"/>
    </row>
    <row r="230" spans="1:38" ht="12" customHeight="1" x14ac:dyDescent="0.15">
      <c r="A230" s="9"/>
      <c r="AF230" s="86"/>
      <c r="AG230" s="86"/>
      <c r="AK230" s="86"/>
      <c r="AL230" s="86"/>
    </row>
    <row r="231" spans="1:38" ht="12" customHeight="1" x14ac:dyDescent="0.15">
      <c r="A231" s="9"/>
      <c r="AF231" s="86"/>
      <c r="AG231" s="86"/>
      <c r="AK231" s="86"/>
      <c r="AL231" s="86"/>
    </row>
    <row r="232" spans="1:38" ht="12" customHeight="1" x14ac:dyDescent="0.15">
      <c r="A232" s="9"/>
      <c r="AF232" s="86"/>
      <c r="AG232" s="86"/>
      <c r="AK232" s="86"/>
      <c r="AL232" s="86"/>
    </row>
    <row r="233" spans="1:38" ht="12" customHeight="1" x14ac:dyDescent="0.15">
      <c r="A233" s="9"/>
      <c r="AF233" s="86"/>
      <c r="AG233" s="86"/>
      <c r="AK233" s="86"/>
      <c r="AL233" s="86"/>
    </row>
    <row r="234" spans="1:38" ht="12" customHeight="1" x14ac:dyDescent="0.15">
      <c r="A234" s="9"/>
      <c r="AF234" s="86"/>
      <c r="AG234" s="86"/>
      <c r="AK234" s="86"/>
      <c r="AL234" s="86"/>
    </row>
    <row r="235" spans="1:38" ht="12" customHeight="1" x14ac:dyDescent="0.15">
      <c r="A235" s="9"/>
      <c r="AF235" s="86"/>
      <c r="AG235" s="86"/>
      <c r="AK235" s="86"/>
      <c r="AL235" s="86"/>
    </row>
    <row r="236" spans="1:38" ht="12" customHeight="1" x14ac:dyDescent="0.15">
      <c r="A236" s="9"/>
      <c r="AF236" s="86"/>
      <c r="AG236" s="86"/>
      <c r="AK236" s="86"/>
      <c r="AL236" s="86"/>
    </row>
    <row r="237" spans="1:38" ht="12" customHeight="1" x14ac:dyDescent="0.15">
      <c r="A237" s="9"/>
      <c r="AF237" s="86"/>
      <c r="AG237" s="86"/>
      <c r="AK237" s="86"/>
      <c r="AL237" s="86"/>
    </row>
    <row r="238" spans="1:38" ht="12" customHeight="1" x14ac:dyDescent="0.15">
      <c r="A238" s="9"/>
      <c r="AF238" s="86"/>
      <c r="AG238" s="86"/>
      <c r="AK238" s="86"/>
      <c r="AL238" s="86"/>
    </row>
    <row r="239" spans="1:38" ht="12" customHeight="1" x14ac:dyDescent="0.15">
      <c r="A239" s="9"/>
      <c r="AF239" s="86"/>
      <c r="AG239" s="86"/>
      <c r="AK239" s="86"/>
      <c r="AL239" s="86"/>
    </row>
    <row r="240" spans="1:38" ht="12" customHeight="1" x14ac:dyDescent="0.15">
      <c r="A240" s="9"/>
      <c r="AF240" s="86"/>
      <c r="AG240" s="86"/>
      <c r="AK240" s="86"/>
      <c r="AL240" s="86"/>
    </row>
    <row r="241" spans="1:38" ht="12" customHeight="1" x14ac:dyDescent="0.15">
      <c r="A241" s="9"/>
    </row>
    <row r="242" spans="1:38" ht="12" customHeight="1" x14ac:dyDescent="0.15">
      <c r="A242" s="9"/>
      <c r="AF242" s="86"/>
      <c r="AG242" s="86"/>
      <c r="AK242" s="86"/>
      <c r="AL242" s="86"/>
    </row>
    <row r="243" spans="1:38" ht="12" customHeight="1" x14ac:dyDescent="0.15">
      <c r="A243" s="9"/>
      <c r="AF243" s="86"/>
      <c r="AG243" s="86"/>
      <c r="AK243" s="86"/>
      <c r="AL243" s="86"/>
    </row>
    <row r="244" spans="1:38" ht="12" customHeight="1" x14ac:dyDescent="0.15">
      <c r="A244" s="9"/>
      <c r="AF244" s="86"/>
      <c r="AG244" s="86"/>
      <c r="AK244" s="86"/>
      <c r="AL244" s="86"/>
    </row>
    <row r="245" spans="1:38" ht="12" customHeight="1" x14ac:dyDescent="0.15">
      <c r="A245" s="9"/>
      <c r="AF245" s="86"/>
      <c r="AG245" s="86"/>
      <c r="AK245" s="86"/>
      <c r="AL245" s="86"/>
    </row>
    <row r="246" spans="1:38" ht="12" customHeight="1" x14ac:dyDescent="0.15">
      <c r="A246" s="9"/>
      <c r="AF246" s="86"/>
      <c r="AG246" s="86"/>
      <c r="AK246" s="86"/>
      <c r="AL246" s="86"/>
    </row>
    <row r="247" spans="1:38" ht="12" customHeight="1" x14ac:dyDescent="0.15">
      <c r="A247" s="9"/>
      <c r="AF247" s="86"/>
      <c r="AG247" s="86"/>
      <c r="AK247" s="86"/>
      <c r="AL247" s="86"/>
    </row>
    <row r="248" spans="1:38" ht="12" customHeight="1" x14ac:dyDescent="0.15">
      <c r="A248" s="9"/>
      <c r="AF248" s="86"/>
      <c r="AG248" s="86"/>
      <c r="AK248" s="86"/>
      <c r="AL248" s="86"/>
    </row>
    <row r="249" spans="1:38" ht="12" customHeight="1" x14ac:dyDescent="0.15">
      <c r="A249" s="9"/>
      <c r="AF249" s="86"/>
      <c r="AG249" s="86"/>
      <c r="AK249" s="86"/>
      <c r="AL249" s="86"/>
    </row>
    <row r="250" spans="1:38" ht="12" customHeight="1" x14ac:dyDescent="0.15">
      <c r="A250" s="9"/>
      <c r="AF250" s="86"/>
      <c r="AG250" s="86"/>
      <c r="AK250" s="86"/>
      <c r="AL250" s="86"/>
    </row>
    <row r="251" spans="1:38" ht="12" customHeight="1" x14ac:dyDescent="0.15">
      <c r="A251" s="9"/>
    </row>
    <row r="252" spans="1:38" ht="12" customHeight="1" x14ac:dyDescent="0.15">
      <c r="A252" s="9"/>
    </row>
    <row r="253" spans="1:38" ht="12" customHeight="1" x14ac:dyDescent="0.15">
      <c r="A253" s="9"/>
    </row>
    <row r="254" spans="1:38" ht="12" customHeight="1" x14ac:dyDescent="0.15">
      <c r="A254" s="9"/>
    </row>
    <row r="255" spans="1:38" ht="12" customHeight="1" x14ac:dyDescent="0.15">
      <c r="A255" s="9"/>
    </row>
    <row r="256" spans="1:38" ht="12" customHeight="1" x14ac:dyDescent="0.15">
      <c r="A256" s="9"/>
    </row>
    <row r="257" spans="1:37" ht="12" customHeight="1" x14ac:dyDescent="0.15">
      <c r="A257" s="9"/>
      <c r="AF257" s="86"/>
      <c r="AG257" s="86"/>
    </row>
    <row r="258" spans="1:37" ht="12" customHeight="1" x14ac:dyDescent="0.15">
      <c r="A258" s="9"/>
      <c r="AF258" s="96"/>
      <c r="AG258" s="86"/>
      <c r="AK258" s="86"/>
    </row>
    <row r="259" spans="1:37" ht="12" customHeight="1" x14ac:dyDescent="0.15">
      <c r="A259" s="9"/>
      <c r="AF259" s="86"/>
      <c r="AG259" s="86"/>
      <c r="AK259" s="86"/>
    </row>
    <row r="260" spans="1:37" ht="12" customHeight="1" x14ac:dyDescent="0.15">
      <c r="A260" s="9"/>
      <c r="AF260" s="86"/>
      <c r="AG260" s="86"/>
      <c r="AK260" s="86"/>
    </row>
    <row r="261" spans="1:37" ht="12" customHeight="1" x14ac:dyDescent="0.15">
      <c r="A261" s="9"/>
      <c r="AF261" s="86"/>
      <c r="AG261" s="86"/>
      <c r="AK261" s="86"/>
    </row>
    <row r="262" spans="1:37" ht="12" customHeight="1" x14ac:dyDescent="0.15">
      <c r="A262" s="9"/>
      <c r="AF262" s="86"/>
      <c r="AG262" s="86"/>
      <c r="AK262" s="86"/>
    </row>
    <row r="263" spans="1:37" ht="12" customHeight="1" x14ac:dyDescent="0.15">
      <c r="A263" s="9"/>
      <c r="AF263" s="86"/>
      <c r="AG263" s="86"/>
      <c r="AK263" s="86"/>
    </row>
    <row r="264" spans="1:37" ht="12" customHeight="1" x14ac:dyDescent="0.15">
      <c r="A264" s="9"/>
      <c r="AF264" s="86"/>
      <c r="AH264" s="117"/>
      <c r="AI264" s="117"/>
      <c r="AJ264" s="117"/>
    </row>
    <row r="265" spans="1:37" ht="12" customHeight="1" x14ac:dyDescent="0.15">
      <c r="A265" s="9"/>
      <c r="AF265" s="86"/>
      <c r="AH265" s="117"/>
      <c r="AI265" s="117"/>
      <c r="AJ265" s="117"/>
    </row>
    <row r="266" spans="1:37" ht="12" customHeight="1" x14ac:dyDescent="0.15">
      <c r="A266" s="9"/>
      <c r="AF266" s="86"/>
      <c r="AH266" s="117"/>
      <c r="AI266" s="117"/>
      <c r="AJ266" s="117"/>
    </row>
    <row r="267" spans="1:37" ht="12" customHeight="1" x14ac:dyDescent="0.15">
      <c r="A267" s="9"/>
      <c r="AF267" s="86"/>
      <c r="AH267" s="117"/>
      <c r="AI267" s="117"/>
      <c r="AJ267" s="117"/>
    </row>
    <row r="268" spans="1:37" ht="12" customHeight="1" x14ac:dyDescent="0.15">
      <c r="A268" s="9"/>
      <c r="AF268" s="86"/>
      <c r="AH268" s="117"/>
      <c r="AI268" s="117"/>
      <c r="AJ268" s="117"/>
    </row>
    <row r="269" spans="1:37" ht="12" customHeight="1" x14ac:dyDescent="0.15">
      <c r="A269" s="9"/>
      <c r="AF269" s="86"/>
      <c r="AH269" s="117"/>
      <c r="AI269" s="117"/>
      <c r="AJ269" s="117"/>
    </row>
    <row r="270" spans="1:37" ht="12" customHeight="1" x14ac:dyDescent="0.15">
      <c r="A270" s="9"/>
      <c r="AF270" s="86"/>
      <c r="AH270" s="117"/>
      <c r="AI270" s="117"/>
      <c r="AJ270" s="117"/>
    </row>
    <row r="271" spans="1:37" ht="12" customHeight="1" x14ac:dyDescent="0.15">
      <c r="A271" s="9"/>
      <c r="AF271" s="86"/>
      <c r="AH271" s="117"/>
      <c r="AI271" s="117"/>
      <c r="AJ271" s="117"/>
    </row>
    <row r="272" spans="1:37" ht="12" customHeight="1" x14ac:dyDescent="0.15">
      <c r="A272" s="9"/>
    </row>
    <row r="273" spans="1:1" ht="12" customHeight="1" x14ac:dyDescent="0.15">
      <c r="A273" s="9"/>
    </row>
    <row r="274" spans="1:1" ht="12" customHeight="1" x14ac:dyDescent="0.15">
      <c r="A274" s="9"/>
    </row>
    <row r="275" spans="1:1" ht="12" customHeight="1" x14ac:dyDescent="0.15">
      <c r="A275" s="9"/>
    </row>
    <row r="276" spans="1:1" ht="12" customHeight="1" x14ac:dyDescent="0.15">
      <c r="A276" s="9"/>
    </row>
    <row r="277" spans="1:1" ht="12" customHeight="1" x14ac:dyDescent="0.15">
      <c r="A277" s="9"/>
    </row>
    <row r="278" spans="1:1" ht="12" customHeight="1" x14ac:dyDescent="0.15">
      <c r="A278" s="9"/>
    </row>
    <row r="279" spans="1:1" ht="12" customHeight="1" x14ac:dyDescent="0.15">
      <c r="A279" s="9"/>
    </row>
    <row r="280" spans="1:1" ht="12" customHeight="1" x14ac:dyDescent="0.15">
      <c r="A280" s="9"/>
    </row>
    <row r="281" spans="1:1" ht="12" customHeight="1" x14ac:dyDescent="0.15">
      <c r="A281" s="9"/>
    </row>
    <row r="282" spans="1:1" ht="12" customHeight="1" x14ac:dyDescent="0.15">
      <c r="A282" s="9"/>
    </row>
    <row r="283" spans="1:1" ht="12" customHeight="1" x14ac:dyDescent="0.15">
      <c r="A283" s="9"/>
    </row>
    <row r="284" spans="1:1" ht="12" customHeight="1" x14ac:dyDescent="0.15">
      <c r="A284" s="9"/>
    </row>
    <row r="285" spans="1:1" ht="12" customHeight="1" x14ac:dyDescent="0.15">
      <c r="A285" s="9"/>
    </row>
    <row r="286" spans="1:1" ht="12" customHeight="1" x14ac:dyDescent="0.15">
      <c r="A286" s="9"/>
    </row>
    <row r="287" spans="1:1" ht="11.25" customHeight="1" x14ac:dyDescent="0.15">
      <c r="A287" s="9"/>
    </row>
    <row r="288" spans="1:1" ht="12" customHeight="1" x14ac:dyDescent="0.15">
      <c r="A288" s="9"/>
    </row>
    <row r="289" spans="1:38" ht="12" customHeight="1" x14ac:dyDescent="0.15">
      <c r="A289" s="9"/>
    </row>
    <row r="290" spans="1:38" ht="12" customHeight="1" x14ac:dyDescent="0.15">
      <c r="A290" s="9"/>
    </row>
    <row r="291" spans="1:38" ht="12" customHeight="1" x14ac:dyDescent="0.15">
      <c r="A291" s="9"/>
    </row>
    <row r="292" spans="1:38" ht="12" customHeight="1" x14ac:dyDescent="0.15">
      <c r="A292" s="9"/>
    </row>
    <row r="293" spans="1:38" ht="12" customHeight="1" x14ac:dyDescent="0.15">
      <c r="A293" s="9"/>
    </row>
    <row r="294" spans="1:38" ht="12" customHeight="1" x14ac:dyDescent="0.15">
      <c r="A294" s="9"/>
    </row>
    <row r="295" spans="1:38" ht="12" customHeight="1" x14ac:dyDescent="0.15">
      <c r="A295" s="9"/>
    </row>
    <row r="296" spans="1:38" ht="12" customHeight="1" x14ac:dyDescent="0.15">
      <c r="A296" s="9"/>
    </row>
    <row r="297" spans="1:38" ht="12" customHeight="1" x14ac:dyDescent="0.15">
      <c r="A297" s="9"/>
    </row>
    <row r="298" spans="1:38" ht="12" customHeight="1" x14ac:dyDescent="0.15">
      <c r="A298" s="9"/>
    </row>
    <row r="299" spans="1:38" ht="12" customHeight="1" x14ac:dyDescent="0.15">
      <c r="A299" s="9"/>
    </row>
    <row r="300" spans="1:38" ht="12" customHeight="1" x14ac:dyDescent="0.15">
      <c r="A300" s="9"/>
      <c r="AF300" s="9"/>
      <c r="AG300" s="9"/>
      <c r="AH300" s="9"/>
      <c r="AI300" s="9"/>
      <c r="AJ300" s="9"/>
      <c r="AK300" s="9"/>
      <c r="AL300" s="9"/>
    </row>
    <row r="301" spans="1:38" ht="12" customHeight="1" x14ac:dyDescent="0.15">
      <c r="A301" s="9"/>
    </row>
    <row r="302" spans="1:38" ht="12" customHeight="1" x14ac:dyDescent="0.15">
      <c r="A302" s="9"/>
    </row>
    <row r="303" spans="1:38" ht="12" customHeight="1" x14ac:dyDescent="0.15">
      <c r="A303" s="9"/>
    </row>
    <row r="304" spans="1:38" ht="12" customHeight="1" x14ac:dyDescent="0.15">
      <c r="A304" s="9"/>
    </row>
    <row r="305" spans="1:1" ht="12" customHeight="1" x14ac:dyDescent="0.15">
      <c r="A305" s="9"/>
    </row>
    <row r="306" spans="1:1" ht="12" customHeight="1" x14ac:dyDescent="0.15">
      <c r="A306" s="9"/>
    </row>
    <row r="307" spans="1:1" ht="12" customHeight="1" x14ac:dyDescent="0.15">
      <c r="A307" s="9"/>
    </row>
    <row r="308" spans="1:1" ht="12" customHeight="1" x14ac:dyDescent="0.15">
      <c r="A308" s="9"/>
    </row>
    <row r="309" spans="1:1" ht="12" customHeight="1" x14ac:dyDescent="0.15">
      <c r="A309" s="9"/>
    </row>
    <row r="310" spans="1:1" ht="12" customHeight="1" x14ac:dyDescent="0.15">
      <c r="A310" s="9"/>
    </row>
    <row r="311" spans="1:1" ht="12" customHeight="1" x14ac:dyDescent="0.15">
      <c r="A311" s="9"/>
    </row>
    <row r="312" spans="1:1" ht="12" customHeight="1" x14ac:dyDescent="0.15">
      <c r="A312" s="9"/>
    </row>
    <row r="313" spans="1:1" ht="12" customHeight="1" x14ac:dyDescent="0.15">
      <c r="A313" s="9"/>
    </row>
    <row r="314" spans="1:1" ht="12" customHeight="1" x14ac:dyDescent="0.15">
      <c r="A314" s="9"/>
    </row>
    <row r="315" spans="1:1" ht="12" customHeight="1" x14ac:dyDescent="0.15">
      <c r="A315" s="9"/>
    </row>
    <row r="316" spans="1:1" ht="12" customHeight="1" x14ac:dyDescent="0.15">
      <c r="A316" s="9"/>
    </row>
    <row r="317" spans="1:1" ht="12" customHeight="1" x14ac:dyDescent="0.15">
      <c r="A317" s="9"/>
    </row>
    <row r="318" spans="1:1" ht="12" customHeight="1" x14ac:dyDescent="0.15">
      <c r="A318" s="9"/>
    </row>
    <row r="319" spans="1:1" ht="12" customHeight="1" x14ac:dyDescent="0.15">
      <c r="A319" s="9"/>
    </row>
    <row r="320" spans="1:1" ht="12" customHeight="1" x14ac:dyDescent="0.15">
      <c r="A320" s="9"/>
    </row>
    <row r="321" spans="1:1" ht="12" customHeight="1" x14ac:dyDescent="0.15">
      <c r="A321" s="9"/>
    </row>
    <row r="322" spans="1:1" ht="12" customHeight="1" x14ac:dyDescent="0.15">
      <c r="A322" s="9"/>
    </row>
    <row r="323" spans="1:1" ht="12" customHeight="1" x14ac:dyDescent="0.15">
      <c r="A323" s="9"/>
    </row>
    <row r="324" spans="1:1" ht="12" customHeight="1" x14ac:dyDescent="0.15">
      <c r="A324" s="9"/>
    </row>
    <row r="325" spans="1:1" ht="12" customHeight="1" x14ac:dyDescent="0.15">
      <c r="A325" s="9"/>
    </row>
    <row r="326" spans="1:1" ht="12" customHeight="1" x14ac:dyDescent="0.15">
      <c r="A326" s="9"/>
    </row>
    <row r="327" spans="1:1" ht="12" customHeight="1" x14ac:dyDescent="0.15">
      <c r="A327" s="9"/>
    </row>
    <row r="328" spans="1:1" ht="12" customHeight="1" x14ac:dyDescent="0.15">
      <c r="A328" s="9"/>
    </row>
    <row r="329" spans="1:1" ht="12" customHeight="1" x14ac:dyDescent="0.15">
      <c r="A329" s="9"/>
    </row>
    <row r="330" spans="1:1" ht="12" customHeight="1" x14ac:dyDescent="0.15">
      <c r="A330" s="9"/>
    </row>
    <row r="331" spans="1:1" ht="12" customHeight="1" x14ac:dyDescent="0.15">
      <c r="A331" s="9"/>
    </row>
    <row r="332" spans="1:1" ht="12" customHeight="1" x14ac:dyDescent="0.15">
      <c r="A332" s="9"/>
    </row>
    <row r="333" spans="1:1" ht="12" customHeight="1" x14ac:dyDescent="0.15">
      <c r="A333" s="9"/>
    </row>
    <row r="334" spans="1:1" ht="12" customHeight="1" x14ac:dyDescent="0.15">
      <c r="A334" s="9"/>
    </row>
    <row r="335" spans="1:1" ht="12" customHeight="1" x14ac:dyDescent="0.15">
      <c r="A335" s="9"/>
    </row>
    <row r="336" spans="1:1" ht="12" customHeight="1" x14ac:dyDescent="0.15">
      <c r="A336" s="9"/>
    </row>
    <row r="337" spans="1:1" ht="12" customHeight="1" x14ac:dyDescent="0.15">
      <c r="A337" s="9"/>
    </row>
    <row r="338" spans="1:1" ht="12" customHeight="1" x14ac:dyDescent="0.15">
      <c r="A338" s="9"/>
    </row>
    <row r="339" spans="1:1" ht="12" customHeight="1" x14ac:dyDescent="0.15">
      <c r="A339" s="9"/>
    </row>
    <row r="340" spans="1:1" ht="12" customHeight="1" x14ac:dyDescent="0.15">
      <c r="A340" s="9"/>
    </row>
    <row r="341" spans="1:1" ht="12" customHeight="1" x14ac:dyDescent="0.15">
      <c r="A341" s="9"/>
    </row>
    <row r="342" spans="1:1" ht="12" customHeight="1" x14ac:dyDescent="0.15">
      <c r="A342" s="9"/>
    </row>
    <row r="343" spans="1:1" ht="12" customHeight="1" x14ac:dyDescent="0.15">
      <c r="A343" s="9"/>
    </row>
    <row r="344" spans="1:1" ht="12" customHeight="1" x14ac:dyDescent="0.15">
      <c r="A344" s="9"/>
    </row>
    <row r="345" spans="1:1" ht="12" customHeight="1" x14ac:dyDescent="0.15">
      <c r="A345" s="9"/>
    </row>
    <row r="346" spans="1:1" ht="12" customHeight="1" x14ac:dyDescent="0.15">
      <c r="A346" s="9"/>
    </row>
    <row r="347" spans="1:1" ht="12" customHeight="1" x14ac:dyDescent="0.15">
      <c r="A347" s="9"/>
    </row>
    <row r="348" spans="1:1" ht="12" customHeight="1" x14ac:dyDescent="0.15">
      <c r="A348" s="9"/>
    </row>
    <row r="349" spans="1:1" ht="12" customHeight="1" x14ac:dyDescent="0.15">
      <c r="A349" s="9"/>
    </row>
    <row r="350" spans="1:1" ht="12" customHeight="1" x14ac:dyDescent="0.15">
      <c r="A350" s="9"/>
    </row>
    <row r="351" spans="1:1" ht="12" customHeight="1" x14ac:dyDescent="0.15">
      <c r="A351" s="9"/>
    </row>
    <row r="352" spans="1:1" ht="12" customHeight="1" x14ac:dyDescent="0.15">
      <c r="A352" s="9"/>
    </row>
    <row r="353" spans="1:1" ht="12" customHeight="1" x14ac:dyDescent="0.15">
      <c r="A353" s="9"/>
    </row>
    <row r="354" spans="1:1" ht="12" customHeight="1" x14ac:dyDescent="0.15">
      <c r="A354" s="9"/>
    </row>
    <row r="355" spans="1:1" ht="12" customHeight="1" x14ac:dyDescent="0.15">
      <c r="A355" s="9"/>
    </row>
    <row r="356" spans="1:1" ht="12" customHeight="1" x14ac:dyDescent="0.15">
      <c r="A356" s="9"/>
    </row>
    <row r="357" spans="1:1" ht="12" customHeight="1" x14ac:dyDescent="0.15">
      <c r="A357" s="9"/>
    </row>
    <row r="358" spans="1:1" ht="12" customHeight="1" x14ac:dyDescent="0.15">
      <c r="A358" s="9"/>
    </row>
    <row r="359" spans="1:1" ht="12" customHeight="1" x14ac:dyDescent="0.15">
      <c r="A359" s="9"/>
    </row>
    <row r="360" spans="1:1" ht="12" customHeight="1" x14ac:dyDescent="0.15">
      <c r="A360" s="9"/>
    </row>
    <row r="361" spans="1:1" ht="12" customHeight="1" x14ac:dyDescent="0.15">
      <c r="A361" s="9"/>
    </row>
    <row r="362" spans="1:1" ht="12" customHeight="1" x14ac:dyDescent="0.15">
      <c r="A362" s="9"/>
    </row>
    <row r="363" spans="1:1" ht="12" customHeight="1" x14ac:dyDescent="0.15">
      <c r="A363" s="9"/>
    </row>
    <row r="364" spans="1:1" ht="12" customHeight="1" x14ac:dyDescent="0.15">
      <c r="A364" s="9"/>
    </row>
    <row r="365" spans="1:1" ht="12" customHeight="1" x14ac:dyDescent="0.15">
      <c r="A365" s="9"/>
    </row>
    <row r="366" spans="1:1" ht="12" customHeight="1" x14ac:dyDescent="0.15">
      <c r="A366" s="9"/>
    </row>
    <row r="367" spans="1:1" ht="12" customHeight="1" x14ac:dyDescent="0.15">
      <c r="A367" s="9"/>
    </row>
    <row r="368" spans="1:1" ht="12" customHeight="1" x14ac:dyDescent="0.15">
      <c r="A368" s="9"/>
    </row>
    <row r="369" spans="1:1" ht="12" customHeight="1" x14ac:dyDescent="0.15">
      <c r="A369" s="9"/>
    </row>
    <row r="370" spans="1:1" ht="12" customHeight="1" x14ac:dyDescent="0.15">
      <c r="A370" s="9"/>
    </row>
    <row r="371" spans="1:1" ht="12" customHeight="1" x14ac:dyDescent="0.15">
      <c r="A371" s="9"/>
    </row>
    <row r="372" spans="1:1" ht="12" customHeight="1" x14ac:dyDescent="0.15">
      <c r="A372" s="9"/>
    </row>
    <row r="373" spans="1:1" ht="12" customHeight="1" x14ac:dyDescent="0.15">
      <c r="A373" s="9"/>
    </row>
    <row r="374" spans="1:1" ht="12" customHeight="1" x14ac:dyDescent="0.15">
      <c r="A374" s="9"/>
    </row>
    <row r="375" spans="1:1" ht="12" customHeight="1" x14ac:dyDescent="0.15">
      <c r="A375" s="9"/>
    </row>
    <row r="376" spans="1:1" ht="12" customHeight="1" x14ac:dyDescent="0.15">
      <c r="A376" s="9"/>
    </row>
    <row r="377" spans="1:1" ht="12" customHeight="1" x14ac:dyDescent="0.15">
      <c r="A377" s="9"/>
    </row>
    <row r="378" spans="1:1" ht="12" customHeight="1" x14ac:dyDescent="0.15">
      <c r="A378" s="9"/>
    </row>
    <row r="379" spans="1:1" ht="12" customHeight="1" x14ac:dyDescent="0.15">
      <c r="A379" s="9"/>
    </row>
    <row r="380" spans="1:1" ht="12" customHeight="1" x14ac:dyDescent="0.15">
      <c r="A380" s="9"/>
    </row>
    <row r="381" spans="1:1" ht="12" customHeight="1" x14ac:dyDescent="0.15">
      <c r="A381" s="9"/>
    </row>
    <row r="382" spans="1:1" ht="12" customHeight="1" x14ac:dyDescent="0.15">
      <c r="A382" s="9"/>
    </row>
    <row r="383" spans="1:1" ht="12" customHeight="1" x14ac:dyDescent="0.15">
      <c r="A383" s="9"/>
    </row>
    <row r="384" spans="1:1" ht="12" customHeight="1" x14ac:dyDescent="0.15">
      <c r="A384" s="9"/>
    </row>
    <row r="385" spans="1:1" ht="12" customHeight="1" x14ac:dyDescent="0.15">
      <c r="A385" s="9"/>
    </row>
    <row r="386" spans="1:1" ht="12" customHeight="1" x14ac:dyDescent="0.15">
      <c r="A386" s="9"/>
    </row>
    <row r="387" spans="1:1" ht="12" customHeight="1" x14ac:dyDescent="0.15">
      <c r="A387" s="9"/>
    </row>
    <row r="388" spans="1:1" ht="12" customHeight="1" x14ac:dyDescent="0.15">
      <c r="A388" s="9"/>
    </row>
    <row r="389" spans="1:1" ht="12" customHeight="1" x14ac:dyDescent="0.15">
      <c r="A389" s="9"/>
    </row>
    <row r="390" spans="1:1" ht="12" customHeight="1" x14ac:dyDescent="0.15">
      <c r="A390" s="9"/>
    </row>
    <row r="391" spans="1:1" ht="12" customHeight="1" x14ac:dyDescent="0.15">
      <c r="A391" s="9"/>
    </row>
    <row r="392" spans="1:1" ht="12" customHeight="1" x14ac:dyDescent="0.15">
      <c r="A392" s="9"/>
    </row>
    <row r="393" spans="1:1" ht="12" customHeight="1" x14ac:dyDescent="0.15">
      <c r="A393" s="9"/>
    </row>
    <row r="394" spans="1:1" ht="12" customHeight="1" x14ac:dyDescent="0.15">
      <c r="A394" s="9"/>
    </row>
    <row r="395" spans="1:1" ht="12" customHeight="1" x14ac:dyDescent="0.15">
      <c r="A395" s="9"/>
    </row>
    <row r="396" spans="1:1" ht="12" customHeight="1" x14ac:dyDescent="0.15">
      <c r="A396" s="9"/>
    </row>
    <row r="397" spans="1:1" ht="12" customHeight="1" x14ac:dyDescent="0.15">
      <c r="A397" s="9"/>
    </row>
    <row r="398" spans="1:1" ht="12" customHeight="1" x14ac:dyDescent="0.15">
      <c r="A398" s="9"/>
    </row>
    <row r="399" spans="1:1" ht="12" customHeight="1" x14ac:dyDescent="0.15">
      <c r="A399" s="9"/>
    </row>
    <row r="400" spans="1:1" ht="12" customHeight="1" x14ac:dyDescent="0.15">
      <c r="A400" s="9"/>
    </row>
    <row r="401" spans="1:1" ht="12" customHeight="1" x14ac:dyDescent="0.15">
      <c r="A401" s="9"/>
    </row>
    <row r="402" spans="1:1" ht="12" customHeight="1" x14ac:dyDescent="0.15">
      <c r="A402" s="9"/>
    </row>
    <row r="403" spans="1:1" ht="12" customHeight="1" x14ac:dyDescent="0.15">
      <c r="A403" s="9"/>
    </row>
    <row r="404" spans="1:1" ht="12" customHeight="1" x14ac:dyDescent="0.15">
      <c r="A404" s="9"/>
    </row>
    <row r="405" spans="1:1" ht="12" customHeight="1" x14ac:dyDescent="0.15">
      <c r="A405" s="9"/>
    </row>
    <row r="406" spans="1:1" ht="12" customHeight="1" x14ac:dyDescent="0.15">
      <c r="A406" s="9"/>
    </row>
    <row r="407" spans="1:1" ht="12" customHeight="1" x14ac:dyDescent="0.15">
      <c r="A407" s="9"/>
    </row>
    <row r="408" spans="1:1" ht="12" customHeight="1" x14ac:dyDescent="0.15">
      <c r="A408" s="9"/>
    </row>
    <row r="409" spans="1:1" ht="12" customHeight="1" x14ac:dyDescent="0.15">
      <c r="A409" s="9"/>
    </row>
    <row r="410" spans="1:1" ht="12" customHeight="1" x14ac:dyDescent="0.15">
      <c r="A410" s="9"/>
    </row>
    <row r="411" spans="1:1" ht="12" customHeight="1" x14ac:dyDescent="0.15">
      <c r="A411" s="9"/>
    </row>
    <row r="412" spans="1:1" ht="12" customHeight="1" x14ac:dyDescent="0.15">
      <c r="A412" s="9"/>
    </row>
    <row r="413" spans="1:1" ht="12" customHeight="1" x14ac:dyDescent="0.15">
      <c r="A413" s="9"/>
    </row>
    <row r="414" spans="1:1" ht="12" customHeight="1" x14ac:dyDescent="0.15">
      <c r="A414" s="9"/>
    </row>
    <row r="415" spans="1:1" ht="12" customHeight="1" x14ac:dyDescent="0.15">
      <c r="A415" s="9"/>
    </row>
    <row r="416" spans="1:1" ht="12" customHeight="1" x14ac:dyDescent="0.15">
      <c r="A416" s="9"/>
    </row>
    <row r="417" spans="1:1" ht="12" customHeight="1" x14ac:dyDescent="0.15">
      <c r="A417" s="9"/>
    </row>
    <row r="418" spans="1:1" ht="12" customHeight="1" x14ac:dyDescent="0.15">
      <c r="A418" s="9"/>
    </row>
    <row r="419" spans="1:1" ht="12" customHeight="1" x14ac:dyDescent="0.15">
      <c r="A419" s="9"/>
    </row>
    <row r="420" spans="1:1" ht="12" customHeight="1" x14ac:dyDescent="0.15">
      <c r="A420" s="9"/>
    </row>
    <row r="421" spans="1:1" ht="12" customHeight="1" x14ac:dyDescent="0.15">
      <c r="A421" s="9"/>
    </row>
    <row r="422" spans="1:1" ht="12" customHeight="1" x14ac:dyDescent="0.15">
      <c r="A422" s="9"/>
    </row>
    <row r="423" spans="1:1" ht="12" customHeight="1" x14ac:dyDescent="0.15">
      <c r="A423" s="9"/>
    </row>
    <row r="424" spans="1:1" ht="12" customHeight="1" x14ac:dyDescent="0.15">
      <c r="A424" s="9"/>
    </row>
    <row r="425" spans="1:1" ht="12" customHeight="1" x14ac:dyDescent="0.15">
      <c r="A425" s="9"/>
    </row>
    <row r="426" spans="1:1" ht="12" customHeight="1" x14ac:dyDescent="0.15">
      <c r="A426" s="9"/>
    </row>
    <row r="427" spans="1:1" ht="12" customHeight="1" x14ac:dyDescent="0.15">
      <c r="A427" s="9"/>
    </row>
    <row r="428" spans="1:1" ht="12" customHeight="1" x14ac:dyDescent="0.15">
      <c r="A428" s="9"/>
    </row>
    <row r="429" spans="1:1" ht="12" customHeight="1" x14ac:dyDescent="0.15">
      <c r="A429" s="9"/>
    </row>
    <row r="430" spans="1:1" ht="12" customHeight="1" x14ac:dyDescent="0.15">
      <c r="A430" s="9"/>
    </row>
    <row r="431" spans="1:1" ht="12" customHeight="1" x14ac:dyDescent="0.15">
      <c r="A431" s="9"/>
    </row>
    <row r="432" spans="1:1" ht="12" customHeight="1" x14ac:dyDescent="0.15">
      <c r="A432" s="9"/>
    </row>
    <row r="433" spans="1:1" ht="12" customHeight="1" x14ac:dyDescent="0.15">
      <c r="A433" s="9"/>
    </row>
    <row r="434" spans="1:1" ht="12" customHeight="1" x14ac:dyDescent="0.15">
      <c r="A434" s="9"/>
    </row>
    <row r="435" spans="1:1" ht="12" customHeight="1" x14ac:dyDescent="0.15">
      <c r="A435" s="9"/>
    </row>
    <row r="436" spans="1:1" ht="12" customHeight="1" x14ac:dyDescent="0.15">
      <c r="A436" s="9"/>
    </row>
    <row r="437" spans="1:1" ht="12.95" customHeight="1" x14ac:dyDescent="0.15">
      <c r="A437" s="9"/>
    </row>
    <row r="438" spans="1:1" ht="12.95" customHeight="1" x14ac:dyDescent="0.15">
      <c r="A438" s="9"/>
    </row>
    <row r="439" spans="1:1" ht="12" customHeight="1" x14ac:dyDescent="0.15">
      <c r="A439" s="9"/>
    </row>
    <row r="440" spans="1:1" ht="12" customHeight="1" x14ac:dyDescent="0.15">
      <c r="A440" s="9"/>
    </row>
    <row r="441" spans="1:1" ht="12" customHeight="1" x14ac:dyDescent="0.15">
      <c r="A441" s="9"/>
    </row>
    <row r="442" spans="1:1" ht="12" customHeight="1" x14ac:dyDescent="0.15">
      <c r="A442" s="9"/>
    </row>
    <row r="443" spans="1:1" ht="12" customHeight="1" x14ac:dyDescent="0.15">
      <c r="A443" s="9"/>
    </row>
    <row r="444" spans="1:1" ht="12" customHeight="1" x14ac:dyDescent="0.15">
      <c r="A444" s="9"/>
    </row>
    <row r="445" spans="1:1" ht="12" customHeight="1" x14ac:dyDescent="0.15">
      <c r="A445" s="9"/>
    </row>
    <row r="446" spans="1:1" ht="12" customHeight="1" x14ac:dyDescent="0.15">
      <c r="A446" s="9"/>
    </row>
    <row r="447" spans="1:1" ht="12" customHeight="1" x14ac:dyDescent="0.15">
      <c r="A447" s="9"/>
    </row>
    <row r="448" spans="1:1" ht="12" customHeight="1" x14ac:dyDescent="0.15">
      <c r="A448" s="9"/>
    </row>
    <row r="449" spans="1:1" ht="12" customHeight="1" x14ac:dyDescent="0.15">
      <c r="A449" s="9"/>
    </row>
    <row r="450" spans="1:1" ht="12" customHeight="1" x14ac:dyDescent="0.15">
      <c r="A450" s="9"/>
    </row>
    <row r="451" spans="1:1" ht="12" customHeight="1" x14ac:dyDescent="0.15">
      <c r="A451" s="9"/>
    </row>
    <row r="452" spans="1:1" ht="12" customHeight="1" x14ac:dyDescent="0.15">
      <c r="A452" s="9"/>
    </row>
    <row r="453" spans="1:1" ht="12" customHeight="1" x14ac:dyDescent="0.15">
      <c r="A453" s="9"/>
    </row>
    <row r="454" spans="1:1" ht="12" customHeight="1" x14ac:dyDescent="0.15">
      <c r="A454" s="9"/>
    </row>
    <row r="455" spans="1:1" ht="12" customHeight="1" x14ac:dyDescent="0.15">
      <c r="A455" s="9"/>
    </row>
    <row r="456" spans="1:1" ht="12" customHeight="1" x14ac:dyDescent="0.15">
      <c r="A456" s="9"/>
    </row>
    <row r="457" spans="1:1" ht="12" customHeight="1" x14ac:dyDescent="0.15">
      <c r="A457" s="9"/>
    </row>
    <row r="458" spans="1:1" ht="12" customHeight="1" x14ac:dyDescent="0.15">
      <c r="A458" s="9"/>
    </row>
    <row r="459" spans="1:1" ht="12" customHeight="1" x14ac:dyDescent="0.15">
      <c r="A459" s="9"/>
    </row>
    <row r="460" spans="1:1" ht="12" customHeight="1" x14ac:dyDescent="0.15">
      <c r="A460" s="9"/>
    </row>
    <row r="461" spans="1:1" ht="12" customHeight="1" x14ac:dyDescent="0.15">
      <c r="A461" s="9"/>
    </row>
    <row r="462" spans="1:1" ht="12" customHeight="1" x14ac:dyDescent="0.15">
      <c r="A462" s="9"/>
    </row>
    <row r="463" spans="1:1" ht="12" customHeight="1" x14ac:dyDescent="0.15">
      <c r="A463" s="9"/>
    </row>
    <row r="464" spans="1:1" ht="12" customHeight="1" x14ac:dyDescent="0.15">
      <c r="A464" s="9"/>
    </row>
    <row r="465" spans="1:1" ht="12" customHeight="1" x14ac:dyDescent="0.15">
      <c r="A465" s="9"/>
    </row>
    <row r="466" spans="1:1" ht="12" customHeight="1" x14ac:dyDescent="0.15">
      <c r="A466" s="9"/>
    </row>
    <row r="467" spans="1:1" ht="12" customHeight="1" x14ac:dyDescent="0.15">
      <c r="A467" s="9"/>
    </row>
    <row r="468" spans="1:1" ht="12" customHeight="1" x14ac:dyDescent="0.15">
      <c r="A468" s="9"/>
    </row>
    <row r="469" spans="1:1" ht="12" customHeight="1" x14ac:dyDescent="0.15">
      <c r="A469" s="9"/>
    </row>
    <row r="470" spans="1:1" ht="12" customHeight="1" x14ac:dyDescent="0.15">
      <c r="A470" s="9"/>
    </row>
    <row r="471" spans="1:1" ht="12" customHeight="1" x14ac:dyDescent="0.15">
      <c r="A471" s="9"/>
    </row>
    <row r="472" spans="1:1" ht="12" customHeight="1" x14ac:dyDescent="0.15">
      <c r="A472" s="9"/>
    </row>
    <row r="473" spans="1:1" ht="12" customHeight="1" x14ac:dyDescent="0.15">
      <c r="A473" s="9"/>
    </row>
    <row r="474" spans="1:1" ht="12" customHeight="1" x14ac:dyDescent="0.15">
      <c r="A474" s="9"/>
    </row>
    <row r="475" spans="1:1" ht="12" customHeight="1" x14ac:dyDescent="0.15">
      <c r="A475" s="9"/>
    </row>
    <row r="476" spans="1:1" ht="12" customHeight="1" x14ac:dyDescent="0.15">
      <c r="A476" s="9"/>
    </row>
    <row r="477" spans="1:1" ht="12" customHeight="1" x14ac:dyDescent="0.15">
      <c r="A477" s="9"/>
    </row>
    <row r="478" spans="1:1" ht="12" customHeight="1" x14ac:dyDescent="0.15">
      <c r="A478" s="9"/>
    </row>
    <row r="479" spans="1:1" ht="12" customHeight="1" x14ac:dyDescent="0.15">
      <c r="A479" s="9"/>
    </row>
    <row r="480" spans="1:1" ht="12" customHeight="1" x14ac:dyDescent="0.15">
      <c r="A480" s="9"/>
    </row>
    <row r="481" spans="1:1" ht="12" customHeight="1" x14ac:dyDescent="0.15">
      <c r="A481" s="9"/>
    </row>
    <row r="482" spans="1:1" ht="12" customHeight="1" x14ac:dyDescent="0.15">
      <c r="A482" s="9"/>
    </row>
    <row r="483" spans="1:1" ht="12" customHeight="1" x14ac:dyDescent="0.15">
      <c r="A483" s="9"/>
    </row>
    <row r="484" spans="1:1" ht="12" customHeight="1" x14ac:dyDescent="0.15">
      <c r="A484" s="9"/>
    </row>
    <row r="485" spans="1:1" ht="12" customHeight="1" x14ac:dyDescent="0.15">
      <c r="A485" s="9"/>
    </row>
    <row r="486" spans="1:1" ht="12" customHeight="1" x14ac:dyDescent="0.15">
      <c r="A486" s="9"/>
    </row>
    <row r="487" spans="1:1" ht="12" customHeight="1" x14ac:dyDescent="0.15">
      <c r="A487" s="9"/>
    </row>
    <row r="488" spans="1:1" ht="12" customHeight="1" x14ac:dyDescent="0.15">
      <c r="A488" s="9"/>
    </row>
    <row r="489" spans="1:1" ht="12" customHeight="1" x14ac:dyDescent="0.15">
      <c r="A489" s="9"/>
    </row>
    <row r="490" spans="1:1" ht="12" customHeight="1" x14ac:dyDescent="0.15">
      <c r="A490" s="9"/>
    </row>
    <row r="491" spans="1:1" ht="12" customHeight="1" x14ac:dyDescent="0.15">
      <c r="A491" s="9"/>
    </row>
    <row r="492" spans="1:1" ht="12" customHeight="1" x14ac:dyDescent="0.15">
      <c r="A492" s="9"/>
    </row>
    <row r="493" spans="1:1" ht="12" customHeight="1" x14ac:dyDescent="0.15">
      <c r="A493" s="9"/>
    </row>
    <row r="494" spans="1:1" ht="12" customHeight="1" x14ac:dyDescent="0.15">
      <c r="A494" s="9"/>
    </row>
    <row r="495" spans="1:1" ht="12" customHeight="1" x14ac:dyDescent="0.15">
      <c r="A495" s="9"/>
    </row>
    <row r="496" spans="1:1" ht="12" customHeight="1" x14ac:dyDescent="0.15">
      <c r="A496" s="9"/>
    </row>
    <row r="497" spans="1:1" ht="12" customHeight="1" x14ac:dyDescent="0.15">
      <c r="A497" s="9"/>
    </row>
    <row r="498" spans="1:1" ht="12" customHeight="1" x14ac:dyDescent="0.15">
      <c r="A498" s="9"/>
    </row>
    <row r="499" spans="1:1" ht="12" customHeight="1" x14ac:dyDescent="0.15">
      <c r="A499" s="9"/>
    </row>
    <row r="500" spans="1:1" ht="12" customHeight="1" x14ac:dyDescent="0.15">
      <c r="A500" s="9"/>
    </row>
    <row r="501" spans="1:1" ht="12" customHeight="1" x14ac:dyDescent="0.15">
      <c r="A501" s="9"/>
    </row>
    <row r="502" spans="1:1" ht="12" customHeight="1" x14ac:dyDescent="0.15">
      <c r="A502" s="9"/>
    </row>
    <row r="503" spans="1:1" ht="12" customHeight="1" x14ac:dyDescent="0.15">
      <c r="A503" s="9"/>
    </row>
    <row r="504" spans="1:1" ht="12" customHeight="1" x14ac:dyDescent="0.15">
      <c r="A504" s="9"/>
    </row>
    <row r="505" spans="1:1" ht="12" customHeight="1" x14ac:dyDescent="0.15">
      <c r="A505" s="9"/>
    </row>
    <row r="506" spans="1:1" ht="12" customHeight="1" x14ac:dyDescent="0.15">
      <c r="A506" s="9"/>
    </row>
    <row r="507" spans="1:1" ht="12" customHeight="1" x14ac:dyDescent="0.15">
      <c r="A507" s="9"/>
    </row>
    <row r="508" spans="1:1" ht="12" customHeight="1" x14ac:dyDescent="0.15">
      <c r="A508" s="9"/>
    </row>
    <row r="509" spans="1:1" ht="12" customHeight="1" x14ac:dyDescent="0.15">
      <c r="A509" s="9"/>
    </row>
    <row r="510" spans="1:1" ht="12" customHeight="1" x14ac:dyDescent="0.15">
      <c r="A510" s="9"/>
    </row>
    <row r="511" spans="1:1" ht="12" customHeight="1" x14ac:dyDescent="0.15">
      <c r="A511" s="9"/>
    </row>
    <row r="512" spans="1:1" ht="12" customHeight="1" x14ac:dyDescent="0.15">
      <c r="A512" s="9"/>
    </row>
    <row r="513" spans="1:1" ht="12" customHeight="1" x14ac:dyDescent="0.15">
      <c r="A513" s="9"/>
    </row>
    <row r="514" spans="1:1" ht="12" customHeight="1" x14ac:dyDescent="0.15">
      <c r="A514" s="9"/>
    </row>
    <row r="515" spans="1:1" ht="12" customHeight="1" x14ac:dyDescent="0.15">
      <c r="A515" s="9"/>
    </row>
    <row r="516" spans="1:1" ht="12" customHeight="1" x14ac:dyDescent="0.15">
      <c r="A516" s="9"/>
    </row>
    <row r="517" spans="1:1" ht="12" customHeight="1" x14ac:dyDescent="0.15">
      <c r="A517" s="9"/>
    </row>
    <row r="518" spans="1:1" ht="12" customHeight="1" x14ac:dyDescent="0.15">
      <c r="A518" s="9"/>
    </row>
    <row r="519" spans="1:1" ht="12" customHeight="1" x14ac:dyDescent="0.15">
      <c r="A519" s="9"/>
    </row>
    <row r="520" spans="1:1" ht="12" customHeight="1" x14ac:dyDescent="0.15">
      <c r="A520" s="9"/>
    </row>
    <row r="521" spans="1:1" ht="12" customHeight="1" x14ac:dyDescent="0.15">
      <c r="A521" s="9"/>
    </row>
    <row r="522" spans="1:1" ht="12" customHeight="1" x14ac:dyDescent="0.15">
      <c r="A522" s="9"/>
    </row>
    <row r="523" spans="1:1" ht="12" customHeight="1" x14ac:dyDescent="0.15">
      <c r="A523" s="9"/>
    </row>
    <row r="524" spans="1:1" ht="12" customHeight="1" x14ac:dyDescent="0.15">
      <c r="A524" s="9"/>
    </row>
    <row r="525" spans="1:1" ht="12" customHeight="1" x14ac:dyDescent="0.15">
      <c r="A525" s="9"/>
    </row>
    <row r="526" spans="1:1" ht="12" customHeight="1" x14ac:dyDescent="0.15">
      <c r="A526" s="9"/>
    </row>
    <row r="527" spans="1:1" ht="12" customHeight="1" x14ac:dyDescent="0.15">
      <c r="A527" s="9"/>
    </row>
    <row r="528" spans="1:1" ht="12" customHeight="1" x14ac:dyDescent="0.15">
      <c r="A528" s="9"/>
    </row>
    <row r="529" spans="1:1" ht="12" customHeight="1" x14ac:dyDescent="0.15">
      <c r="A529" s="9"/>
    </row>
    <row r="530" spans="1:1" ht="12" customHeight="1" x14ac:dyDescent="0.15">
      <c r="A530" s="9"/>
    </row>
    <row r="531" spans="1:1" ht="12" customHeight="1" x14ac:dyDescent="0.15">
      <c r="A531" s="9"/>
    </row>
    <row r="532" spans="1:1" ht="12" customHeight="1" x14ac:dyDescent="0.15">
      <c r="A532" s="9"/>
    </row>
    <row r="533" spans="1:1" ht="12" customHeight="1" x14ac:dyDescent="0.15">
      <c r="A533" s="9"/>
    </row>
    <row r="534" spans="1:1" ht="12" customHeight="1" x14ac:dyDescent="0.15">
      <c r="A534" s="9"/>
    </row>
    <row r="535" spans="1:1" ht="12" customHeight="1" x14ac:dyDescent="0.15">
      <c r="A535" s="9"/>
    </row>
    <row r="536" spans="1:1" ht="12" customHeight="1" x14ac:dyDescent="0.15">
      <c r="A536" s="9"/>
    </row>
    <row r="537" spans="1:1" ht="12" customHeight="1" x14ac:dyDescent="0.15">
      <c r="A537" s="9"/>
    </row>
    <row r="538" spans="1:1" ht="12" customHeight="1" x14ac:dyDescent="0.15">
      <c r="A538" s="9"/>
    </row>
    <row r="539" spans="1:1" ht="12" customHeight="1" x14ac:dyDescent="0.15">
      <c r="A539" s="9"/>
    </row>
    <row r="540" spans="1:1" ht="12" customHeight="1" x14ac:dyDescent="0.15">
      <c r="A540" s="9"/>
    </row>
    <row r="541" spans="1:1" ht="12" customHeight="1" x14ac:dyDescent="0.15">
      <c r="A541" s="9"/>
    </row>
    <row r="542" spans="1:1" ht="12" customHeight="1" x14ac:dyDescent="0.15">
      <c r="A542" s="9"/>
    </row>
    <row r="543" spans="1:1" ht="12" customHeight="1" x14ac:dyDescent="0.15">
      <c r="A543" s="9"/>
    </row>
    <row r="544" spans="1:1" ht="12" customHeight="1" x14ac:dyDescent="0.15">
      <c r="A544" s="9"/>
    </row>
    <row r="545" spans="1:1" ht="12" customHeight="1" x14ac:dyDescent="0.15">
      <c r="A545" s="9"/>
    </row>
    <row r="546" spans="1:1" ht="12" customHeight="1" x14ac:dyDescent="0.15">
      <c r="A546" s="9"/>
    </row>
    <row r="547" spans="1:1" ht="12" customHeight="1" x14ac:dyDescent="0.15">
      <c r="A547" s="9"/>
    </row>
    <row r="548" spans="1:1" ht="12" customHeight="1" x14ac:dyDescent="0.15">
      <c r="A548" s="9"/>
    </row>
    <row r="549" spans="1:1" ht="12" customHeight="1" x14ac:dyDescent="0.15">
      <c r="A549" s="9"/>
    </row>
    <row r="550" spans="1:1" ht="12" customHeight="1" x14ac:dyDescent="0.15">
      <c r="A550" s="9"/>
    </row>
    <row r="551" spans="1:1" ht="12" customHeight="1" x14ac:dyDescent="0.15">
      <c r="A551" s="9"/>
    </row>
    <row r="552" spans="1:1" ht="12" customHeight="1" x14ac:dyDescent="0.15">
      <c r="A552" s="9"/>
    </row>
    <row r="553" spans="1:1" ht="12" customHeight="1" x14ac:dyDescent="0.15">
      <c r="A553" s="9"/>
    </row>
    <row r="554" spans="1:1" ht="12" customHeight="1" x14ac:dyDescent="0.15">
      <c r="A554" s="9"/>
    </row>
    <row r="555" spans="1:1" ht="12" customHeight="1" x14ac:dyDescent="0.15">
      <c r="A555" s="9"/>
    </row>
    <row r="556" spans="1:1" ht="12" customHeight="1" x14ac:dyDescent="0.15">
      <c r="A556" s="9"/>
    </row>
    <row r="557" spans="1:1" ht="12" customHeight="1" x14ac:dyDescent="0.15">
      <c r="A557" s="9"/>
    </row>
    <row r="558" spans="1:1" ht="12" customHeight="1" x14ac:dyDescent="0.15">
      <c r="A558" s="9"/>
    </row>
    <row r="559" spans="1:1" ht="12" customHeight="1" x14ac:dyDescent="0.15">
      <c r="A559" s="9"/>
    </row>
    <row r="560" spans="1:1" ht="12" customHeight="1" x14ac:dyDescent="0.15">
      <c r="A560" s="9"/>
    </row>
    <row r="561" spans="1:1" ht="12" customHeight="1" x14ac:dyDescent="0.15">
      <c r="A561" s="9"/>
    </row>
    <row r="562" spans="1:1" ht="12" customHeight="1" x14ac:dyDescent="0.15">
      <c r="A562" s="9"/>
    </row>
    <row r="563" spans="1:1" ht="12" customHeight="1" x14ac:dyDescent="0.15">
      <c r="A563" s="9"/>
    </row>
    <row r="564" spans="1:1" ht="12" customHeight="1" x14ac:dyDescent="0.15">
      <c r="A564" s="9"/>
    </row>
    <row r="565" spans="1:1" ht="12" customHeight="1" x14ac:dyDescent="0.15">
      <c r="A565" s="9"/>
    </row>
    <row r="566" spans="1:1" ht="12" customHeight="1" x14ac:dyDescent="0.15">
      <c r="A566" s="9"/>
    </row>
    <row r="567" spans="1:1" ht="12" customHeight="1" x14ac:dyDescent="0.15">
      <c r="A567" s="9"/>
    </row>
    <row r="568" spans="1:1" ht="12" customHeight="1" x14ac:dyDescent="0.15">
      <c r="A568" s="9"/>
    </row>
    <row r="569" spans="1:1" ht="12" customHeight="1" x14ac:dyDescent="0.15">
      <c r="A569" s="9"/>
    </row>
    <row r="570" spans="1:1" ht="12" customHeight="1" x14ac:dyDescent="0.15">
      <c r="A570" s="9"/>
    </row>
    <row r="571" spans="1:1" ht="12" customHeight="1" x14ac:dyDescent="0.15">
      <c r="A571" s="9"/>
    </row>
    <row r="572" spans="1:1" ht="12" customHeight="1" x14ac:dyDescent="0.15">
      <c r="A572" s="9"/>
    </row>
    <row r="573" spans="1:1" ht="12" customHeight="1" x14ac:dyDescent="0.15">
      <c r="A573" s="9"/>
    </row>
    <row r="574" spans="1:1" ht="12" customHeight="1" x14ac:dyDescent="0.15">
      <c r="A574" s="9"/>
    </row>
    <row r="575" spans="1:1" ht="12" customHeight="1" x14ac:dyDescent="0.15">
      <c r="A575" s="9"/>
    </row>
    <row r="576" spans="1:1" ht="12" customHeight="1" x14ac:dyDescent="0.15">
      <c r="A576" s="9"/>
    </row>
    <row r="577" spans="1:1" ht="12" customHeight="1" x14ac:dyDescent="0.15">
      <c r="A577" s="9"/>
    </row>
    <row r="578" spans="1:1" ht="12" customHeight="1" x14ac:dyDescent="0.15">
      <c r="A578" s="9"/>
    </row>
    <row r="579" spans="1:1" ht="12" customHeight="1" x14ac:dyDescent="0.15">
      <c r="A579" s="9"/>
    </row>
    <row r="580" spans="1:1" ht="12" customHeight="1" x14ac:dyDescent="0.15">
      <c r="A580" s="9"/>
    </row>
    <row r="581" spans="1:1" ht="12" customHeight="1" x14ac:dyDescent="0.15">
      <c r="A581" s="9"/>
    </row>
    <row r="582" spans="1:1" ht="12" customHeight="1" x14ac:dyDescent="0.15">
      <c r="A582" s="9"/>
    </row>
    <row r="583" spans="1:1" ht="12" customHeight="1" x14ac:dyDescent="0.15">
      <c r="A583" s="9"/>
    </row>
    <row r="584" spans="1:1" ht="12" customHeight="1" x14ac:dyDescent="0.15">
      <c r="A584" s="9"/>
    </row>
    <row r="585" spans="1:1" ht="12" customHeight="1" x14ac:dyDescent="0.15">
      <c r="A585" s="9"/>
    </row>
    <row r="586" spans="1:1" ht="12" customHeight="1" x14ac:dyDescent="0.15">
      <c r="A586" s="9"/>
    </row>
    <row r="587" spans="1:1" ht="12" customHeight="1" x14ac:dyDescent="0.15">
      <c r="A587" s="9"/>
    </row>
    <row r="588" spans="1:1" ht="12" customHeight="1" x14ac:dyDescent="0.15">
      <c r="A588" s="9"/>
    </row>
    <row r="589" spans="1:1" ht="12" customHeight="1" x14ac:dyDescent="0.15">
      <c r="A589" s="9"/>
    </row>
    <row r="590" spans="1:1" ht="12" customHeight="1" x14ac:dyDescent="0.15">
      <c r="A590" s="9"/>
    </row>
    <row r="591" spans="1:1" ht="12" customHeight="1" x14ac:dyDescent="0.15">
      <c r="A591" s="9"/>
    </row>
    <row r="592" spans="1:1" ht="12" customHeight="1" x14ac:dyDescent="0.15">
      <c r="A592" s="9"/>
    </row>
    <row r="593" spans="1:1" ht="12" customHeight="1" x14ac:dyDescent="0.15">
      <c r="A593" s="9"/>
    </row>
    <row r="594" spans="1:1" ht="12" customHeight="1" x14ac:dyDescent="0.15">
      <c r="A594" s="9"/>
    </row>
    <row r="595" spans="1:1" ht="12" customHeight="1" x14ac:dyDescent="0.15">
      <c r="A595" s="9"/>
    </row>
    <row r="596" spans="1:1" ht="12" customHeight="1" x14ac:dyDescent="0.15">
      <c r="A596" s="9"/>
    </row>
    <row r="597" spans="1:1" ht="12" customHeight="1" x14ac:dyDescent="0.15">
      <c r="A597" s="9"/>
    </row>
    <row r="598" spans="1:1" ht="12" customHeight="1" x14ac:dyDescent="0.15">
      <c r="A598" s="9"/>
    </row>
    <row r="599" spans="1:1" ht="12" customHeight="1" x14ac:dyDescent="0.15">
      <c r="A599" s="9"/>
    </row>
    <row r="600" spans="1:1" ht="12" customHeight="1" x14ac:dyDescent="0.15">
      <c r="A600" s="9"/>
    </row>
    <row r="601" spans="1:1" ht="12" customHeight="1" x14ac:dyDescent="0.15">
      <c r="A601" s="9"/>
    </row>
    <row r="602" spans="1:1" ht="12" customHeight="1" x14ac:dyDescent="0.15">
      <c r="A602" s="9"/>
    </row>
    <row r="603" spans="1:1" ht="12" customHeight="1" x14ac:dyDescent="0.15">
      <c r="A603" s="9"/>
    </row>
    <row r="604" spans="1:1" ht="12" customHeight="1" x14ac:dyDescent="0.15">
      <c r="A604" s="9"/>
    </row>
    <row r="605" spans="1:1" ht="12" customHeight="1" x14ac:dyDescent="0.15">
      <c r="A605" s="9"/>
    </row>
    <row r="606" spans="1:1" ht="12" customHeight="1" x14ac:dyDescent="0.15">
      <c r="A606" s="9"/>
    </row>
    <row r="607" spans="1:1" ht="12" customHeight="1" x14ac:dyDescent="0.15">
      <c r="A607" s="9"/>
    </row>
    <row r="608" spans="1:1" ht="12" customHeight="1" x14ac:dyDescent="0.15">
      <c r="A608" s="9"/>
    </row>
    <row r="609" spans="1:1" ht="12" customHeight="1" x14ac:dyDescent="0.15">
      <c r="A609" s="9"/>
    </row>
    <row r="610" spans="1:1" ht="12" customHeight="1" x14ac:dyDescent="0.15">
      <c r="A610" s="9"/>
    </row>
    <row r="611" spans="1:1" ht="12" customHeight="1" x14ac:dyDescent="0.15">
      <c r="A611" s="9"/>
    </row>
    <row r="612" spans="1:1" ht="12" customHeight="1" x14ac:dyDescent="0.15">
      <c r="A612" s="9"/>
    </row>
    <row r="613" spans="1:1" ht="12" customHeight="1" x14ac:dyDescent="0.15">
      <c r="A613" s="9"/>
    </row>
    <row r="614" spans="1:1" ht="12" customHeight="1" x14ac:dyDescent="0.15">
      <c r="A614" s="9"/>
    </row>
    <row r="615" spans="1:1" ht="12" customHeight="1" x14ac:dyDescent="0.15">
      <c r="A615" s="9"/>
    </row>
    <row r="616" spans="1:1" ht="12" customHeight="1" x14ac:dyDescent="0.15">
      <c r="A616" s="9"/>
    </row>
    <row r="617" spans="1:1" ht="12" customHeight="1" x14ac:dyDescent="0.15">
      <c r="A617" s="9"/>
    </row>
    <row r="618" spans="1:1" ht="12" customHeight="1" x14ac:dyDescent="0.15">
      <c r="A618" s="9"/>
    </row>
    <row r="619" spans="1:1" ht="12" customHeight="1" x14ac:dyDescent="0.15">
      <c r="A619" s="9"/>
    </row>
    <row r="620" spans="1:1" ht="12" customHeight="1" x14ac:dyDescent="0.15">
      <c r="A620" s="9"/>
    </row>
    <row r="621" spans="1:1" ht="12" customHeight="1" x14ac:dyDescent="0.15">
      <c r="A621" s="9"/>
    </row>
    <row r="622" spans="1:1" ht="12" customHeight="1" x14ac:dyDescent="0.15">
      <c r="A622" s="9"/>
    </row>
    <row r="623" spans="1:1" ht="12" customHeight="1" x14ac:dyDescent="0.15">
      <c r="A623" s="9"/>
    </row>
    <row r="624" spans="1:1" ht="12" customHeight="1" x14ac:dyDescent="0.15">
      <c r="A624" s="9"/>
    </row>
    <row r="625" spans="1:1" ht="12" customHeight="1" x14ac:dyDescent="0.15">
      <c r="A625" s="9"/>
    </row>
    <row r="626" spans="1:1" ht="12" customHeight="1" x14ac:dyDescent="0.15">
      <c r="A626" s="9"/>
    </row>
    <row r="627" spans="1:1" ht="12" customHeight="1" x14ac:dyDescent="0.15">
      <c r="A627" s="9"/>
    </row>
    <row r="628" spans="1:1" ht="12" customHeight="1" x14ac:dyDescent="0.15">
      <c r="A628" s="9"/>
    </row>
    <row r="629" spans="1:1" ht="12" customHeight="1" x14ac:dyDescent="0.15">
      <c r="A629" s="9"/>
    </row>
    <row r="630" spans="1:1" ht="12" customHeight="1" x14ac:dyDescent="0.15">
      <c r="A630" s="9"/>
    </row>
    <row r="631" spans="1:1" ht="12" customHeight="1" x14ac:dyDescent="0.15">
      <c r="A631" s="9"/>
    </row>
    <row r="632" spans="1:1" ht="12" customHeight="1" x14ac:dyDescent="0.15">
      <c r="A632" s="9"/>
    </row>
    <row r="633" spans="1:1" ht="12" customHeight="1" x14ac:dyDescent="0.15">
      <c r="A633" s="9"/>
    </row>
    <row r="634" spans="1:1" ht="12" customHeight="1" x14ac:dyDescent="0.15">
      <c r="A634" s="9"/>
    </row>
    <row r="635" spans="1:1" ht="12" customHeight="1" x14ac:dyDescent="0.15">
      <c r="A635" s="9"/>
    </row>
    <row r="636" spans="1:1" ht="12" customHeight="1" x14ac:dyDescent="0.15">
      <c r="A636" s="9"/>
    </row>
    <row r="637" spans="1:1" ht="12" customHeight="1" x14ac:dyDescent="0.15">
      <c r="A637" s="9"/>
    </row>
    <row r="638" spans="1:1" ht="12" customHeight="1" x14ac:dyDescent="0.15">
      <c r="A638" s="9"/>
    </row>
    <row r="639" spans="1:1" ht="12" customHeight="1" x14ac:dyDescent="0.15">
      <c r="A639" s="9"/>
    </row>
    <row r="640" spans="1:1" ht="12" customHeight="1" x14ac:dyDescent="0.15">
      <c r="A640" s="9"/>
    </row>
    <row r="641" spans="1:1" ht="12" customHeight="1" x14ac:dyDescent="0.15">
      <c r="A641" s="9"/>
    </row>
    <row r="642" spans="1:1" ht="12" customHeight="1" x14ac:dyDescent="0.15">
      <c r="A642" s="9"/>
    </row>
    <row r="643" spans="1:1" ht="12" customHeight="1" x14ac:dyDescent="0.15">
      <c r="A643" s="9"/>
    </row>
    <row r="644" spans="1:1" ht="12" customHeight="1" x14ac:dyDescent="0.15">
      <c r="A644" s="9"/>
    </row>
    <row r="645" spans="1:1" ht="12" customHeight="1" x14ac:dyDescent="0.15">
      <c r="A645" s="9"/>
    </row>
    <row r="646" spans="1:1" ht="12" customHeight="1" x14ac:dyDescent="0.15">
      <c r="A646" s="9"/>
    </row>
    <row r="647" spans="1:1" ht="12" customHeight="1" x14ac:dyDescent="0.15">
      <c r="A647" s="9"/>
    </row>
    <row r="648" spans="1:1" ht="12" customHeight="1" x14ac:dyDescent="0.15">
      <c r="A648" s="9"/>
    </row>
    <row r="649" spans="1:1" ht="12" customHeight="1" x14ac:dyDescent="0.15">
      <c r="A649" s="9"/>
    </row>
    <row r="650" spans="1:1" ht="12" customHeight="1" x14ac:dyDescent="0.15">
      <c r="A650" s="9"/>
    </row>
    <row r="651" spans="1:1" ht="12" customHeight="1" x14ac:dyDescent="0.15">
      <c r="A651" s="9"/>
    </row>
    <row r="652" spans="1:1" ht="12" customHeight="1" x14ac:dyDescent="0.15">
      <c r="A652" s="9"/>
    </row>
    <row r="653" spans="1:1" ht="12" customHeight="1" x14ac:dyDescent="0.15">
      <c r="A653" s="9"/>
    </row>
    <row r="654" spans="1:1" ht="12" customHeight="1" x14ac:dyDescent="0.15">
      <c r="A654" s="9"/>
    </row>
    <row r="655" spans="1:1" ht="12" customHeight="1" x14ac:dyDescent="0.15">
      <c r="A655" s="9"/>
    </row>
    <row r="656" spans="1:1" ht="12" customHeight="1" x14ac:dyDescent="0.15">
      <c r="A656" s="9"/>
    </row>
    <row r="657" spans="1:1" ht="12" customHeight="1" x14ac:dyDescent="0.15">
      <c r="A657" s="9"/>
    </row>
    <row r="658" spans="1:1" ht="12" customHeight="1" x14ac:dyDescent="0.15">
      <c r="A658" s="9"/>
    </row>
    <row r="659" spans="1:1" ht="12" customHeight="1" x14ac:dyDescent="0.15">
      <c r="A659" s="9"/>
    </row>
    <row r="660" spans="1:1" ht="12" customHeight="1" x14ac:dyDescent="0.15">
      <c r="A660" s="9"/>
    </row>
    <row r="661" spans="1:1" ht="12" customHeight="1" x14ac:dyDescent="0.15">
      <c r="A661" s="9"/>
    </row>
    <row r="662" spans="1:1" ht="12" customHeight="1" x14ac:dyDescent="0.15">
      <c r="A662" s="9"/>
    </row>
    <row r="663" spans="1:1" ht="12" customHeight="1" x14ac:dyDescent="0.15">
      <c r="A663" s="9"/>
    </row>
    <row r="664" spans="1:1" ht="12" customHeight="1" x14ac:dyDescent="0.15">
      <c r="A664" s="9"/>
    </row>
    <row r="665" spans="1:1" ht="12" customHeight="1" x14ac:dyDescent="0.15">
      <c r="A665" s="9"/>
    </row>
    <row r="666" spans="1:1" ht="12" customHeight="1" x14ac:dyDescent="0.15">
      <c r="A666" s="9"/>
    </row>
    <row r="667" spans="1:1" ht="12" customHeight="1" x14ac:dyDescent="0.15">
      <c r="A667" s="9"/>
    </row>
    <row r="668" spans="1:1" ht="12" customHeight="1" x14ac:dyDescent="0.15">
      <c r="A668" s="9"/>
    </row>
    <row r="669" spans="1:1" ht="12" customHeight="1" x14ac:dyDescent="0.15">
      <c r="A669" s="9"/>
    </row>
    <row r="670" spans="1:1" ht="12" customHeight="1" x14ac:dyDescent="0.15">
      <c r="A670" s="9"/>
    </row>
    <row r="671" spans="1:1" ht="12" customHeight="1" x14ac:dyDescent="0.15">
      <c r="A671" s="9"/>
    </row>
    <row r="672" spans="1:1" ht="12" customHeight="1" x14ac:dyDescent="0.15">
      <c r="A672" s="9"/>
    </row>
    <row r="673" spans="1:1" ht="12" customHeight="1" x14ac:dyDescent="0.15">
      <c r="A673" s="9"/>
    </row>
    <row r="674" spans="1:1" ht="12" customHeight="1" x14ac:dyDescent="0.15">
      <c r="A674" s="9"/>
    </row>
    <row r="675" spans="1:1" ht="12" customHeight="1" x14ac:dyDescent="0.15">
      <c r="A675" s="9"/>
    </row>
    <row r="676" spans="1:1" ht="12" customHeight="1" x14ac:dyDescent="0.15">
      <c r="A676" s="9"/>
    </row>
    <row r="677" spans="1:1" ht="12" customHeight="1" x14ac:dyDescent="0.15">
      <c r="A677" s="59"/>
    </row>
    <row r="678" spans="1:1" ht="12" customHeight="1" x14ac:dyDescent="0.15">
      <c r="A678" s="59"/>
    </row>
    <row r="679" spans="1:1" ht="12" customHeight="1" x14ac:dyDescent="0.15">
      <c r="A679" s="59"/>
    </row>
    <row r="680" spans="1:1" ht="12" customHeight="1" x14ac:dyDescent="0.15">
      <c r="A680" s="9"/>
    </row>
    <row r="681" spans="1:1" ht="12" customHeight="1" x14ac:dyDescent="0.15">
      <c r="A681" s="9"/>
    </row>
    <row r="682" spans="1:1" ht="12" customHeight="1" x14ac:dyDescent="0.15">
      <c r="A682" s="9"/>
    </row>
    <row r="683" spans="1:1" ht="12" customHeight="1" x14ac:dyDescent="0.15">
      <c r="A683" s="9"/>
    </row>
    <row r="684" spans="1:1" ht="12" customHeight="1" x14ac:dyDescent="0.15">
      <c r="A684" s="9"/>
    </row>
    <row r="685" spans="1:1" ht="12" customHeight="1" x14ac:dyDescent="0.15">
      <c r="A685" s="9"/>
    </row>
    <row r="686" spans="1:1" ht="12" customHeight="1" x14ac:dyDescent="0.15">
      <c r="A686" s="9"/>
    </row>
    <row r="687" spans="1:1" ht="12" customHeight="1" x14ac:dyDescent="0.15">
      <c r="A687" s="9"/>
    </row>
    <row r="688" spans="1:1" ht="12" customHeight="1" x14ac:dyDescent="0.15">
      <c r="A688" s="9"/>
    </row>
    <row r="689" spans="1:1" ht="12" customHeight="1" x14ac:dyDescent="0.15">
      <c r="A689" s="9"/>
    </row>
    <row r="690" spans="1:1" ht="12" customHeight="1" x14ac:dyDescent="0.15">
      <c r="A690" s="9"/>
    </row>
    <row r="691" spans="1:1" ht="12" customHeight="1" x14ac:dyDescent="0.15">
      <c r="A691" s="9"/>
    </row>
    <row r="692" spans="1:1" ht="12" customHeight="1" x14ac:dyDescent="0.15">
      <c r="A692" s="9"/>
    </row>
    <row r="693" spans="1:1" ht="12" customHeight="1" x14ac:dyDescent="0.15">
      <c r="A693" s="9"/>
    </row>
    <row r="694" spans="1:1" ht="12" customHeight="1" x14ac:dyDescent="0.15">
      <c r="A694" s="9"/>
    </row>
    <row r="695" spans="1:1" ht="12" customHeight="1" x14ac:dyDescent="0.15">
      <c r="A695" s="9"/>
    </row>
    <row r="696" spans="1:1" ht="12" customHeight="1" x14ac:dyDescent="0.15">
      <c r="A696" s="9"/>
    </row>
    <row r="697" spans="1:1" ht="12" customHeight="1" x14ac:dyDescent="0.15">
      <c r="A697" s="9"/>
    </row>
    <row r="698" spans="1:1" ht="12" customHeight="1" x14ac:dyDescent="0.15">
      <c r="A698" s="9"/>
    </row>
    <row r="699" spans="1:1" ht="12" customHeight="1" x14ac:dyDescent="0.15">
      <c r="A699" s="9"/>
    </row>
    <row r="700" spans="1:1" ht="12" customHeight="1" x14ac:dyDescent="0.15">
      <c r="A700" s="9"/>
    </row>
    <row r="701" spans="1:1" ht="12" customHeight="1" x14ac:dyDescent="0.15">
      <c r="A701" s="9"/>
    </row>
    <row r="702" spans="1:1" ht="12" customHeight="1" x14ac:dyDescent="0.15">
      <c r="A702" s="9"/>
    </row>
    <row r="703" spans="1:1" ht="12" customHeight="1" x14ac:dyDescent="0.15">
      <c r="A703" s="9"/>
    </row>
    <row r="704" spans="1:1" ht="12" customHeight="1" x14ac:dyDescent="0.15">
      <c r="A704" s="9"/>
    </row>
    <row r="705" spans="1:1" ht="12" customHeight="1" x14ac:dyDescent="0.15">
      <c r="A705" s="9"/>
    </row>
    <row r="706" spans="1:1" ht="12" customHeight="1" x14ac:dyDescent="0.15">
      <c r="A706" s="9"/>
    </row>
    <row r="707" spans="1:1" ht="12" customHeight="1" x14ac:dyDescent="0.15">
      <c r="A707" s="9"/>
    </row>
    <row r="708" spans="1:1" ht="12" customHeight="1" x14ac:dyDescent="0.15">
      <c r="A708" s="9"/>
    </row>
    <row r="709" spans="1:1" ht="12" customHeight="1" x14ac:dyDescent="0.15">
      <c r="A709" s="9"/>
    </row>
    <row r="710" spans="1:1" ht="12" customHeight="1" x14ac:dyDescent="0.15">
      <c r="A710" s="9"/>
    </row>
    <row r="711" spans="1:1" ht="12" customHeight="1" x14ac:dyDescent="0.15">
      <c r="A711" s="9"/>
    </row>
    <row r="712" spans="1:1" ht="12" customHeight="1" x14ac:dyDescent="0.15">
      <c r="A712" s="9"/>
    </row>
    <row r="713" spans="1:1" ht="12" customHeight="1" x14ac:dyDescent="0.15">
      <c r="A713" s="9"/>
    </row>
    <row r="714" spans="1:1" ht="12" customHeight="1" x14ac:dyDescent="0.15">
      <c r="A714" s="9"/>
    </row>
    <row r="715" spans="1:1" ht="12" customHeight="1" x14ac:dyDescent="0.15">
      <c r="A715" s="9"/>
    </row>
    <row r="716" spans="1:1" ht="12" customHeight="1" x14ac:dyDescent="0.15">
      <c r="A716" s="9"/>
    </row>
    <row r="717" spans="1:1" ht="12" customHeight="1" x14ac:dyDescent="0.15">
      <c r="A717" s="9"/>
    </row>
    <row r="718" spans="1:1" ht="12" customHeight="1" x14ac:dyDescent="0.15">
      <c r="A718" s="9"/>
    </row>
    <row r="719" spans="1:1" ht="12" customHeight="1" x14ac:dyDescent="0.15">
      <c r="A719" s="9"/>
    </row>
    <row r="720" spans="1:1" ht="12" customHeight="1" x14ac:dyDescent="0.15">
      <c r="A720" s="9"/>
    </row>
    <row r="721" spans="1:1" ht="12" customHeight="1" x14ac:dyDescent="0.15">
      <c r="A721" s="9"/>
    </row>
    <row r="722" spans="1:1" ht="12" customHeight="1" x14ac:dyDescent="0.15">
      <c r="A722" s="9"/>
    </row>
    <row r="723" spans="1:1" ht="12" customHeight="1" x14ac:dyDescent="0.15">
      <c r="A723" s="9"/>
    </row>
    <row r="724" spans="1:1" ht="12" customHeight="1" x14ac:dyDescent="0.15">
      <c r="A724" s="9"/>
    </row>
    <row r="725" spans="1:1" ht="12" customHeight="1" x14ac:dyDescent="0.15">
      <c r="A725" s="9"/>
    </row>
    <row r="726" spans="1:1" ht="12" customHeight="1" x14ac:dyDescent="0.15">
      <c r="A726" s="9"/>
    </row>
    <row r="727" spans="1:1" ht="12" customHeight="1" x14ac:dyDescent="0.15">
      <c r="A727" s="9"/>
    </row>
    <row r="728" spans="1:1" ht="12" customHeight="1" x14ac:dyDescent="0.15">
      <c r="A728" s="9"/>
    </row>
    <row r="729" spans="1:1" ht="12" customHeight="1" x14ac:dyDescent="0.15">
      <c r="A729" s="9"/>
    </row>
    <row r="730" spans="1:1" ht="12" customHeight="1" x14ac:dyDescent="0.15">
      <c r="A730" s="9"/>
    </row>
    <row r="731" spans="1:1" ht="12" customHeight="1" x14ac:dyDescent="0.15">
      <c r="A731" s="9"/>
    </row>
    <row r="732" spans="1:1" ht="12" customHeight="1" x14ac:dyDescent="0.15">
      <c r="A732" s="9"/>
    </row>
    <row r="733" spans="1:1" ht="12" customHeight="1" x14ac:dyDescent="0.15">
      <c r="A733" s="9"/>
    </row>
    <row r="734" spans="1:1" ht="12" customHeight="1" x14ac:dyDescent="0.15">
      <c r="A734" s="9"/>
    </row>
    <row r="735" spans="1:1" ht="12" customHeight="1" x14ac:dyDescent="0.15">
      <c r="A735" s="9"/>
    </row>
    <row r="736" spans="1:1" ht="12" customHeight="1" x14ac:dyDescent="0.15">
      <c r="A736" s="9"/>
    </row>
    <row r="737" spans="1:1" ht="12" customHeight="1" x14ac:dyDescent="0.15">
      <c r="A737" s="9"/>
    </row>
    <row r="738" spans="1:1" ht="12" customHeight="1" x14ac:dyDescent="0.15">
      <c r="A738" s="9"/>
    </row>
    <row r="739" spans="1:1" ht="12" customHeight="1" x14ac:dyDescent="0.15">
      <c r="A739" s="9"/>
    </row>
    <row r="740" spans="1:1" ht="12" customHeight="1" x14ac:dyDescent="0.15">
      <c r="A740" s="9"/>
    </row>
    <row r="741" spans="1:1" ht="12" customHeight="1" x14ac:dyDescent="0.15">
      <c r="A741" s="9"/>
    </row>
    <row r="742" spans="1:1" ht="12" customHeight="1" x14ac:dyDescent="0.15">
      <c r="A742" s="9"/>
    </row>
    <row r="743" spans="1:1" ht="12" customHeight="1" x14ac:dyDescent="0.15">
      <c r="A743" s="9"/>
    </row>
    <row r="744" spans="1:1" ht="12" customHeight="1" x14ac:dyDescent="0.15">
      <c r="A744" s="9"/>
    </row>
    <row r="745" spans="1:1" ht="12" customHeight="1" x14ac:dyDescent="0.15">
      <c r="A745" s="9"/>
    </row>
    <row r="746" spans="1:1" ht="12" customHeight="1" x14ac:dyDescent="0.15">
      <c r="A746" s="9"/>
    </row>
    <row r="747" spans="1:1" ht="12" customHeight="1" x14ac:dyDescent="0.15">
      <c r="A747" s="9"/>
    </row>
    <row r="748" spans="1:1" ht="12" customHeight="1" x14ac:dyDescent="0.15">
      <c r="A748" s="9"/>
    </row>
    <row r="749" spans="1:1" ht="12" customHeight="1" x14ac:dyDescent="0.15">
      <c r="A749" s="9"/>
    </row>
    <row r="750" spans="1:1" ht="12" customHeight="1" x14ac:dyDescent="0.15">
      <c r="A750" s="9"/>
    </row>
    <row r="751" spans="1:1" ht="12" customHeight="1" x14ac:dyDescent="0.15">
      <c r="A751" s="9"/>
    </row>
    <row r="752" spans="1:1" ht="12" customHeight="1" x14ac:dyDescent="0.15">
      <c r="A752" s="9"/>
    </row>
    <row r="753" spans="1:1" ht="12" customHeight="1" x14ac:dyDescent="0.15">
      <c r="A753" s="9"/>
    </row>
    <row r="754" spans="1:1" ht="12" customHeight="1" x14ac:dyDescent="0.15">
      <c r="A754" s="9"/>
    </row>
    <row r="755" spans="1:1" ht="12" customHeight="1" x14ac:dyDescent="0.15">
      <c r="A755" s="9"/>
    </row>
    <row r="756" spans="1:1" ht="12" customHeight="1" x14ac:dyDescent="0.15">
      <c r="A756" s="9"/>
    </row>
    <row r="757" spans="1:1" ht="12" customHeight="1" x14ac:dyDescent="0.15">
      <c r="A757" s="9"/>
    </row>
    <row r="758" spans="1:1" ht="12" customHeight="1" x14ac:dyDescent="0.15">
      <c r="A758" s="9"/>
    </row>
    <row r="759" spans="1:1" ht="12" customHeight="1" x14ac:dyDescent="0.15">
      <c r="A759" s="9"/>
    </row>
    <row r="760" spans="1:1" ht="12" customHeight="1" x14ac:dyDescent="0.15">
      <c r="A760" s="9"/>
    </row>
    <row r="761" spans="1:1" ht="12" customHeight="1" x14ac:dyDescent="0.15">
      <c r="A761" s="9"/>
    </row>
    <row r="762" spans="1:1" ht="12" customHeight="1" x14ac:dyDescent="0.15">
      <c r="A762" s="9"/>
    </row>
    <row r="763" spans="1:1" ht="12" customHeight="1" x14ac:dyDescent="0.15">
      <c r="A763" s="9"/>
    </row>
    <row r="764" spans="1:1" ht="12" customHeight="1" x14ac:dyDescent="0.15">
      <c r="A764" s="9"/>
    </row>
    <row r="765" spans="1:1" ht="12" customHeight="1" x14ac:dyDescent="0.15">
      <c r="A765" s="9"/>
    </row>
    <row r="766" spans="1:1" ht="12" customHeight="1" x14ac:dyDescent="0.15">
      <c r="A766" s="9"/>
    </row>
    <row r="767" spans="1:1" ht="12" customHeight="1" x14ac:dyDescent="0.15">
      <c r="A767" s="9"/>
    </row>
    <row r="768" spans="1:1" ht="12" customHeight="1" x14ac:dyDescent="0.15">
      <c r="A768" s="9"/>
    </row>
    <row r="769" spans="1:1" ht="12" customHeight="1" x14ac:dyDescent="0.15">
      <c r="A769" s="9"/>
    </row>
    <row r="770" spans="1:1" ht="12" customHeight="1" x14ac:dyDescent="0.15">
      <c r="A770" s="9"/>
    </row>
    <row r="771" spans="1:1" ht="12" customHeight="1" x14ac:dyDescent="0.15">
      <c r="A771" s="9"/>
    </row>
    <row r="772" spans="1:1" ht="12" customHeight="1" x14ac:dyDescent="0.15">
      <c r="A772" s="9"/>
    </row>
    <row r="773" spans="1:1" ht="12" customHeight="1" x14ac:dyDescent="0.15">
      <c r="A773" s="9"/>
    </row>
    <row r="774" spans="1:1" ht="12" customHeight="1" x14ac:dyDescent="0.15">
      <c r="A774" s="9"/>
    </row>
    <row r="775" spans="1:1" ht="12" customHeight="1" x14ac:dyDescent="0.15">
      <c r="A775" s="9"/>
    </row>
    <row r="776" spans="1:1" ht="12" customHeight="1" x14ac:dyDescent="0.15">
      <c r="A776" s="9"/>
    </row>
    <row r="777" spans="1:1" ht="12" customHeight="1" x14ac:dyDescent="0.15">
      <c r="A777" s="9"/>
    </row>
    <row r="778" spans="1:1" ht="12" customHeight="1" x14ac:dyDescent="0.15">
      <c r="A778" s="9"/>
    </row>
    <row r="779" spans="1:1" ht="12" customHeight="1" x14ac:dyDescent="0.15">
      <c r="A779" s="9"/>
    </row>
    <row r="780" spans="1:1" ht="12" customHeight="1" x14ac:dyDescent="0.15">
      <c r="A780" s="9"/>
    </row>
    <row r="781" spans="1:1" ht="12" customHeight="1" x14ac:dyDescent="0.15">
      <c r="A781" s="9"/>
    </row>
    <row r="782" spans="1:1" ht="12" customHeight="1" x14ac:dyDescent="0.15">
      <c r="A782" s="9"/>
    </row>
    <row r="783" spans="1:1" ht="12" customHeight="1" x14ac:dyDescent="0.15">
      <c r="A783" s="9"/>
    </row>
    <row r="784" spans="1:1" ht="12" customHeight="1" x14ac:dyDescent="0.15">
      <c r="A784" s="9"/>
    </row>
    <row r="785" spans="1:1" ht="12" customHeight="1" x14ac:dyDescent="0.15">
      <c r="A785" s="9"/>
    </row>
    <row r="786" spans="1:1" ht="12" customHeight="1" x14ac:dyDescent="0.15">
      <c r="A786" s="9"/>
    </row>
    <row r="787" spans="1:1" ht="12" customHeight="1" x14ac:dyDescent="0.15">
      <c r="A787" s="9"/>
    </row>
    <row r="788" spans="1:1" ht="12" customHeight="1" x14ac:dyDescent="0.15">
      <c r="A788" s="9"/>
    </row>
    <row r="789" spans="1:1" ht="12" customHeight="1" x14ac:dyDescent="0.15">
      <c r="A789" s="9"/>
    </row>
    <row r="790" spans="1:1" ht="12" customHeight="1" x14ac:dyDescent="0.15">
      <c r="A790" s="9"/>
    </row>
    <row r="791" spans="1:1" ht="12" customHeight="1" x14ac:dyDescent="0.15">
      <c r="A791" s="9"/>
    </row>
    <row r="792" spans="1:1" ht="12" customHeight="1" x14ac:dyDescent="0.15">
      <c r="A792" s="9"/>
    </row>
    <row r="793" spans="1:1" ht="12" customHeight="1" x14ac:dyDescent="0.15">
      <c r="A793" s="9"/>
    </row>
    <row r="794" spans="1:1" ht="12" customHeight="1" x14ac:dyDescent="0.15">
      <c r="A794" s="9"/>
    </row>
    <row r="795" spans="1:1" ht="12" customHeight="1" x14ac:dyDescent="0.15">
      <c r="A795" s="9"/>
    </row>
    <row r="796" spans="1:1" ht="12" customHeight="1" x14ac:dyDescent="0.15">
      <c r="A796" s="9"/>
    </row>
    <row r="797" spans="1:1" ht="12" customHeight="1" x14ac:dyDescent="0.15">
      <c r="A797" s="9"/>
    </row>
    <row r="798" spans="1:1" ht="12" customHeight="1" x14ac:dyDescent="0.15">
      <c r="A798" s="9"/>
    </row>
    <row r="799" spans="1:1" ht="12" customHeight="1" x14ac:dyDescent="0.15">
      <c r="A799" s="9"/>
    </row>
    <row r="800" spans="1:1" ht="12" customHeight="1" x14ac:dyDescent="0.15">
      <c r="A800" s="9"/>
    </row>
    <row r="801" spans="1:1" ht="12" customHeight="1" x14ac:dyDescent="0.15">
      <c r="A801" s="9"/>
    </row>
    <row r="802" spans="1:1" ht="12" customHeight="1" x14ac:dyDescent="0.15">
      <c r="A802" s="9"/>
    </row>
    <row r="803" spans="1:1" ht="12" customHeight="1" x14ac:dyDescent="0.15">
      <c r="A803" s="9"/>
    </row>
    <row r="804" spans="1:1" ht="12" customHeight="1" x14ac:dyDescent="0.15">
      <c r="A804" s="9"/>
    </row>
    <row r="805" spans="1:1" ht="12" customHeight="1" x14ac:dyDescent="0.15">
      <c r="A805" s="9"/>
    </row>
    <row r="806" spans="1:1" ht="12" customHeight="1" x14ac:dyDescent="0.15">
      <c r="A806" s="9"/>
    </row>
    <row r="807" spans="1:1" ht="12" customHeight="1" x14ac:dyDescent="0.15">
      <c r="A807" s="9"/>
    </row>
    <row r="808" spans="1:1" ht="12" customHeight="1" x14ac:dyDescent="0.15">
      <c r="A808" s="9"/>
    </row>
    <row r="809" spans="1:1" ht="12" customHeight="1" x14ac:dyDescent="0.15">
      <c r="A809" s="9"/>
    </row>
    <row r="810" spans="1:1" ht="12" customHeight="1" x14ac:dyDescent="0.15">
      <c r="A810" s="9"/>
    </row>
    <row r="811" spans="1:1" ht="12" customHeight="1" x14ac:dyDescent="0.15">
      <c r="A811" s="9"/>
    </row>
    <row r="812" spans="1:1" ht="12" customHeight="1" x14ac:dyDescent="0.15">
      <c r="A812" s="9"/>
    </row>
    <row r="813" spans="1:1" ht="12" customHeight="1" x14ac:dyDescent="0.15">
      <c r="A813" s="9"/>
    </row>
    <row r="814" spans="1:1" ht="12" customHeight="1" x14ac:dyDescent="0.15">
      <c r="A814" s="9"/>
    </row>
    <row r="815" spans="1:1" ht="12" customHeight="1" x14ac:dyDescent="0.15">
      <c r="A815" s="9"/>
    </row>
    <row r="816" spans="1:1" ht="12" customHeight="1" x14ac:dyDescent="0.15">
      <c r="A816" s="9"/>
    </row>
    <row r="817" spans="1:1" ht="12" customHeight="1" x14ac:dyDescent="0.15">
      <c r="A817" s="9"/>
    </row>
    <row r="818" spans="1:1" ht="12" customHeight="1" x14ac:dyDescent="0.15">
      <c r="A818" s="9"/>
    </row>
    <row r="819" spans="1:1" ht="12" customHeight="1" x14ac:dyDescent="0.15">
      <c r="A819" s="9"/>
    </row>
    <row r="820" spans="1:1" ht="12" customHeight="1" x14ac:dyDescent="0.15">
      <c r="A820" s="9"/>
    </row>
    <row r="821" spans="1:1" ht="12" customHeight="1" x14ac:dyDescent="0.15">
      <c r="A821" s="9"/>
    </row>
    <row r="822" spans="1:1" ht="12" customHeight="1" x14ac:dyDescent="0.15">
      <c r="A822" s="9"/>
    </row>
    <row r="823" spans="1:1" ht="12" customHeight="1" x14ac:dyDescent="0.15">
      <c r="A823" s="9"/>
    </row>
    <row r="824" spans="1:1" ht="12" customHeight="1" x14ac:dyDescent="0.15">
      <c r="A824" s="9"/>
    </row>
    <row r="825" spans="1:1" ht="12" customHeight="1" x14ac:dyDescent="0.15">
      <c r="A825" s="9"/>
    </row>
    <row r="826" spans="1:1" ht="12" customHeight="1" x14ac:dyDescent="0.15">
      <c r="A826" s="9"/>
    </row>
    <row r="827" spans="1:1" ht="12" customHeight="1" x14ac:dyDescent="0.15">
      <c r="A827" s="9"/>
    </row>
    <row r="828" spans="1:1" ht="12" customHeight="1" x14ac:dyDescent="0.15">
      <c r="A828" s="9"/>
    </row>
    <row r="829" spans="1:1" ht="12" customHeight="1" x14ac:dyDescent="0.15">
      <c r="A829" s="9"/>
    </row>
    <row r="830" spans="1:1" ht="12" customHeight="1" x14ac:dyDescent="0.15">
      <c r="A830" s="9"/>
    </row>
    <row r="831" spans="1:1" ht="12" customHeight="1" x14ac:dyDescent="0.15">
      <c r="A831" s="9"/>
    </row>
    <row r="832" spans="1:1" ht="12" customHeight="1" x14ac:dyDescent="0.15">
      <c r="A832" s="9"/>
    </row>
    <row r="833" spans="1:1" ht="12" customHeight="1" x14ac:dyDescent="0.15">
      <c r="A833" s="9"/>
    </row>
    <row r="834" spans="1:1" ht="12" customHeight="1" x14ac:dyDescent="0.15">
      <c r="A834" s="9"/>
    </row>
    <row r="835" spans="1:1" ht="12" customHeight="1" x14ac:dyDescent="0.15">
      <c r="A835" s="9"/>
    </row>
    <row r="836" spans="1:1" ht="12" customHeight="1" x14ac:dyDescent="0.15">
      <c r="A836" s="9"/>
    </row>
    <row r="837" spans="1:1" ht="12" customHeight="1" x14ac:dyDescent="0.15">
      <c r="A837" s="9"/>
    </row>
    <row r="838" spans="1:1" ht="12" customHeight="1" x14ac:dyDescent="0.15">
      <c r="A838" s="9"/>
    </row>
    <row r="839" spans="1:1" ht="12" customHeight="1" x14ac:dyDescent="0.15">
      <c r="A839" s="9"/>
    </row>
    <row r="840" spans="1:1" ht="12" customHeight="1" x14ac:dyDescent="0.15">
      <c r="A840" s="9"/>
    </row>
    <row r="841" spans="1:1" ht="12" customHeight="1" x14ac:dyDescent="0.15">
      <c r="A841" s="9"/>
    </row>
    <row r="842" spans="1:1" ht="12" customHeight="1" x14ac:dyDescent="0.15">
      <c r="A842" s="9"/>
    </row>
    <row r="843" spans="1:1" ht="12" customHeight="1" x14ac:dyDescent="0.15">
      <c r="A843" s="9"/>
    </row>
    <row r="844" spans="1:1" ht="12" customHeight="1" x14ac:dyDescent="0.15">
      <c r="A844" s="9"/>
    </row>
    <row r="845" spans="1:1" ht="12" customHeight="1" x14ac:dyDescent="0.15">
      <c r="A845" s="9"/>
    </row>
    <row r="846" spans="1:1" ht="12" customHeight="1" x14ac:dyDescent="0.15">
      <c r="A846" s="9"/>
    </row>
    <row r="847" spans="1:1" ht="12" customHeight="1" x14ac:dyDescent="0.15">
      <c r="A847" s="9"/>
    </row>
    <row r="848" spans="1:1" ht="12" customHeight="1" x14ac:dyDescent="0.15">
      <c r="A848" s="9"/>
    </row>
    <row r="849" spans="1:1" ht="12" customHeight="1" x14ac:dyDescent="0.15">
      <c r="A849" s="9"/>
    </row>
    <row r="850" spans="1:1" ht="12" customHeight="1" x14ac:dyDescent="0.15">
      <c r="A850" s="9"/>
    </row>
    <row r="851" spans="1:1" ht="12" customHeight="1" x14ac:dyDescent="0.15">
      <c r="A851" s="9"/>
    </row>
    <row r="852" spans="1:1" ht="12" customHeight="1" x14ac:dyDescent="0.15">
      <c r="A852" s="9"/>
    </row>
    <row r="853" spans="1:1" ht="12" customHeight="1" x14ac:dyDescent="0.15">
      <c r="A853" s="9"/>
    </row>
    <row r="854" spans="1:1" ht="12" customHeight="1" x14ac:dyDescent="0.15">
      <c r="A854" s="9"/>
    </row>
    <row r="855" spans="1:1" ht="12" customHeight="1" x14ac:dyDescent="0.15">
      <c r="A855" s="9"/>
    </row>
    <row r="856" spans="1:1" ht="12" customHeight="1" x14ac:dyDescent="0.15">
      <c r="A856" s="9"/>
    </row>
    <row r="857" spans="1:1" ht="12" customHeight="1" x14ac:dyDescent="0.15">
      <c r="A857" s="9"/>
    </row>
    <row r="858" spans="1:1" ht="12" customHeight="1" x14ac:dyDescent="0.15">
      <c r="A858" s="9"/>
    </row>
    <row r="859" spans="1:1" ht="12" customHeight="1" x14ac:dyDescent="0.15">
      <c r="A859" s="9"/>
    </row>
    <row r="860" spans="1:1" ht="12" customHeight="1" x14ac:dyDescent="0.15">
      <c r="A860" s="9"/>
    </row>
    <row r="861" spans="1:1" ht="12" customHeight="1" x14ac:dyDescent="0.15">
      <c r="A861" s="9"/>
    </row>
    <row r="862" spans="1:1" ht="12" customHeight="1" x14ac:dyDescent="0.15">
      <c r="A862" s="9"/>
    </row>
    <row r="863" spans="1:1" ht="12" customHeight="1" x14ac:dyDescent="0.15">
      <c r="A863" s="9"/>
    </row>
    <row r="864" spans="1:1" ht="12" customHeight="1" x14ac:dyDescent="0.15">
      <c r="A864" s="9"/>
    </row>
    <row r="865" spans="1:1" ht="12" customHeight="1" x14ac:dyDescent="0.15">
      <c r="A865" s="9"/>
    </row>
    <row r="866" spans="1:1" ht="12" customHeight="1" x14ac:dyDescent="0.15">
      <c r="A866" s="9"/>
    </row>
    <row r="867" spans="1:1" ht="12" customHeight="1" x14ac:dyDescent="0.15">
      <c r="A867" s="9"/>
    </row>
    <row r="868" spans="1:1" ht="12" customHeight="1" x14ac:dyDescent="0.15">
      <c r="A868" s="9"/>
    </row>
    <row r="869" spans="1:1" ht="12" customHeight="1" x14ac:dyDescent="0.15">
      <c r="A869" s="9"/>
    </row>
    <row r="870" spans="1:1" ht="12" customHeight="1" x14ac:dyDescent="0.15">
      <c r="A870" s="9"/>
    </row>
    <row r="871" spans="1:1" ht="12" customHeight="1" x14ac:dyDescent="0.15">
      <c r="A871" s="9"/>
    </row>
    <row r="872" spans="1:1" ht="12" customHeight="1" x14ac:dyDescent="0.15">
      <c r="A872" s="9"/>
    </row>
    <row r="873" spans="1:1" ht="12" customHeight="1" x14ac:dyDescent="0.15">
      <c r="A873" s="9"/>
    </row>
    <row r="874" spans="1:1" ht="12" customHeight="1" x14ac:dyDescent="0.15">
      <c r="A874" s="9"/>
    </row>
    <row r="875" spans="1:1" ht="12" customHeight="1" x14ac:dyDescent="0.15">
      <c r="A875" s="9"/>
    </row>
    <row r="876" spans="1:1" ht="12" customHeight="1" x14ac:dyDescent="0.15">
      <c r="A876" s="9"/>
    </row>
    <row r="877" spans="1:1" ht="12" customHeight="1" x14ac:dyDescent="0.15">
      <c r="A877" s="9"/>
    </row>
    <row r="878" spans="1:1" ht="12" customHeight="1" x14ac:dyDescent="0.15">
      <c r="A878" s="9"/>
    </row>
    <row r="879" spans="1:1" ht="12" customHeight="1" x14ac:dyDescent="0.15">
      <c r="A879" s="9"/>
    </row>
    <row r="880" spans="1:1" ht="12" customHeight="1" x14ac:dyDescent="0.15">
      <c r="A880" s="9"/>
    </row>
    <row r="881" spans="1:1" ht="12" customHeight="1" x14ac:dyDescent="0.15">
      <c r="A881" s="9"/>
    </row>
    <row r="882" spans="1:1" ht="12" customHeight="1" x14ac:dyDescent="0.15">
      <c r="A882" s="9"/>
    </row>
    <row r="883" spans="1:1" ht="12" customHeight="1" x14ac:dyDescent="0.15">
      <c r="A883" s="9"/>
    </row>
    <row r="884" spans="1:1" ht="12" customHeight="1" x14ac:dyDescent="0.15">
      <c r="A884" s="9"/>
    </row>
    <row r="885" spans="1:1" ht="12" customHeight="1" x14ac:dyDescent="0.15">
      <c r="A885" s="9"/>
    </row>
    <row r="886" spans="1:1" ht="12" customHeight="1" x14ac:dyDescent="0.15">
      <c r="A886" s="9"/>
    </row>
    <row r="887" spans="1:1" ht="12" customHeight="1" x14ac:dyDescent="0.15">
      <c r="A887" s="9"/>
    </row>
    <row r="888" spans="1:1" ht="12" customHeight="1" x14ac:dyDescent="0.15">
      <c r="A888" s="9"/>
    </row>
    <row r="889" spans="1:1" ht="12" customHeight="1" x14ac:dyDescent="0.15">
      <c r="A889" s="9"/>
    </row>
    <row r="890" spans="1:1" ht="12" customHeight="1" x14ac:dyDescent="0.15">
      <c r="A890" s="9"/>
    </row>
    <row r="891" spans="1:1" ht="12" customHeight="1" x14ac:dyDescent="0.15">
      <c r="A891" s="9"/>
    </row>
    <row r="892" spans="1:1" ht="12" customHeight="1" x14ac:dyDescent="0.15">
      <c r="A892" s="9"/>
    </row>
    <row r="893" spans="1:1" ht="12" customHeight="1" x14ac:dyDescent="0.15">
      <c r="A893" s="9"/>
    </row>
    <row r="894" spans="1:1" ht="12" customHeight="1" x14ac:dyDescent="0.15">
      <c r="A894" s="9"/>
    </row>
    <row r="895" spans="1:1" ht="12" customHeight="1" x14ac:dyDescent="0.15">
      <c r="A895" s="9"/>
    </row>
    <row r="896" spans="1:1" ht="12" customHeight="1" x14ac:dyDescent="0.15">
      <c r="A896" s="9"/>
    </row>
    <row r="897" spans="1:1" ht="12" customHeight="1" x14ac:dyDescent="0.15">
      <c r="A897" s="9"/>
    </row>
    <row r="898" spans="1:1" ht="12" customHeight="1" x14ac:dyDescent="0.15">
      <c r="A898" s="9"/>
    </row>
    <row r="899" spans="1:1" ht="12" customHeight="1" x14ac:dyDescent="0.15">
      <c r="A899" s="9"/>
    </row>
    <row r="900" spans="1:1" ht="12" customHeight="1" x14ac:dyDescent="0.15">
      <c r="A900" s="9"/>
    </row>
    <row r="901" spans="1:1" ht="12" customHeight="1" x14ac:dyDescent="0.15">
      <c r="A901" s="9"/>
    </row>
    <row r="902" spans="1:1" ht="12" customHeight="1" x14ac:dyDescent="0.15">
      <c r="A902" s="9"/>
    </row>
    <row r="903" spans="1:1" ht="12" customHeight="1" x14ac:dyDescent="0.15">
      <c r="A903" s="9"/>
    </row>
    <row r="904" spans="1:1" ht="12" customHeight="1" x14ac:dyDescent="0.15">
      <c r="A904" s="9"/>
    </row>
    <row r="905" spans="1:1" ht="12" customHeight="1" x14ac:dyDescent="0.15">
      <c r="A905" s="9"/>
    </row>
    <row r="906" spans="1:1" ht="12" customHeight="1" x14ac:dyDescent="0.15">
      <c r="A906" s="9"/>
    </row>
    <row r="907" spans="1:1" ht="12" customHeight="1" x14ac:dyDescent="0.15">
      <c r="A907" s="9"/>
    </row>
    <row r="908" spans="1:1" ht="12" customHeight="1" x14ac:dyDescent="0.15">
      <c r="A908" s="9"/>
    </row>
    <row r="909" spans="1:1" ht="12" customHeight="1" x14ac:dyDescent="0.15">
      <c r="A909" s="9"/>
    </row>
    <row r="910" spans="1:1" ht="12" customHeight="1" x14ac:dyDescent="0.15">
      <c r="A910" s="9"/>
    </row>
    <row r="911" spans="1:1" ht="12" customHeight="1" x14ac:dyDescent="0.15">
      <c r="A911" s="9"/>
    </row>
    <row r="912" spans="1:1" ht="12" customHeight="1" x14ac:dyDescent="0.15">
      <c r="A912" s="9"/>
    </row>
    <row r="913" spans="1:1" ht="12" customHeight="1" x14ac:dyDescent="0.15">
      <c r="A913" s="9"/>
    </row>
    <row r="914" spans="1:1" ht="12" customHeight="1" x14ac:dyDescent="0.15">
      <c r="A914" s="9"/>
    </row>
    <row r="915" spans="1:1" ht="12" customHeight="1" x14ac:dyDescent="0.15">
      <c r="A915" s="9"/>
    </row>
    <row r="916" spans="1:1" ht="12" customHeight="1" x14ac:dyDescent="0.15">
      <c r="A916" s="9"/>
    </row>
    <row r="917" spans="1:1" ht="12" customHeight="1" x14ac:dyDescent="0.15">
      <c r="A917" s="9"/>
    </row>
    <row r="918" spans="1:1" ht="12" customHeight="1" x14ac:dyDescent="0.15">
      <c r="A918" s="9"/>
    </row>
    <row r="919" spans="1:1" ht="12" customHeight="1" x14ac:dyDescent="0.15">
      <c r="A919" s="9"/>
    </row>
    <row r="920" spans="1:1" ht="12" customHeight="1" x14ac:dyDescent="0.15">
      <c r="A920" s="9"/>
    </row>
    <row r="921" spans="1:1" ht="12" customHeight="1" x14ac:dyDescent="0.15">
      <c r="A921" s="9"/>
    </row>
    <row r="922" spans="1:1" ht="12" customHeight="1" x14ac:dyDescent="0.15">
      <c r="A922" s="9"/>
    </row>
    <row r="923" spans="1:1" ht="12" customHeight="1" x14ac:dyDescent="0.15">
      <c r="A923" s="9"/>
    </row>
    <row r="924" spans="1:1" ht="12" customHeight="1" x14ac:dyDescent="0.15">
      <c r="A924" s="9"/>
    </row>
    <row r="925" spans="1:1" ht="12" customHeight="1" x14ac:dyDescent="0.15">
      <c r="A925" s="9"/>
    </row>
    <row r="926" spans="1:1" ht="12" customHeight="1" x14ac:dyDescent="0.15">
      <c r="A926" s="9"/>
    </row>
    <row r="927" spans="1:1" ht="12" customHeight="1" x14ac:dyDescent="0.15">
      <c r="A927" s="9"/>
    </row>
    <row r="928" spans="1:1" ht="12" customHeight="1" x14ac:dyDescent="0.15">
      <c r="A928" s="9"/>
    </row>
    <row r="929" spans="1:1" ht="12" customHeight="1" x14ac:dyDescent="0.15">
      <c r="A929" s="9"/>
    </row>
    <row r="930" spans="1:1" ht="12" customHeight="1" x14ac:dyDescent="0.15">
      <c r="A930" s="9"/>
    </row>
    <row r="931" spans="1:1" ht="12" customHeight="1" x14ac:dyDescent="0.15">
      <c r="A931" s="9"/>
    </row>
    <row r="932" spans="1:1" ht="12" customHeight="1" x14ac:dyDescent="0.15">
      <c r="A932" s="9"/>
    </row>
    <row r="933" spans="1:1" ht="12" customHeight="1" x14ac:dyDescent="0.15">
      <c r="A933" s="9"/>
    </row>
    <row r="934" spans="1:1" ht="12" customHeight="1" x14ac:dyDescent="0.15">
      <c r="A934" s="9"/>
    </row>
    <row r="935" spans="1:1" ht="12" customHeight="1" x14ac:dyDescent="0.15">
      <c r="A935" s="9"/>
    </row>
    <row r="936" spans="1:1" ht="12" customHeight="1" x14ac:dyDescent="0.15">
      <c r="A936" s="9"/>
    </row>
    <row r="937" spans="1:1" ht="12" customHeight="1" x14ac:dyDescent="0.15">
      <c r="A937" s="9"/>
    </row>
    <row r="938" spans="1:1" ht="12" customHeight="1" x14ac:dyDescent="0.15">
      <c r="A938" s="9"/>
    </row>
    <row r="939" spans="1:1" ht="12" customHeight="1" x14ac:dyDescent="0.15">
      <c r="A939" s="9"/>
    </row>
    <row r="940" spans="1:1" ht="12" customHeight="1" x14ac:dyDescent="0.15">
      <c r="A940" s="9"/>
    </row>
    <row r="941" spans="1:1" ht="12" customHeight="1" x14ac:dyDescent="0.15">
      <c r="A941" s="9"/>
    </row>
    <row r="942" spans="1:1" ht="12" customHeight="1" x14ac:dyDescent="0.15">
      <c r="A942" s="9"/>
    </row>
    <row r="943" spans="1:1" ht="12" customHeight="1" x14ac:dyDescent="0.15">
      <c r="A943" s="9"/>
    </row>
    <row r="944" spans="1:1" ht="12" customHeight="1" x14ac:dyDescent="0.15">
      <c r="A944" s="9"/>
    </row>
    <row r="945" spans="1:1" ht="12" customHeight="1" x14ac:dyDescent="0.15">
      <c r="A945" s="9"/>
    </row>
    <row r="946" spans="1:1" ht="12" customHeight="1" x14ac:dyDescent="0.15">
      <c r="A946" s="9"/>
    </row>
    <row r="947" spans="1:1" ht="12" customHeight="1" x14ac:dyDescent="0.15">
      <c r="A947" s="9"/>
    </row>
    <row r="948" spans="1:1" ht="12" customHeight="1" x14ac:dyDescent="0.15">
      <c r="A948" s="9"/>
    </row>
    <row r="949" spans="1:1" ht="12" customHeight="1" x14ac:dyDescent="0.15">
      <c r="A949" s="9"/>
    </row>
    <row r="950" spans="1:1" ht="12" customHeight="1" x14ac:dyDescent="0.15">
      <c r="A950" s="9"/>
    </row>
    <row r="951" spans="1:1" ht="12" customHeight="1" x14ac:dyDescent="0.15">
      <c r="A951" s="9"/>
    </row>
    <row r="952" spans="1:1" ht="12" customHeight="1" x14ac:dyDescent="0.15">
      <c r="A952" s="9"/>
    </row>
    <row r="953" spans="1:1" ht="12" customHeight="1" x14ac:dyDescent="0.15">
      <c r="A953" s="9"/>
    </row>
    <row r="954" spans="1:1" ht="12" customHeight="1" x14ac:dyDescent="0.15">
      <c r="A954" s="9"/>
    </row>
    <row r="955" spans="1:1" ht="12" customHeight="1" x14ac:dyDescent="0.15">
      <c r="A955" s="9"/>
    </row>
    <row r="956" spans="1:1" ht="12" customHeight="1" x14ac:dyDescent="0.15">
      <c r="A956" s="9"/>
    </row>
    <row r="957" spans="1:1" ht="12" customHeight="1" x14ac:dyDescent="0.15">
      <c r="A957" s="9"/>
    </row>
    <row r="958" spans="1:1" ht="12" customHeight="1" x14ac:dyDescent="0.15">
      <c r="A958" s="9"/>
    </row>
    <row r="959" spans="1:1" ht="12" customHeight="1" x14ac:dyDescent="0.15">
      <c r="A959" s="9"/>
    </row>
    <row r="960" spans="1:1" ht="12" customHeight="1" x14ac:dyDescent="0.15">
      <c r="A960" s="9"/>
    </row>
    <row r="961" spans="1:1" ht="12" customHeight="1" x14ac:dyDescent="0.15">
      <c r="A961" s="9"/>
    </row>
    <row r="962" spans="1:1" ht="12" customHeight="1" x14ac:dyDescent="0.15">
      <c r="A962" s="9"/>
    </row>
    <row r="963" spans="1:1" ht="12" customHeight="1" x14ac:dyDescent="0.15">
      <c r="A963" s="9"/>
    </row>
    <row r="964" spans="1:1" ht="12" customHeight="1" x14ac:dyDescent="0.15">
      <c r="A964" s="9"/>
    </row>
    <row r="965" spans="1:1" ht="12" customHeight="1" x14ac:dyDescent="0.15">
      <c r="A965" s="9"/>
    </row>
    <row r="966" spans="1:1" ht="12" customHeight="1" x14ac:dyDescent="0.15">
      <c r="A966" s="9"/>
    </row>
    <row r="967" spans="1:1" ht="12" customHeight="1" x14ac:dyDescent="0.15">
      <c r="A967" s="9"/>
    </row>
    <row r="968" spans="1:1" ht="12" customHeight="1" x14ac:dyDescent="0.15">
      <c r="A968" s="9"/>
    </row>
    <row r="969" spans="1:1" ht="12" customHeight="1" x14ac:dyDescent="0.15">
      <c r="A969" s="9"/>
    </row>
    <row r="970" spans="1:1" ht="12" customHeight="1" x14ac:dyDescent="0.15">
      <c r="A970" s="9"/>
    </row>
    <row r="971" spans="1:1" ht="12" customHeight="1" x14ac:dyDescent="0.15">
      <c r="A971" s="9"/>
    </row>
    <row r="972" spans="1:1" ht="12" customHeight="1" x14ac:dyDescent="0.15">
      <c r="A972" s="9"/>
    </row>
    <row r="973" spans="1:1" ht="12" customHeight="1" x14ac:dyDescent="0.15">
      <c r="A973" s="9"/>
    </row>
    <row r="974" spans="1:1" ht="12" customHeight="1" x14ac:dyDescent="0.15">
      <c r="A974" s="9"/>
    </row>
    <row r="975" spans="1:1" ht="12" customHeight="1" x14ac:dyDescent="0.15">
      <c r="A975" s="9"/>
    </row>
    <row r="976" spans="1:1" ht="12" customHeight="1" x14ac:dyDescent="0.15">
      <c r="A976" s="9"/>
    </row>
    <row r="977" spans="1:1" ht="12" customHeight="1" x14ac:dyDescent="0.15">
      <c r="A977" s="9"/>
    </row>
    <row r="978" spans="1:1" ht="12" customHeight="1" x14ac:dyDescent="0.15">
      <c r="A978" s="9"/>
    </row>
    <row r="979" spans="1:1" ht="12" customHeight="1" x14ac:dyDescent="0.15">
      <c r="A979" s="9"/>
    </row>
    <row r="980" spans="1:1" ht="12" customHeight="1" x14ac:dyDescent="0.15">
      <c r="A980" s="9"/>
    </row>
    <row r="981" spans="1:1" ht="12" customHeight="1" x14ac:dyDescent="0.15">
      <c r="A981" s="9"/>
    </row>
    <row r="982" spans="1:1" ht="12" customHeight="1" x14ac:dyDescent="0.15">
      <c r="A982" s="9"/>
    </row>
    <row r="983" spans="1:1" ht="12" customHeight="1" x14ac:dyDescent="0.15">
      <c r="A983" s="9"/>
    </row>
    <row r="984" spans="1:1" ht="12" customHeight="1" x14ac:dyDescent="0.15">
      <c r="A984" s="9"/>
    </row>
    <row r="985" spans="1:1" ht="12" customHeight="1" x14ac:dyDescent="0.15">
      <c r="A985" s="9"/>
    </row>
    <row r="986" spans="1:1" ht="12" customHeight="1" x14ac:dyDescent="0.15">
      <c r="A986" s="9"/>
    </row>
    <row r="987" spans="1:1" ht="12" customHeight="1" x14ac:dyDescent="0.15">
      <c r="A987" s="9"/>
    </row>
    <row r="988" spans="1:1" ht="12" customHeight="1" x14ac:dyDescent="0.15">
      <c r="A988" s="9"/>
    </row>
    <row r="989" spans="1:1" ht="12" customHeight="1" x14ac:dyDescent="0.15">
      <c r="A989" s="9"/>
    </row>
    <row r="990" spans="1:1" ht="12" customHeight="1" x14ac:dyDescent="0.15">
      <c r="A990" s="9"/>
    </row>
    <row r="991" spans="1:1" ht="12" customHeight="1" x14ac:dyDescent="0.15">
      <c r="A991" s="9"/>
    </row>
    <row r="992" spans="1:1" ht="12" customHeight="1" x14ac:dyDescent="0.15">
      <c r="A992" s="9"/>
    </row>
    <row r="993" spans="1:1" ht="12" customHeight="1" x14ac:dyDescent="0.15">
      <c r="A993" s="9"/>
    </row>
    <row r="994" spans="1:1" ht="12" customHeight="1" x14ac:dyDescent="0.15">
      <c r="A994" s="9"/>
    </row>
    <row r="995" spans="1:1" ht="12" customHeight="1" x14ac:dyDescent="0.15">
      <c r="A995" s="9"/>
    </row>
    <row r="996" spans="1:1" ht="12" customHeight="1" x14ac:dyDescent="0.15">
      <c r="A996" s="9"/>
    </row>
    <row r="997" spans="1:1" ht="12" customHeight="1" x14ac:dyDescent="0.15">
      <c r="A997" s="9"/>
    </row>
    <row r="998" spans="1:1" ht="12" customHeight="1" x14ac:dyDescent="0.15">
      <c r="A998" s="9"/>
    </row>
    <row r="999" spans="1:1" ht="12" customHeight="1" x14ac:dyDescent="0.15">
      <c r="A999" s="9"/>
    </row>
    <row r="1000" spans="1:1" ht="12" customHeight="1" x14ac:dyDescent="0.15">
      <c r="A1000" s="9"/>
    </row>
    <row r="1001" spans="1:1" ht="12" customHeight="1" x14ac:dyDescent="0.15">
      <c r="A1001" s="9"/>
    </row>
    <row r="1002" spans="1:1" ht="12" customHeight="1" x14ac:dyDescent="0.15">
      <c r="A1002" s="9"/>
    </row>
    <row r="1003" spans="1:1" ht="12" customHeight="1" x14ac:dyDescent="0.15">
      <c r="A1003" s="9"/>
    </row>
    <row r="1004" spans="1:1" ht="12" customHeight="1" x14ac:dyDescent="0.15">
      <c r="A1004" s="9"/>
    </row>
    <row r="1005" spans="1:1" ht="12" customHeight="1" x14ac:dyDescent="0.15">
      <c r="A1005" s="9"/>
    </row>
    <row r="1006" spans="1:1" ht="12" customHeight="1" x14ac:dyDescent="0.15">
      <c r="A1006" s="9"/>
    </row>
    <row r="1007" spans="1:1" ht="12" customHeight="1" x14ac:dyDescent="0.15">
      <c r="A1007" s="9"/>
    </row>
    <row r="1008" spans="1:1" ht="12" customHeight="1" x14ac:dyDescent="0.15">
      <c r="A1008" s="9"/>
    </row>
    <row r="1009" spans="1:1" ht="12" customHeight="1" x14ac:dyDescent="0.15">
      <c r="A1009" s="9"/>
    </row>
    <row r="1010" spans="1:1" ht="12" customHeight="1" x14ac:dyDescent="0.15">
      <c r="A1010" s="9"/>
    </row>
    <row r="1011" spans="1:1" ht="12" customHeight="1" x14ac:dyDescent="0.15">
      <c r="A1011" s="9"/>
    </row>
    <row r="1012" spans="1:1" ht="12" customHeight="1" x14ac:dyDescent="0.15">
      <c r="A1012" s="9"/>
    </row>
    <row r="1013" spans="1:1" ht="12" customHeight="1" x14ac:dyDescent="0.15">
      <c r="A1013" s="9"/>
    </row>
    <row r="1014" spans="1:1" ht="12" customHeight="1" x14ac:dyDescent="0.15">
      <c r="A1014" s="9"/>
    </row>
    <row r="1015" spans="1:1" ht="12" customHeight="1" x14ac:dyDescent="0.15">
      <c r="A1015" s="9"/>
    </row>
    <row r="1016" spans="1:1" ht="12" customHeight="1" x14ac:dyDescent="0.15">
      <c r="A1016" s="9"/>
    </row>
    <row r="1017" spans="1:1" ht="12" customHeight="1" x14ac:dyDescent="0.15">
      <c r="A1017" s="9"/>
    </row>
    <row r="1018" spans="1:1" ht="12" customHeight="1" x14ac:dyDescent="0.15">
      <c r="A1018" s="9"/>
    </row>
    <row r="1019" spans="1:1" ht="12" customHeight="1" x14ac:dyDescent="0.15">
      <c r="A1019" s="9"/>
    </row>
    <row r="1020" spans="1:1" ht="12" customHeight="1" x14ac:dyDescent="0.15">
      <c r="A1020" s="9"/>
    </row>
    <row r="1021" spans="1:1" ht="12" customHeight="1" x14ac:dyDescent="0.15">
      <c r="A1021" s="9"/>
    </row>
    <row r="1022" spans="1:1" ht="12" customHeight="1" x14ac:dyDescent="0.15">
      <c r="A1022" s="9"/>
    </row>
    <row r="1023" spans="1:1" ht="12" customHeight="1" x14ac:dyDescent="0.15">
      <c r="A1023" s="9"/>
    </row>
    <row r="1024" spans="1:1" ht="12" customHeight="1" x14ac:dyDescent="0.15">
      <c r="A1024" s="9"/>
    </row>
    <row r="1025" spans="1:1" ht="12" customHeight="1" x14ac:dyDescent="0.15">
      <c r="A1025" s="9"/>
    </row>
    <row r="1026" spans="1:1" ht="12" customHeight="1" x14ac:dyDescent="0.15">
      <c r="A1026" s="9"/>
    </row>
    <row r="1027" spans="1:1" ht="12" customHeight="1" x14ac:dyDescent="0.15">
      <c r="A1027" s="9"/>
    </row>
    <row r="1028" spans="1:1" ht="12" customHeight="1" x14ac:dyDescent="0.15">
      <c r="A1028" s="9"/>
    </row>
    <row r="1029" spans="1:1" ht="12" customHeight="1" x14ac:dyDescent="0.15">
      <c r="A1029" s="9"/>
    </row>
    <row r="1030" spans="1:1" ht="12" customHeight="1" x14ac:dyDescent="0.15">
      <c r="A1030" s="9"/>
    </row>
    <row r="1031" spans="1:1" ht="12" customHeight="1" x14ac:dyDescent="0.15">
      <c r="A1031" s="9"/>
    </row>
    <row r="1032" spans="1:1" ht="12" customHeight="1" x14ac:dyDescent="0.15">
      <c r="A1032" s="9"/>
    </row>
    <row r="1033" spans="1:1" ht="12" customHeight="1" x14ac:dyDescent="0.15">
      <c r="A1033" s="9"/>
    </row>
    <row r="1034" spans="1:1" ht="12" customHeight="1" x14ac:dyDescent="0.15">
      <c r="A1034" s="9"/>
    </row>
    <row r="1035" spans="1:1" ht="12" customHeight="1" x14ac:dyDescent="0.15">
      <c r="A1035" s="9"/>
    </row>
    <row r="1036" spans="1:1" ht="12" customHeight="1" x14ac:dyDescent="0.15">
      <c r="A1036" s="9"/>
    </row>
    <row r="1037" spans="1:1" ht="12" customHeight="1" x14ac:dyDescent="0.15">
      <c r="A1037" s="9"/>
    </row>
    <row r="1038" spans="1:1" ht="12" customHeight="1" x14ac:dyDescent="0.15">
      <c r="A1038" s="9"/>
    </row>
    <row r="1039" spans="1:1" ht="12" customHeight="1" x14ac:dyDescent="0.15">
      <c r="A1039" s="9"/>
    </row>
    <row r="1040" spans="1:1" ht="12" customHeight="1" x14ac:dyDescent="0.15">
      <c r="A1040" s="9"/>
    </row>
    <row r="1041" spans="1:1" ht="12" customHeight="1" x14ac:dyDescent="0.15">
      <c r="A1041" s="9"/>
    </row>
    <row r="1042" spans="1:1" ht="12" customHeight="1" x14ac:dyDescent="0.15">
      <c r="A1042" s="9"/>
    </row>
    <row r="1043" spans="1:1" ht="12" customHeight="1" x14ac:dyDescent="0.15">
      <c r="A1043" s="9"/>
    </row>
    <row r="1044" spans="1:1" ht="12" customHeight="1" x14ac:dyDescent="0.15">
      <c r="A1044" s="9"/>
    </row>
    <row r="1045" spans="1:1" ht="12" customHeight="1" x14ac:dyDescent="0.15">
      <c r="A1045" s="9"/>
    </row>
    <row r="1046" spans="1:1" ht="12" customHeight="1" x14ac:dyDescent="0.15">
      <c r="A1046" s="9"/>
    </row>
    <row r="1047" spans="1:1" ht="12" customHeight="1" x14ac:dyDescent="0.15">
      <c r="A1047" s="9"/>
    </row>
    <row r="1048" spans="1:1" ht="12" customHeight="1" x14ac:dyDescent="0.15">
      <c r="A1048" s="9"/>
    </row>
    <row r="1049" spans="1:1" ht="12" customHeight="1" x14ac:dyDescent="0.15">
      <c r="A1049" s="9"/>
    </row>
    <row r="1050" spans="1:1" ht="12" customHeight="1" x14ac:dyDescent="0.15">
      <c r="A1050" s="9"/>
    </row>
    <row r="1051" spans="1:1" ht="12" customHeight="1" x14ac:dyDescent="0.15">
      <c r="A1051" s="9"/>
    </row>
    <row r="1052" spans="1:1" ht="12" customHeight="1" x14ac:dyDescent="0.15">
      <c r="A1052" s="9"/>
    </row>
    <row r="1053" spans="1:1" ht="12" customHeight="1" x14ac:dyDescent="0.15">
      <c r="A1053" s="9"/>
    </row>
    <row r="1054" spans="1:1" ht="12" customHeight="1" x14ac:dyDescent="0.15">
      <c r="A1054" s="9"/>
    </row>
    <row r="1055" spans="1:1" ht="12" customHeight="1" x14ac:dyDescent="0.15">
      <c r="A1055" s="9"/>
    </row>
    <row r="1056" spans="1:1" ht="12" customHeight="1" x14ac:dyDescent="0.15">
      <c r="A1056" s="9"/>
    </row>
    <row r="1057" spans="1:1" ht="12" customHeight="1" x14ac:dyDescent="0.15">
      <c r="A1057" s="9"/>
    </row>
    <row r="1058" spans="1:1" ht="12" customHeight="1" x14ac:dyDescent="0.15">
      <c r="A1058" s="9"/>
    </row>
    <row r="1059" spans="1:1" ht="12" customHeight="1" x14ac:dyDescent="0.15">
      <c r="A1059" s="9"/>
    </row>
    <row r="1060" spans="1:1" ht="12" customHeight="1" x14ac:dyDescent="0.15">
      <c r="A1060" s="9"/>
    </row>
    <row r="1061" spans="1:1" ht="12" customHeight="1" x14ac:dyDescent="0.15">
      <c r="A1061" s="9"/>
    </row>
    <row r="1062" spans="1:1" ht="12" customHeight="1" x14ac:dyDescent="0.15">
      <c r="A1062" s="9"/>
    </row>
    <row r="1063" spans="1:1" ht="12" customHeight="1" x14ac:dyDescent="0.15">
      <c r="A1063" s="9"/>
    </row>
    <row r="1064" spans="1:1" ht="12" customHeight="1" x14ac:dyDescent="0.15">
      <c r="A1064" s="9"/>
    </row>
    <row r="1065" spans="1:1" ht="12" customHeight="1" x14ac:dyDescent="0.15">
      <c r="A1065" s="9"/>
    </row>
    <row r="1066" spans="1:1" ht="12" customHeight="1" x14ac:dyDescent="0.15">
      <c r="A1066" s="9"/>
    </row>
    <row r="1067" spans="1:1" ht="12" customHeight="1" x14ac:dyDescent="0.15">
      <c r="A1067" s="9"/>
    </row>
    <row r="1068" spans="1:1" ht="12" customHeight="1" x14ac:dyDescent="0.15">
      <c r="A1068" s="9"/>
    </row>
    <row r="1069" spans="1:1" ht="12" customHeight="1" x14ac:dyDescent="0.15">
      <c r="A1069" s="9"/>
    </row>
    <row r="1070" spans="1:1" ht="12" customHeight="1" x14ac:dyDescent="0.15">
      <c r="A1070" s="9"/>
    </row>
    <row r="1071" spans="1:1" ht="12" customHeight="1" x14ac:dyDescent="0.15">
      <c r="A1071" s="9"/>
    </row>
    <row r="1072" spans="1:1" ht="12" customHeight="1" x14ac:dyDescent="0.15">
      <c r="A1072" s="9"/>
    </row>
    <row r="1073" spans="1:1" ht="12" customHeight="1" x14ac:dyDescent="0.15">
      <c r="A1073" s="9"/>
    </row>
    <row r="1074" spans="1:1" ht="12" customHeight="1" x14ac:dyDescent="0.15">
      <c r="A1074" s="9"/>
    </row>
    <row r="1075" spans="1:1" ht="12" customHeight="1" x14ac:dyDescent="0.15">
      <c r="A1075" s="9"/>
    </row>
    <row r="1076" spans="1:1" ht="12" customHeight="1" x14ac:dyDescent="0.15">
      <c r="A1076" s="9"/>
    </row>
    <row r="1077" spans="1:1" ht="12" customHeight="1" x14ac:dyDescent="0.15">
      <c r="A1077" s="9"/>
    </row>
    <row r="1078" spans="1:1" ht="12" customHeight="1" x14ac:dyDescent="0.15">
      <c r="A1078" s="9"/>
    </row>
    <row r="1079" spans="1:1" ht="12" customHeight="1" x14ac:dyDescent="0.15">
      <c r="A1079" s="9"/>
    </row>
    <row r="1080" spans="1:1" ht="12" customHeight="1" x14ac:dyDescent="0.15">
      <c r="A1080" s="9"/>
    </row>
    <row r="1081" spans="1:1" ht="12" customHeight="1" x14ac:dyDescent="0.15">
      <c r="A1081" s="9"/>
    </row>
    <row r="1082" spans="1:1" ht="12" customHeight="1" x14ac:dyDescent="0.15">
      <c r="A1082" s="9"/>
    </row>
    <row r="1083" spans="1:1" ht="12" customHeight="1" x14ac:dyDescent="0.15">
      <c r="A1083" s="9"/>
    </row>
    <row r="1084" spans="1:1" ht="12" customHeight="1" x14ac:dyDescent="0.15">
      <c r="A1084" s="9"/>
    </row>
    <row r="1085" spans="1:1" ht="12" customHeight="1" x14ac:dyDescent="0.15">
      <c r="A1085" s="9"/>
    </row>
    <row r="1086" spans="1:1" ht="12" customHeight="1" x14ac:dyDescent="0.15">
      <c r="A1086" s="9"/>
    </row>
    <row r="1087" spans="1:1" ht="12" customHeight="1" x14ac:dyDescent="0.15">
      <c r="A1087" s="9"/>
    </row>
    <row r="1088" spans="1:1" ht="12" customHeight="1" x14ac:dyDescent="0.15">
      <c r="A1088" s="9"/>
    </row>
    <row r="1089" spans="1:1" ht="12" customHeight="1" x14ac:dyDescent="0.15">
      <c r="A1089" s="9"/>
    </row>
    <row r="1090" spans="1:1" ht="12" customHeight="1" x14ac:dyDescent="0.15">
      <c r="A1090" s="9"/>
    </row>
    <row r="1091" spans="1:1" ht="12" customHeight="1" x14ac:dyDescent="0.15">
      <c r="A1091" s="9"/>
    </row>
    <row r="1092" spans="1:1" ht="12" customHeight="1" x14ac:dyDescent="0.15">
      <c r="A1092" s="9"/>
    </row>
    <row r="1093" spans="1:1" ht="12" customHeight="1" x14ac:dyDescent="0.15">
      <c r="A1093" s="9"/>
    </row>
    <row r="1094" spans="1:1" ht="12" customHeight="1" x14ac:dyDescent="0.15">
      <c r="A1094" s="9"/>
    </row>
    <row r="1095" spans="1:1" ht="12" customHeight="1" x14ac:dyDescent="0.15">
      <c r="A1095" s="9"/>
    </row>
    <row r="1096" spans="1:1" ht="12" customHeight="1" x14ac:dyDescent="0.15">
      <c r="A1096" s="9"/>
    </row>
    <row r="1097" spans="1:1" ht="12" customHeight="1" x14ac:dyDescent="0.15">
      <c r="A1097" s="9"/>
    </row>
    <row r="1098" spans="1:1" ht="12" customHeight="1" x14ac:dyDescent="0.15">
      <c r="A1098" s="9"/>
    </row>
    <row r="1099" spans="1:1" ht="12" customHeight="1" x14ac:dyDescent="0.15">
      <c r="A1099" s="9"/>
    </row>
    <row r="1100" spans="1:1" ht="12" customHeight="1" x14ac:dyDescent="0.15">
      <c r="A1100" s="9"/>
    </row>
    <row r="1101" spans="1:1" ht="12" customHeight="1" x14ac:dyDescent="0.15">
      <c r="A1101" s="9"/>
    </row>
    <row r="1102" spans="1:1" ht="12" customHeight="1" x14ac:dyDescent="0.15">
      <c r="A1102" s="9"/>
    </row>
    <row r="1103" spans="1:1" ht="12" customHeight="1" x14ac:dyDescent="0.15">
      <c r="A1103" s="9"/>
    </row>
    <row r="1104" spans="1:1" ht="12" customHeight="1" x14ac:dyDescent="0.15">
      <c r="A1104" s="9"/>
    </row>
    <row r="1105" spans="1:1" ht="12" customHeight="1" x14ac:dyDescent="0.15">
      <c r="A1105" s="9"/>
    </row>
    <row r="1106" spans="1:1" ht="12" customHeight="1" x14ac:dyDescent="0.15">
      <c r="A1106" s="9"/>
    </row>
    <row r="1107" spans="1:1" ht="12" customHeight="1" x14ac:dyDescent="0.15">
      <c r="A1107" s="9"/>
    </row>
    <row r="1108" spans="1:1" ht="12" customHeight="1" x14ac:dyDescent="0.15">
      <c r="A1108" s="9"/>
    </row>
    <row r="1109" spans="1:1" ht="12" customHeight="1" x14ac:dyDescent="0.15">
      <c r="A1109" s="9"/>
    </row>
    <row r="1110" spans="1:1" ht="12" customHeight="1" x14ac:dyDescent="0.15">
      <c r="A1110" s="9"/>
    </row>
    <row r="1111" spans="1:1" ht="12" customHeight="1" x14ac:dyDescent="0.15">
      <c r="A1111" s="9"/>
    </row>
    <row r="1112" spans="1:1" ht="12" customHeight="1" x14ac:dyDescent="0.15">
      <c r="A1112" s="9"/>
    </row>
    <row r="1113" spans="1:1" ht="12" customHeight="1" x14ac:dyDescent="0.15">
      <c r="A1113" s="9"/>
    </row>
    <row r="1114" spans="1:1" ht="12" customHeight="1" x14ac:dyDescent="0.15">
      <c r="A1114" s="9"/>
    </row>
    <row r="1115" spans="1:1" ht="12" customHeight="1" x14ac:dyDescent="0.15">
      <c r="A1115" s="9"/>
    </row>
    <row r="1116" spans="1:1" ht="12" customHeight="1" x14ac:dyDescent="0.15">
      <c r="A1116" s="9"/>
    </row>
    <row r="1117" spans="1:1" ht="12" customHeight="1" x14ac:dyDescent="0.15">
      <c r="A1117" s="9"/>
    </row>
    <row r="1118" spans="1:1" ht="12" customHeight="1" x14ac:dyDescent="0.15">
      <c r="A1118" s="9"/>
    </row>
    <row r="1119" spans="1:1" ht="12" customHeight="1" x14ac:dyDescent="0.15">
      <c r="A1119" s="9"/>
    </row>
    <row r="1120" spans="1:1" ht="12" customHeight="1" x14ac:dyDescent="0.15">
      <c r="A1120" s="9"/>
    </row>
    <row r="1121" spans="1:1" ht="12" customHeight="1" x14ac:dyDescent="0.15">
      <c r="A1121" s="9"/>
    </row>
    <row r="1122" spans="1:1" ht="12" customHeight="1" x14ac:dyDescent="0.15">
      <c r="A1122" s="9"/>
    </row>
    <row r="1123" spans="1:1" ht="12" customHeight="1" x14ac:dyDescent="0.15">
      <c r="A1123" s="9"/>
    </row>
    <row r="1124" spans="1:1" ht="12" customHeight="1" x14ac:dyDescent="0.15">
      <c r="A1124" s="9"/>
    </row>
    <row r="1125" spans="1:1" ht="12" customHeight="1" x14ac:dyDescent="0.15">
      <c r="A1125" s="9"/>
    </row>
    <row r="1126" spans="1:1" ht="12" customHeight="1" x14ac:dyDescent="0.15">
      <c r="A1126" s="9"/>
    </row>
    <row r="1127" spans="1:1" ht="12" customHeight="1" x14ac:dyDescent="0.15">
      <c r="A1127" s="9"/>
    </row>
    <row r="1128" spans="1:1" ht="12" customHeight="1" x14ac:dyDescent="0.15">
      <c r="A1128" s="9"/>
    </row>
    <row r="1129" spans="1:1" ht="12" customHeight="1" x14ac:dyDescent="0.15">
      <c r="A1129" s="9"/>
    </row>
    <row r="1130" spans="1:1" ht="12" customHeight="1" x14ac:dyDescent="0.15">
      <c r="A1130" s="9"/>
    </row>
    <row r="1131" spans="1:1" ht="12" customHeight="1" x14ac:dyDescent="0.15">
      <c r="A1131" s="9"/>
    </row>
    <row r="1132" spans="1:1" ht="12" customHeight="1" x14ac:dyDescent="0.15">
      <c r="A1132" s="9"/>
    </row>
    <row r="1133" spans="1:1" ht="12" customHeight="1" x14ac:dyDescent="0.15">
      <c r="A1133" s="9"/>
    </row>
    <row r="1134" spans="1:1" ht="12" customHeight="1" x14ac:dyDescent="0.15">
      <c r="A1134" s="9"/>
    </row>
    <row r="1135" spans="1:1" ht="12" customHeight="1" x14ac:dyDescent="0.15">
      <c r="A1135" s="9"/>
    </row>
    <row r="1136" spans="1:1" ht="12" customHeight="1" x14ac:dyDescent="0.15">
      <c r="A1136" s="9"/>
    </row>
    <row r="1137" spans="1:1" ht="12" customHeight="1" x14ac:dyDescent="0.15">
      <c r="A1137" s="9"/>
    </row>
    <row r="1138" spans="1:1" ht="12" customHeight="1" x14ac:dyDescent="0.15">
      <c r="A1138" s="9"/>
    </row>
    <row r="1139" spans="1:1" ht="12" customHeight="1" x14ac:dyDescent="0.15">
      <c r="A1139" s="9"/>
    </row>
    <row r="1140" spans="1:1" ht="12" customHeight="1" x14ac:dyDescent="0.15">
      <c r="A1140" s="9"/>
    </row>
    <row r="1141" spans="1:1" ht="12" customHeight="1" x14ac:dyDescent="0.15">
      <c r="A1141" s="9"/>
    </row>
    <row r="1142" spans="1:1" ht="12" customHeight="1" x14ac:dyDescent="0.15">
      <c r="A1142" s="9"/>
    </row>
    <row r="1143" spans="1:1" ht="12" customHeight="1" x14ac:dyDescent="0.15">
      <c r="A1143" s="9"/>
    </row>
    <row r="1144" spans="1:1" ht="12" customHeight="1" x14ac:dyDescent="0.15">
      <c r="A1144" s="9"/>
    </row>
    <row r="1145" spans="1:1" ht="12" customHeight="1" x14ac:dyDescent="0.15">
      <c r="A1145" s="9"/>
    </row>
    <row r="1146" spans="1:1" ht="12" customHeight="1" x14ac:dyDescent="0.15">
      <c r="A1146" s="9"/>
    </row>
    <row r="1147" spans="1:1" ht="12" customHeight="1" x14ac:dyDescent="0.15">
      <c r="A1147" s="9"/>
    </row>
    <row r="1148" spans="1:1" ht="12" customHeight="1" x14ac:dyDescent="0.15">
      <c r="A1148" s="9"/>
    </row>
    <row r="1149" spans="1:1" ht="12" customHeight="1" x14ac:dyDescent="0.15">
      <c r="A1149" s="9"/>
    </row>
    <row r="1150" spans="1:1" ht="12" customHeight="1" x14ac:dyDescent="0.15">
      <c r="A1150" s="9"/>
    </row>
    <row r="1151" spans="1:1" ht="12" customHeight="1" x14ac:dyDescent="0.15">
      <c r="A1151" s="9"/>
    </row>
    <row r="1152" spans="1:1" ht="12" customHeight="1" x14ac:dyDescent="0.15">
      <c r="A1152" s="9"/>
    </row>
    <row r="1153" spans="1:1" ht="12" customHeight="1" x14ac:dyDescent="0.15">
      <c r="A1153" s="9"/>
    </row>
    <row r="1154" spans="1:1" ht="12" customHeight="1" x14ac:dyDescent="0.15">
      <c r="A1154" s="9"/>
    </row>
    <row r="1155" spans="1:1" ht="12" customHeight="1" x14ac:dyDescent="0.15">
      <c r="A1155" s="9"/>
    </row>
    <row r="1156" spans="1:1" ht="12" customHeight="1" x14ac:dyDescent="0.15">
      <c r="A1156" s="9"/>
    </row>
    <row r="1157" spans="1:1" ht="12" customHeight="1" x14ac:dyDescent="0.15">
      <c r="A1157" s="9"/>
    </row>
    <row r="1158" spans="1:1" ht="12" customHeight="1" x14ac:dyDescent="0.15">
      <c r="A1158" s="9"/>
    </row>
    <row r="1159" spans="1:1" ht="12" customHeight="1" x14ac:dyDescent="0.15">
      <c r="A1159" s="9"/>
    </row>
    <row r="1160" spans="1:1" ht="12" customHeight="1" x14ac:dyDescent="0.15">
      <c r="A1160" s="9"/>
    </row>
    <row r="1161" spans="1:1" ht="12" customHeight="1" x14ac:dyDescent="0.15">
      <c r="A1161" s="9"/>
    </row>
    <row r="1162" spans="1:1" ht="12" customHeight="1" x14ac:dyDescent="0.15">
      <c r="A1162" s="9"/>
    </row>
    <row r="1163" spans="1:1" ht="12" customHeight="1" x14ac:dyDescent="0.15">
      <c r="A1163" s="9"/>
    </row>
    <row r="1164" spans="1:1" ht="12" customHeight="1" x14ac:dyDescent="0.15">
      <c r="A1164" s="9"/>
    </row>
    <row r="1165" spans="1:1" ht="12" customHeight="1" x14ac:dyDescent="0.15">
      <c r="A1165" s="9"/>
    </row>
    <row r="1166" spans="1:1" ht="12" customHeight="1" x14ac:dyDescent="0.15">
      <c r="A1166" s="9"/>
    </row>
    <row r="1167" spans="1:1" ht="12" customHeight="1" x14ac:dyDescent="0.15">
      <c r="A1167" s="9"/>
    </row>
    <row r="1168" spans="1:1" ht="12" customHeight="1" x14ac:dyDescent="0.15">
      <c r="A1168" s="9"/>
    </row>
    <row r="1169" spans="1:1" ht="12" customHeight="1" x14ac:dyDescent="0.15">
      <c r="A1169" s="9"/>
    </row>
    <row r="1170" spans="1:1" ht="12" customHeight="1" x14ac:dyDescent="0.15">
      <c r="A1170" s="9"/>
    </row>
    <row r="1171" spans="1:1" ht="12" customHeight="1" x14ac:dyDescent="0.15">
      <c r="A1171" s="9"/>
    </row>
    <row r="1172" spans="1:1" ht="12" customHeight="1" x14ac:dyDescent="0.15">
      <c r="A1172" s="9"/>
    </row>
    <row r="1173" spans="1:1" ht="12" customHeight="1" x14ac:dyDescent="0.15">
      <c r="A1173" s="9"/>
    </row>
    <row r="1174" spans="1:1" ht="12" customHeight="1" x14ac:dyDescent="0.15">
      <c r="A1174" s="9"/>
    </row>
    <row r="1175" spans="1:1" ht="12" customHeight="1" x14ac:dyDescent="0.15">
      <c r="A1175" s="9"/>
    </row>
    <row r="1176" spans="1:1" ht="12" customHeight="1" x14ac:dyDescent="0.15">
      <c r="A1176" s="9"/>
    </row>
    <row r="1177" spans="1:1" ht="12" customHeight="1" x14ac:dyDescent="0.15">
      <c r="A1177" s="9"/>
    </row>
    <row r="1178" spans="1:1" ht="12" customHeight="1" x14ac:dyDescent="0.15">
      <c r="A1178" s="9"/>
    </row>
    <row r="1179" spans="1:1" ht="12" customHeight="1" x14ac:dyDescent="0.15">
      <c r="A1179" s="9"/>
    </row>
    <row r="1180" spans="1:1" ht="12" customHeight="1" x14ac:dyDescent="0.15">
      <c r="A1180" s="9"/>
    </row>
    <row r="1181" spans="1:1" ht="12" customHeight="1" x14ac:dyDescent="0.15">
      <c r="A1181" s="9"/>
    </row>
    <row r="1182" spans="1:1" ht="12" customHeight="1" x14ac:dyDescent="0.15">
      <c r="A1182" s="9"/>
    </row>
    <row r="1183" spans="1:1" ht="12" customHeight="1" x14ac:dyDescent="0.15">
      <c r="A1183" s="9"/>
    </row>
    <row r="1184" spans="1:1" ht="12" customHeight="1" x14ac:dyDescent="0.15">
      <c r="A1184" s="9"/>
    </row>
    <row r="1185" spans="1:1" ht="12" customHeight="1" x14ac:dyDescent="0.15">
      <c r="A1185" s="9"/>
    </row>
    <row r="1186" spans="1:1" ht="12" customHeight="1" x14ac:dyDescent="0.15">
      <c r="A1186" s="9"/>
    </row>
    <row r="1187" spans="1:1" ht="12" customHeight="1" x14ac:dyDescent="0.15">
      <c r="A1187" s="9"/>
    </row>
    <row r="1188" spans="1:1" ht="12" customHeight="1" x14ac:dyDescent="0.15">
      <c r="A1188" s="9"/>
    </row>
    <row r="1189" spans="1:1" ht="12" customHeight="1" x14ac:dyDescent="0.15">
      <c r="A1189" s="9"/>
    </row>
    <row r="1190" spans="1:1" ht="12" customHeight="1" x14ac:dyDescent="0.15">
      <c r="A1190" s="9"/>
    </row>
    <row r="1191" spans="1:1" ht="12" customHeight="1" x14ac:dyDescent="0.15">
      <c r="A1191" s="9"/>
    </row>
    <row r="1192" spans="1:1" ht="12" customHeight="1" x14ac:dyDescent="0.15">
      <c r="A1192" s="9"/>
    </row>
    <row r="1193" spans="1:1" ht="12" customHeight="1" x14ac:dyDescent="0.15">
      <c r="A1193" s="9"/>
    </row>
    <row r="1194" spans="1:1" ht="12" customHeight="1" x14ac:dyDescent="0.15">
      <c r="A1194" s="9"/>
    </row>
    <row r="1195" spans="1:1" ht="12" customHeight="1" x14ac:dyDescent="0.15">
      <c r="A1195" s="9"/>
    </row>
    <row r="1196" spans="1:1" ht="12" customHeight="1" x14ac:dyDescent="0.15">
      <c r="A1196" s="9"/>
    </row>
    <row r="1197" spans="1:1" ht="12" customHeight="1" x14ac:dyDescent="0.15">
      <c r="A1197" s="9"/>
    </row>
    <row r="1198" spans="1:1" ht="12" customHeight="1" x14ac:dyDescent="0.15">
      <c r="A1198" s="9"/>
    </row>
    <row r="1199" spans="1:1" ht="12" customHeight="1" x14ac:dyDescent="0.15">
      <c r="A1199" s="9"/>
    </row>
    <row r="1200" spans="1:1" ht="12" customHeight="1" x14ac:dyDescent="0.15">
      <c r="A1200" s="9"/>
    </row>
    <row r="1201" spans="1:1" ht="12" customHeight="1" x14ac:dyDescent="0.15">
      <c r="A1201" s="9"/>
    </row>
    <row r="1202" spans="1:1" ht="12" customHeight="1" x14ac:dyDescent="0.15">
      <c r="A1202" s="9"/>
    </row>
    <row r="1203" spans="1:1" ht="12" customHeight="1" x14ac:dyDescent="0.15">
      <c r="A1203" s="9"/>
    </row>
    <row r="1204" spans="1:1" ht="12" customHeight="1" x14ac:dyDescent="0.15">
      <c r="A1204" s="9"/>
    </row>
    <row r="1205" spans="1:1" ht="12" customHeight="1" x14ac:dyDescent="0.15">
      <c r="A1205" s="9"/>
    </row>
    <row r="1206" spans="1:1" ht="12" customHeight="1" x14ac:dyDescent="0.15">
      <c r="A1206" s="9"/>
    </row>
    <row r="1207" spans="1:1" ht="12" customHeight="1" x14ac:dyDescent="0.15">
      <c r="A1207" s="9"/>
    </row>
    <row r="1208" spans="1:1" ht="12" customHeight="1" x14ac:dyDescent="0.15">
      <c r="A1208" s="9"/>
    </row>
    <row r="1209" spans="1:1" ht="12" customHeight="1" x14ac:dyDescent="0.15">
      <c r="A1209" s="9"/>
    </row>
    <row r="1210" spans="1:1" ht="12" customHeight="1" x14ac:dyDescent="0.15">
      <c r="A1210" s="9"/>
    </row>
    <row r="1211" spans="1:1" ht="12" customHeight="1" x14ac:dyDescent="0.15">
      <c r="A1211" s="9"/>
    </row>
    <row r="1212" spans="1:1" ht="12" customHeight="1" x14ac:dyDescent="0.15">
      <c r="A1212" s="9"/>
    </row>
    <row r="1213" spans="1:1" ht="12" customHeight="1" x14ac:dyDescent="0.15">
      <c r="A1213" s="9"/>
    </row>
    <row r="1214" spans="1:1" ht="12" customHeight="1" x14ac:dyDescent="0.15">
      <c r="A1214" s="9"/>
    </row>
    <row r="1215" spans="1:1" ht="12" customHeight="1" x14ac:dyDescent="0.15">
      <c r="A1215" s="9"/>
    </row>
    <row r="1216" spans="1:1" ht="12" customHeight="1" x14ac:dyDescent="0.15">
      <c r="A1216" s="9"/>
    </row>
    <row r="1217" spans="1:1" ht="12" customHeight="1" x14ac:dyDescent="0.15">
      <c r="A1217" s="9"/>
    </row>
    <row r="1218" spans="1:1" ht="12" customHeight="1" x14ac:dyDescent="0.15">
      <c r="A1218" s="9"/>
    </row>
    <row r="1219" spans="1:1" ht="12" customHeight="1" x14ac:dyDescent="0.15">
      <c r="A1219" s="9"/>
    </row>
    <row r="1220" spans="1:1" ht="12" customHeight="1" x14ac:dyDescent="0.15">
      <c r="A1220" s="9"/>
    </row>
    <row r="1221" spans="1:1" ht="12" customHeight="1" x14ac:dyDescent="0.15">
      <c r="A1221" s="9"/>
    </row>
    <row r="1222" spans="1:1" ht="12" customHeight="1" x14ac:dyDescent="0.15">
      <c r="A1222" s="9"/>
    </row>
    <row r="1223" spans="1:1" ht="12" customHeight="1" x14ac:dyDescent="0.15">
      <c r="A1223" s="9"/>
    </row>
    <row r="1224" spans="1:1" ht="12" customHeight="1" x14ac:dyDescent="0.15">
      <c r="A1224" s="9"/>
    </row>
    <row r="1225" spans="1:1" ht="12" customHeight="1" x14ac:dyDescent="0.15">
      <c r="A1225" s="9"/>
    </row>
    <row r="1226" spans="1:1" ht="12" customHeight="1" x14ac:dyDescent="0.15">
      <c r="A1226" s="9"/>
    </row>
    <row r="1227" spans="1:1" ht="12" customHeight="1" x14ac:dyDescent="0.15">
      <c r="A1227" s="9"/>
    </row>
    <row r="1228" spans="1:1" ht="12" customHeight="1" x14ac:dyDescent="0.15">
      <c r="A1228" s="9"/>
    </row>
    <row r="1229" spans="1:1" ht="12" customHeight="1" x14ac:dyDescent="0.15">
      <c r="A1229" s="9"/>
    </row>
    <row r="1230" spans="1:1" ht="12" customHeight="1" x14ac:dyDescent="0.15">
      <c r="A1230" s="9"/>
    </row>
    <row r="1231" spans="1:1" ht="12" customHeight="1" x14ac:dyDescent="0.15">
      <c r="A1231" s="9"/>
    </row>
    <row r="1232" spans="1:1" ht="12" customHeight="1" x14ac:dyDescent="0.15">
      <c r="A1232" s="9"/>
    </row>
    <row r="1233" spans="1:1" ht="12" customHeight="1" x14ac:dyDescent="0.15">
      <c r="A1233" s="9"/>
    </row>
    <row r="1234" spans="1:1" ht="12" customHeight="1" x14ac:dyDescent="0.15">
      <c r="A1234" s="9"/>
    </row>
    <row r="1235" spans="1:1" ht="12" customHeight="1" x14ac:dyDescent="0.15">
      <c r="A1235" s="9"/>
    </row>
    <row r="1236" spans="1:1" ht="12" customHeight="1" x14ac:dyDescent="0.15">
      <c r="A1236" s="9"/>
    </row>
    <row r="1237" spans="1:1" ht="12" customHeight="1" x14ac:dyDescent="0.15">
      <c r="A1237" s="9"/>
    </row>
    <row r="1238" spans="1:1" ht="12" customHeight="1" x14ac:dyDescent="0.15">
      <c r="A1238" s="9"/>
    </row>
    <row r="1239" spans="1:1" ht="12" customHeight="1" x14ac:dyDescent="0.15">
      <c r="A1239" s="9"/>
    </row>
    <row r="1240" spans="1:1" ht="12" customHeight="1" x14ac:dyDescent="0.15">
      <c r="A1240" s="9"/>
    </row>
    <row r="1241" spans="1:1" ht="12" customHeight="1" x14ac:dyDescent="0.15">
      <c r="A1241" s="9"/>
    </row>
    <row r="1242" spans="1:1" ht="12" customHeight="1" x14ac:dyDescent="0.15">
      <c r="A1242" s="9"/>
    </row>
    <row r="1243" spans="1:1" ht="12" customHeight="1" x14ac:dyDescent="0.15">
      <c r="A1243" s="9"/>
    </row>
    <row r="1244" spans="1:1" ht="12" customHeight="1" x14ac:dyDescent="0.15">
      <c r="A1244" s="9"/>
    </row>
    <row r="1245" spans="1:1" ht="12" customHeight="1" x14ac:dyDescent="0.15">
      <c r="A1245" s="9"/>
    </row>
    <row r="1246" spans="1:1" ht="12" customHeight="1" x14ac:dyDescent="0.15">
      <c r="A1246" s="9"/>
    </row>
    <row r="1247" spans="1:1" ht="12" customHeight="1" x14ac:dyDescent="0.15">
      <c r="A1247" s="9"/>
    </row>
    <row r="1248" spans="1:1" ht="12" customHeight="1" x14ac:dyDescent="0.15">
      <c r="A1248" s="9"/>
    </row>
    <row r="1249" spans="1:1" ht="12" customHeight="1" x14ac:dyDescent="0.15">
      <c r="A1249" s="9"/>
    </row>
    <row r="1250" spans="1:1" ht="12" customHeight="1" x14ac:dyDescent="0.15">
      <c r="A1250" s="9"/>
    </row>
    <row r="1251" spans="1:1" ht="12" customHeight="1" x14ac:dyDescent="0.15">
      <c r="A1251" s="9"/>
    </row>
    <row r="1252" spans="1:1" ht="12" customHeight="1" x14ac:dyDescent="0.15">
      <c r="A1252" s="9"/>
    </row>
    <row r="1253" spans="1:1" ht="12" customHeight="1" x14ac:dyDescent="0.15">
      <c r="A1253" s="9"/>
    </row>
    <row r="1254" spans="1:1" ht="12" customHeight="1" x14ac:dyDescent="0.15">
      <c r="A1254" s="9"/>
    </row>
    <row r="1255" spans="1:1" ht="12" customHeight="1" x14ac:dyDescent="0.15">
      <c r="A1255" s="9"/>
    </row>
    <row r="1256" spans="1:1" ht="12" customHeight="1" x14ac:dyDescent="0.15">
      <c r="A1256" s="9"/>
    </row>
    <row r="1257" spans="1:1" ht="12" customHeight="1" x14ac:dyDescent="0.15">
      <c r="A1257" s="9"/>
    </row>
    <row r="1258" spans="1:1" ht="12" customHeight="1" x14ac:dyDescent="0.15">
      <c r="A1258" s="9"/>
    </row>
    <row r="1259" spans="1:1" ht="12" customHeight="1" x14ac:dyDescent="0.15">
      <c r="A1259" s="9"/>
    </row>
    <row r="1260" spans="1:1" ht="12" customHeight="1" x14ac:dyDescent="0.15">
      <c r="A1260" s="9"/>
    </row>
    <row r="1261" spans="1:1" ht="12" customHeight="1" x14ac:dyDescent="0.15">
      <c r="A1261" s="9"/>
    </row>
    <row r="1262" spans="1:1" ht="12" customHeight="1" x14ac:dyDescent="0.15">
      <c r="A1262" s="9"/>
    </row>
    <row r="1263" spans="1:1" ht="12" customHeight="1" x14ac:dyDescent="0.15">
      <c r="A1263" s="9"/>
    </row>
    <row r="1264" spans="1:1" ht="12" customHeight="1" x14ac:dyDescent="0.15">
      <c r="A1264" s="9"/>
    </row>
    <row r="1265" spans="1:1" ht="12" customHeight="1" x14ac:dyDescent="0.15">
      <c r="A1265" s="9"/>
    </row>
    <row r="1266" spans="1:1" ht="12" customHeight="1" x14ac:dyDescent="0.15">
      <c r="A1266" s="9"/>
    </row>
    <row r="1267" spans="1:1" ht="12" customHeight="1" x14ac:dyDescent="0.15">
      <c r="A1267" s="9"/>
    </row>
    <row r="1268" spans="1:1" ht="12" customHeight="1" x14ac:dyDescent="0.15">
      <c r="A1268" s="9"/>
    </row>
  </sheetData>
  <mergeCells count="40">
    <mergeCell ref="AP21:AP28"/>
    <mergeCell ref="AJ29:AJ31"/>
    <mergeCell ref="AK29:AK31"/>
    <mergeCell ref="AA29:AA31"/>
    <mergeCell ref="D54:J55"/>
    <mergeCell ref="AP29:AP31"/>
    <mergeCell ref="L53:M54"/>
    <mergeCell ref="AG29:AG31"/>
    <mergeCell ref="AE29:AE31"/>
    <mergeCell ref="AF29:AF31"/>
    <mergeCell ref="AC29:AC31"/>
    <mergeCell ref="AD29:AD31"/>
    <mergeCell ref="S24:T28"/>
    <mergeCell ref="V24:W28"/>
    <mergeCell ref="Y21:Y28"/>
    <mergeCell ref="Z29:Z31"/>
    <mergeCell ref="AA120:AA122"/>
    <mergeCell ref="AH29:AH31"/>
    <mergeCell ref="AC120:AC122"/>
    <mergeCell ref="AD120:AD122"/>
    <mergeCell ref="AE120:AE122"/>
    <mergeCell ref="AF120:AF122"/>
    <mergeCell ref="AG120:AG122"/>
    <mergeCell ref="AH120:AH122"/>
    <mergeCell ref="R20:T23"/>
    <mergeCell ref="AM21:AM28"/>
    <mergeCell ref="AN21:AN28"/>
    <mergeCell ref="AI29:AI31"/>
    <mergeCell ref="AB120:AB122"/>
    <mergeCell ref="Z21:Z28"/>
    <mergeCell ref="AA21:AA28"/>
    <mergeCell ref="AC21:AC28"/>
    <mergeCell ref="AB29:AB31"/>
    <mergeCell ref="AB21:AB28"/>
    <mergeCell ref="AJ120:AJ122"/>
    <mergeCell ref="AK120:AK122"/>
    <mergeCell ref="AI120:AI122"/>
    <mergeCell ref="Y29:Y31"/>
    <mergeCell ref="Y120:Y122"/>
    <mergeCell ref="Z120:Z122"/>
  </mergeCells>
  <phoneticPr fontId="2"/>
  <hyperlinks>
    <hyperlink ref="W2" r:id="rId1"/>
    <hyperlink ref="Q2:U2" r:id="rId2" display="登米市環境事業所クリーンセンター"/>
  </hyperlinks>
  <pageMargins left="0.75" right="0.75" top="1" bottom="1" header="0" footer="0"/>
  <pageSetup paperSize="8" orientation="portrait" verticalDpi="0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62"/>
  <sheetViews>
    <sheetView topLeftCell="A28" zoomScale="75" zoomScaleNormal="75" workbookViewId="0">
      <selection activeCell="AX54" sqref="AX54"/>
    </sheetView>
  </sheetViews>
  <sheetFormatPr defaultColWidth="4.875" defaultRowHeight="9.9499999999999993" customHeight="1" x14ac:dyDescent="0.15"/>
  <cols>
    <col min="1" max="1" width="2.375" style="17" customWidth="1"/>
    <col min="2" max="5" width="4.375" style="86" customWidth="1"/>
    <col min="6" max="6" width="4.375" style="9" customWidth="1"/>
    <col min="7" max="8" width="4.375" style="17" customWidth="1"/>
    <col min="9" max="9" width="1.75" style="17" customWidth="1"/>
    <col min="10" max="16" width="4.375" style="17" customWidth="1"/>
    <col min="17" max="17" width="1.625" style="17" customWidth="1"/>
    <col min="18" max="25" width="4.375" style="17" customWidth="1"/>
    <col min="26" max="26" width="4.375" style="9" customWidth="1"/>
    <col min="27" max="28" width="4.375" style="17" customWidth="1"/>
    <col min="29" max="16384" width="4.875" style="17"/>
  </cols>
  <sheetData>
    <row r="2" spans="2:28" ht="16.5" customHeight="1" x14ac:dyDescent="0.15">
      <c r="B2" s="103" t="s">
        <v>262</v>
      </c>
    </row>
    <row r="3" spans="2:28" ht="9.9499999999999993" customHeight="1" x14ac:dyDescent="0.15">
      <c r="B3" s="17"/>
      <c r="C3" s="89" t="s">
        <v>246</v>
      </c>
      <c r="D3" s="96"/>
      <c r="E3" s="96"/>
      <c r="F3" s="9" t="s">
        <v>238</v>
      </c>
      <c r="J3" s="17" t="s">
        <v>422</v>
      </c>
      <c r="M3" s="17" t="s">
        <v>240</v>
      </c>
      <c r="R3" s="9" t="s">
        <v>241</v>
      </c>
      <c r="S3" s="9"/>
      <c r="T3" s="9"/>
      <c r="U3" s="9"/>
      <c r="V3" s="9" t="s">
        <v>242</v>
      </c>
      <c r="W3" s="9"/>
      <c r="AB3" s="17" t="s">
        <v>421</v>
      </c>
    </row>
    <row r="4" spans="2:28" ht="33" customHeight="1" x14ac:dyDescent="0.15">
      <c r="C4" s="158" t="s">
        <v>237</v>
      </c>
      <c r="D4" s="156" t="s">
        <v>263</v>
      </c>
      <c r="E4" s="156" t="s">
        <v>248</v>
      </c>
      <c r="F4" s="159" t="s">
        <v>239</v>
      </c>
      <c r="G4" s="156" t="s">
        <v>263</v>
      </c>
      <c r="H4" s="156" t="s">
        <v>248</v>
      </c>
      <c r="I4" s="157"/>
      <c r="J4" s="158" t="s">
        <v>420</v>
      </c>
      <c r="K4" s="156"/>
      <c r="L4" s="156"/>
      <c r="M4" s="160" t="s">
        <v>243</v>
      </c>
      <c r="N4" s="156" t="s">
        <v>263</v>
      </c>
      <c r="O4" s="156" t="s">
        <v>248</v>
      </c>
      <c r="P4" s="156" t="s">
        <v>248</v>
      </c>
      <c r="Q4" s="157"/>
      <c r="R4" s="160" t="s">
        <v>244</v>
      </c>
      <c r="S4" s="156" t="s">
        <v>263</v>
      </c>
      <c r="T4" s="156" t="s">
        <v>248</v>
      </c>
      <c r="U4" s="156" t="s">
        <v>248</v>
      </c>
      <c r="V4" s="160" t="s">
        <v>245</v>
      </c>
      <c r="W4" s="156" t="s">
        <v>263</v>
      </c>
      <c r="X4" s="156" t="s">
        <v>248</v>
      </c>
      <c r="Y4" s="156" t="s">
        <v>248</v>
      </c>
      <c r="Z4" s="92"/>
      <c r="AB4" s="86"/>
    </row>
    <row r="5" spans="2:28" ht="9.9499999999999993" customHeight="1" x14ac:dyDescent="0.15">
      <c r="B5" s="100" t="s">
        <v>249</v>
      </c>
      <c r="C5" s="85"/>
      <c r="D5" s="85"/>
      <c r="E5" s="98">
        <f t="shared" ref="E5:E16" si="0">AVERAGE(E92,E80,E68,E56,E44,E32,E20)</f>
        <v>7.9992816066502742E-2</v>
      </c>
      <c r="F5" s="54"/>
      <c r="G5" s="54"/>
      <c r="H5" s="98">
        <f t="shared" ref="H5:H16" si="1">AVERAGE(H92,H80,H68,H56,H44,H32,H20)</f>
        <v>7.6501400928994254E-2</v>
      </c>
      <c r="I5" s="54"/>
      <c r="J5" s="98">
        <f>AVERAGE(O5,T5,X5)</f>
        <v>8.1909646666620983E-2</v>
      </c>
      <c r="K5" s="98"/>
      <c r="L5" s="98"/>
      <c r="M5" s="54"/>
      <c r="N5" s="54"/>
      <c r="O5" s="98">
        <f t="shared" ref="O5:P9" si="2">AVERAGE(O68,O56,O44,O32)</f>
        <v>8.1239374070688875E-2</v>
      </c>
      <c r="P5" s="98">
        <f t="shared" si="2"/>
        <v>8.1971266995696179E-2</v>
      </c>
      <c r="Q5" s="54"/>
      <c r="R5" s="54"/>
      <c r="S5" s="54"/>
      <c r="T5" s="98">
        <f t="shared" ref="T5:U9" si="3">AVERAGE(T68,T56,T44,T32)</f>
        <v>7.9764127092520801E-2</v>
      </c>
      <c r="U5" s="98">
        <f t="shared" si="3"/>
        <v>8.1971266995696179E-2</v>
      </c>
      <c r="V5" s="54"/>
      <c r="W5" s="54"/>
      <c r="X5" s="98">
        <f t="shared" ref="X5:Y9" si="4">AVERAGE(X68,X56,X44,X32)</f>
        <v>8.4725438836653288E-2</v>
      </c>
      <c r="Y5" s="98">
        <f t="shared" si="4"/>
        <v>8.1675098411791908E-2</v>
      </c>
      <c r="Z5" s="54"/>
      <c r="AB5" s="98">
        <f t="shared" ref="AB5:AB16" si="5">AVERAGE(AB92,AB80,AB68,AB56,AB44,AB32,AB20)</f>
        <v>7.9322176308980252E-2</v>
      </c>
    </row>
    <row r="6" spans="2:28" ht="9.9499999999999993" customHeight="1" x14ac:dyDescent="0.15">
      <c r="B6" s="100" t="s">
        <v>250</v>
      </c>
      <c r="C6" s="85"/>
      <c r="D6" s="85"/>
      <c r="E6" s="98">
        <f t="shared" si="0"/>
        <v>9.0772615392838429E-2</v>
      </c>
      <c r="F6" s="54"/>
      <c r="G6" s="85"/>
      <c r="H6" s="98">
        <f t="shared" si="1"/>
        <v>8.6293553760327171E-2</v>
      </c>
      <c r="I6" s="54"/>
      <c r="J6" s="98">
        <f t="shared" ref="J6:J16" si="6">AVERAGE(O6,T6,X6)</f>
        <v>8.6068480465540276E-2</v>
      </c>
      <c r="K6" s="98"/>
      <c r="L6" s="98"/>
      <c r="M6" s="54"/>
      <c r="N6" s="54"/>
      <c r="O6" s="98">
        <f t="shared" si="2"/>
        <v>8.5327029837802548E-2</v>
      </c>
      <c r="P6" s="98">
        <f t="shared" si="2"/>
        <v>8.61486694425114E-2</v>
      </c>
      <c r="Q6" s="54"/>
      <c r="R6" s="54"/>
      <c r="S6" s="54"/>
      <c r="T6" s="98">
        <f t="shared" si="3"/>
        <v>8.3799309417239079E-2</v>
      </c>
      <c r="U6" s="98">
        <f t="shared" si="3"/>
        <v>8.61486694425114E-2</v>
      </c>
      <c r="V6" s="54"/>
      <c r="W6" s="54"/>
      <c r="X6" s="98">
        <f t="shared" si="4"/>
        <v>8.9079102141579242E-2</v>
      </c>
      <c r="Y6" s="98">
        <f t="shared" si="4"/>
        <v>8.5843363132333275E-2</v>
      </c>
      <c r="Z6" s="54"/>
      <c r="AB6" s="98">
        <f t="shared" si="5"/>
        <v>8.9128643618102618E-2</v>
      </c>
    </row>
    <row r="7" spans="2:28" ht="9.9499999999999993" customHeight="1" x14ac:dyDescent="0.15">
      <c r="B7" s="100" t="s">
        <v>251</v>
      </c>
      <c r="C7" s="85"/>
      <c r="D7" s="85"/>
      <c r="E7" s="98">
        <f t="shared" si="0"/>
        <v>8.6804076534505711E-2</v>
      </c>
      <c r="F7" s="54"/>
      <c r="G7" s="85"/>
      <c r="H7" s="98">
        <f t="shared" si="1"/>
        <v>8.8658664053806027E-2</v>
      </c>
      <c r="I7" s="54"/>
      <c r="J7" s="98">
        <f t="shared" si="6"/>
        <v>8.5374176276098876E-2</v>
      </c>
      <c r="K7" s="98"/>
      <c r="L7" s="98"/>
      <c r="M7" s="54"/>
      <c r="N7" s="54"/>
      <c r="O7" s="98">
        <f t="shared" si="2"/>
        <v>8.4678586523712462E-2</v>
      </c>
      <c r="P7" s="98">
        <f t="shared" si="2"/>
        <v>8.5459112238232091E-2</v>
      </c>
      <c r="Q7" s="54"/>
      <c r="R7" s="54"/>
      <c r="S7" s="54"/>
      <c r="T7" s="98">
        <f t="shared" si="3"/>
        <v>8.3103797373363625E-2</v>
      </c>
      <c r="U7" s="98">
        <f t="shared" si="3"/>
        <v>8.5459112238232091E-2</v>
      </c>
      <c r="V7" s="54"/>
      <c r="W7" s="54"/>
      <c r="X7" s="98">
        <f t="shared" si="4"/>
        <v>8.8340144931220527E-2</v>
      </c>
      <c r="Y7" s="98">
        <f t="shared" si="4"/>
        <v>8.5159968580657261E-2</v>
      </c>
      <c r="Z7" s="54"/>
      <c r="AB7" s="98">
        <f t="shared" si="5"/>
        <v>8.7466418700092655E-2</v>
      </c>
    </row>
    <row r="8" spans="2:28" ht="9.9499999999999993" customHeight="1" x14ac:dyDescent="0.15">
      <c r="B8" s="100" t="s">
        <v>252</v>
      </c>
      <c r="C8" s="85"/>
      <c r="D8" s="85"/>
      <c r="E8" s="98">
        <f t="shared" si="0"/>
        <v>9.0079743785774907E-2</v>
      </c>
      <c r="F8" s="54"/>
      <c r="G8" s="85"/>
      <c r="H8" s="98">
        <f t="shared" si="1"/>
        <v>9.4654152965531743E-2</v>
      </c>
      <c r="I8" s="54"/>
      <c r="J8" s="98">
        <f t="shared" si="6"/>
        <v>9.2787099121771743E-2</v>
      </c>
      <c r="K8" s="98"/>
      <c r="L8" s="98"/>
      <c r="M8" s="54"/>
      <c r="N8" s="54"/>
      <c r="O8" s="98">
        <f t="shared" si="2"/>
        <v>9.1952753314051006E-2</v>
      </c>
      <c r="P8" s="98">
        <f t="shared" si="2"/>
        <v>9.284376445839071E-2</v>
      </c>
      <c r="Q8" s="54"/>
      <c r="R8" s="54"/>
      <c r="S8" s="54"/>
      <c r="T8" s="98">
        <f t="shared" si="3"/>
        <v>9.0364302113771361E-2</v>
      </c>
      <c r="U8" s="98">
        <f t="shared" si="3"/>
        <v>9.284376445839071E-2</v>
      </c>
      <c r="V8" s="54"/>
      <c r="W8" s="54"/>
      <c r="X8" s="98">
        <f t="shared" si="4"/>
        <v>9.6044241937492891E-2</v>
      </c>
      <c r="Y8" s="98">
        <f t="shared" si="4"/>
        <v>9.2512458129384509E-2</v>
      </c>
      <c r="Z8" s="54"/>
      <c r="AB8" s="98">
        <f t="shared" si="5"/>
        <v>9.3057188641443564E-2</v>
      </c>
    </row>
    <row r="9" spans="2:28" ht="9.9499999999999993" customHeight="1" x14ac:dyDescent="0.15">
      <c r="B9" s="100" t="s">
        <v>253</v>
      </c>
      <c r="C9" s="85"/>
      <c r="D9" s="85"/>
      <c r="E9" s="98">
        <f t="shared" si="0"/>
        <v>9.5056963183888205E-2</v>
      </c>
      <c r="F9" s="54"/>
      <c r="G9" s="85"/>
      <c r="H9" s="98">
        <f t="shared" si="1"/>
        <v>9.8234579568867289E-2</v>
      </c>
      <c r="I9" s="54"/>
      <c r="J9" s="98">
        <f t="shared" si="6"/>
        <v>9.083122103373531E-2</v>
      </c>
      <c r="K9" s="98"/>
      <c r="L9" s="98"/>
      <c r="M9" s="54"/>
      <c r="N9" s="54"/>
      <c r="O9" s="98">
        <f t="shared" si="2"/>
        <v>9.0022862004074347E-2</v>
      </c>
      <c r="P9" s="98">
        <f t="shared" si="2"/>
        <v>9.0918583138403744E-2</v>
      </c>
      <c r="Q9" s="54"/>
      <c r="R9" s="54"/>
      <c r="S9" s="54"/>
      <c r="T9" s="98">
        <f t="shared" si="3"/>
        <v>8.8422789661505491E-2</v>
      </c>
      <c r="U9" s="98">
        <f t="shared" si="3"/>
        <v>9.0918583138403758E-2</v>
      </c>
      <c r="V9" s="54"/>
      <c r="W9" s="54"/>
      <c r="X9" s="98">
        <f t="shared" si="4"/>
        <v>9.404801143562605E-2</v>
      </c>
      <c r="Y9" s="98">
        <f t="shared" si="4"/>
        <v>9.0602864070378653E-2</v>
      </c>
      <c r="Z9" s="54"/>
      <c r="AB9" s="98">
        <f t="shared" si="5"/>
        <v>9.4364251114423536E-2</v>
      </c>
    </row>
    <row r="10" spans="2:28" ht="9.9499999999999993" customHeight="1" x14ac:dyDescent="0.15">
      <c r="B10" s="100" t="s">
        <v>254</v>
      </c>
      <c r="C10" s="85"/>
      <c r="D10" s="85"/>
      <c r="E10" s="98">
        <f t="shared" si="0"/>
        <v>8.5050031214917471E-2</v>
      </c>
      <c r="F10" s="54"/>
      <c r="G10" s="85"/>
      <c r="H10" s="98">
        <f t="shared" si="1"/>
        <v>9.1272178635522935E-2</v>
      </c>
      <c r="I10" s="54"/>
      <c r="J10" s="98">
        <f t="shared" si="6"/>
        <v>8.6963735240668624E-2</v>
      </c>
      <c r="K10" s="98"/>
      <c r="L10" s="98"/>
      <c r="M10" s="54"/>
      <c r="N10" s="54"/>
      <c r="O10" s="98">
        <f t="shared" ref="O10:O16" si="7">AVERAGE(O61,O49,O37,O25)</f>
        <v>8.7477464038360042E-2</v>
      </c>
      <c r="P10" s="98">
        <f t="shared" ref="P10:P16" si="8">AVERAGE(P73,P61,P49,P37)</f>
        <v>8.8268380080710113E-2</v>
      </c>
      <c r="Q10" s="54"/>
      <c r="R10" s="54"/>
      <c r="S10" s="54"/>
      <c r="T10" s="98">
        <f t="shared" ref="T10:T16" si="9">AVERAGE(T61,T49,T37,T25)</f>
        <v>8.8762891285185219E-2</v>
      </c>
      <c r="U10" s="98">
        <f t="shared" ref="U10:U16" si="10">AVERAGE(U73,U61,U49,U37)</f>
        <v>8.8268380080710113E-2</v>
      </c>
      <c r="V10" s="54"/>
      <c r="W10" s="54"/>
      <c r="X10" s="98">
        <f t="shared" ref="X10:X16" si="11">AVERAGE(X61,X49,X37,X25)</f>
        <v>8.4650850398460598E-2</v>
      </c>
      <c r="Y10" s="98">
        <f t="shared" ref="Y10:Y16" si="12">AVERAGE(Y73,Y61,Y49,Y37)</f>
        <v>8.7951035347429332E-2</v>
      </c>
      <c r="Z10" s="54"/>
      <c r="AB10" s="98">
        <f t="shared" si="5"/>
        <v>8.7498753172037952E-2</v>
      </c>
    </row>
    <row r="11" spans="2:28" ht="9.9499999999999993" customHeight="1" x14ac:dyDescent="0.15">
      <c r="B11" s="100" t="s">
        <v>255</v>
      </c>
      <c r="C11" s="85"/>
      <c r="D11" s="85"/>
      <c r="E11" s="98">
        <f t="shared" si="0"/>
        <v>8.6599482936585273E-2</v>
      </c>
      <c r="F11" s="54"/>
      <c r="G11" s="85"/>
      <c r="H11" s="98">
        <f t="shared" si="1"/>
        <v>9.4203355868508101E-2</v>
      </c>
      <c r="I11" s="54"/>
      <c r="J11" s="98">
        <f t="shared" si="6"/>
        <v>8.9279536996980921E-2</v>
      </c>
      <c r="K11" s="98"/>
      <c r="L11" s="98"/>
      <c r="M11" s="54"/>
      <c r="N11" s="54"/>
      <c r="O11" s="98">
        <f t="shared" si="7"/>
        <v>8.995767192741197E-2</v>
      </c>
      <c r="P11" s="98">
        <f t="shared" si="8"/>
        <v>8.7125754441793143E-2</v>
      </c>
      <c r="Q11" s="54"/>
      <c r="R11" s="54"/>
      <c r="S11" s="54"/>
      <c r="T11" s="98">
        <f t="shared" si="9"/>
        <v>9.1078895049848063E-2</v>
      </c>
      <c r="U11" s="98">
        <f t="shared" si="10"/>
        <v>8.7125754441793143E-2</v>
      </c>
      <c r="V11" s="54"/>
      <c r="W11" s="54"/>
      <c r="X11" s="98">
        <f t="shared" si="11"/>
        <v>8.6802044013682689E-2</v>
      </c>
      <c r="Y11" s="98">
        <f t="shared" si="12"/>
        <v>8.6815039872692457E-2</v>
      </c>
      <c r="Z11" s="54"/>
      <c r="AB11" s="98">
        <f t="shared" si="5"/>
        <v>9.00306780289966E-2</v>
      </c>
    </row>
    <row r="12" spans="2:28" ht="9.9499999999999993" customHeight="1" x14ac:dyDescent="0.15">
      <c r="B12" s="100" t="s">
        <v>256</v>
      </c>
      <c r="C12" s="85"/>
      <c r="D12" s="85"/>
      <c r="E12" s="98">
        <f t="shared" si="0"/>
        <v>8.0846255404083966E-2</v>
      </c>
      <c r="F12" s="54"/>
      <c r="G12" s="85"/>
      <c r="H12" s="98">
        <f t="shared" si="1"/>
        <v>8.3132019547620395E-2</v>
      </c>
      <c r="I12" s="54"/>
      <c r="J12" s="98">
        <f t="shared" si="6"/>
        <v>8.0812193271112762E-2</v>
      </c>
      <c r="K12" s="98"/>
      <c r="L12" s="98"/>
      <c r="M12" s="54"/>
      <c r="N12" s="54"/>
      <c r="O12" s="98">
        <f t="shared" si="7"/>
        <v>8.1386659452448384E-2</v>
      </c>
      <c r="P12" s="98">
        <f t="shared" si="8"/>
        <v>8.0589023142928984E-2</v>
      </c>
      <c r="Q12" s="54"/>
      <c r="R12" s="54"/>
      <c r="S12" s="54"/>
      <c r="T12" s="98">
        <f t="shared" si="9"/>
        <v>8.2451787157490741E-2</v>
      </c>
      <c r="U12" s="98">
        <f t="shared" si="10"/>
        <v>8.0589023142928984E-2</v>
      </c>
      <c r="V12" s="54"/>
      <c r="W12" s="54"/>
      <c r="X12" s="98">
        <f t="shared" si="11"/>
        <v>7.8598133203399173E-2</v>
      </c>
      <c r="Y12" s="98">
        <f t="shared" si="12"/>
        <v>8.0310364992628586E-2</v>
      </c>
      <c r="Z12" s="54"/>
      <c r="AB12" s="98">
        <f t="shared" si="5"/>
        <v>8.1438010045640843E-2</v>
      </c>
    </row>
    <row r="13" spans="2:28" ht="9.9499999999999993" customHeight="1" x14ac:dyDescent="0.15">
      <c r="B13" s="100" t="s">
        <v>257</v>
      </c>
      <c r="C13" s="85"/>
      <c r="D13" s="85"/>
      <c r="E13" s="98">
        <f t="shared" si="0"/>
        <v>8.1908249764947372E-2</v>
      </c>
      <c r="F13" s="54"/>
      <c r="G13" s="85"/>
      <c r="H13" s="98">
        <f t="shared" si="1"/>
        <v>8.0257245665374927E-2</v>
      </c>
      <c r="I13" s="54"/>
      <c r="J13" s="98">
        <f t="shared" si="6"/>
        <v>8.4692564918786017E-2</v>
      </c>
      <c r="K13" s="98"/>
      <c r="L13" s="98"/>
      <c r="M13" s="54"/>
      <c r="N13" s="54"/>
      <c r="O13" s="98">
        <f t="shared" si="7"/>
        <v>8.5204321406291902E-2</v>
      </c>
      <c r="P13" s="98">
        <f t="shared" si="8"/>
        <v>8.5368950939801916E-2</v>
      </c>
      <c r="Q13" s="54"/>
      <c r="R13" s="54"/>
      <c r="S13" s="54"/>
      <c r="T13" s="98">
        <f t="shared" si="9"/>
        <v>8.6443756868529398E-2</v>
      </c>
      <c r="U13" s="98">
        <f t="shared" si="10"/>
        <v>8.5368950939801916E-2</v>
      </c>
      <c r="V13" s="54"/>
      <c r="W13" s="54"/>
      <c r="X13" s="98">
        <f t="shared" si="11"/>
        <v>8.2429616481536724E-2</v>
      </c>
      <c r="Y13" s="98">
        <f t="shared" si="12"/>
        <v>8.5064324646462783E-2</v>
      </c>
      <c r="Z13" s="54"/>
      <c r="AB13" s="98">
        <f t="shared" si="5"/>
        <v>8.1735217189744303E-2</v>
      </c>
    </row>
    <row r="14" spans="2:28" ht="9.9499999999999993" customHeight="1" x14ac:dyDescent="0.15">
      <c r="B14" s="100" t="s">
        <v>258</v>
      </c>
      <c r="C14" s="85"/>
      <c r="D14" s="85"/>
      <c r="E14" s="98">
        <f t="shared" si="0"/>
        <v>7.7395832614512952E-2</v>
      </c>
      <c r="F14" s="54"/>
      <c r="G14" s="85"/>
      <c r="H14" s="98">
        <f t="shared" si="1"/>
        <v>7.2160448244430783E-2</v>
      </c>
      <c r="I14" s="54"/>
      <c r="J14" s="98">
        <f t="shared" si="6"/>
        <v>7.4823289491418629E-2</v>
      </c>
      <c r="K14" s="98"/>
      <c r="L14" s="98"/>
      <c r="M14" s="54"/>
      <c r="N14" s="54"/>
      <c r="O14" s="98">
        <f t="shared" si="7"/>
        <v>7.5322620124537651E-2</v>
      </c>
      <c r="P14" s="98">
        <f t="shared" si="8"/>
        <v>7.4432954139816931E-2</v>
      </c>
      <c r="Q14" s="54"/>
      <c r="R14" s="54"/>
      <c r="S14" s="54"/>
      <c r="T14" s="98">
        <f t="shared" si="9"/>
        <v>7.6331814131499115E-2</v>
      </c>
      <c r="U14" s="98">
        <f t="shared" si="10"/>
        <v>7.4432954139816931E-2</v>
      </c>
      <c r="V14" s="54"/>
      <c r="W14" s="54"/>
      <c r="X14" s="98">
        <f t="shared" si="11"/>
        <v>7.2815434218219122E-2</v>
      </c>
      <c r="Y14" s="98">
        <f t="shared" si="12"/>
        <v>7.4168161957873957E-2</v>
      </c>
      <c r="Z14" s="54"/>
      <c r="AB14" s="98">
        <f t="shared" si="5"/>
        <v>7.4890020694885998E-2</v>
      </c>
    </row>
    <row r="15" spans="2:28" ht="9.9499999999999993" customHeight="1" x14ac:dyDescent="0.15">
      <c r="B15" s="100" t="s">
        <v>259</v>
      </c>
      <c r="C15" s="85"/>
      <c r="D15" s="85"/>
      <c r="E15" s="98">
        <f t="shared" si="0"/>
        <v>6.6426641054386296E-2</v>
      </c>
      <c r="F15" s="54"/>
      <c r="G15" s="85"/>
      <c r="H15" s="98">
        <f t="shared" si="1"/>
        <v>6.084459991821816E-2</v>
      </c>
      <c r="I15" s="54"/>
      <c r="J15" s="98">
        <f t="shared" si="6"/>
        <v>6.5478390452945831E-2</v>
      </c>
      <c r="K15" s="98"/>
      <c r="L15" s="98"/>
      <c r="M15" s="54"/>
      <c r="N15" s="54"/>
      <c r="O15" s="98">
        <f t="shared" si="7"/>
        <v>6.5919258032213893E-2</v>
      </c>
      <c r="P15" s="98">
        <f t="shared" si="8"/>
        <v>6.5857499191818117E-2</v>
      </c>
      <c r="Q15" s="54"/>
      <c r="R15" s="54"/>
      <c r="S15" s="54"/>
      <c r="T15" s="98">
        <f t="shared" si="9"/>
        <v>6.6833216206414664E-2</v>
      </c>
      <c r="U15" s="98">
        <f t="shared" si="10"/>
        <v>6.5857499191818117E-2</v>
      </c>
      <c r="V15" s="54"/>
      <c r="W15" s="54"/>
      <c r="X15" s="98">
        <f t="shared" si="11"/>
        <v>6.3682697120208909E-2</v>
      </c>
      <c r="Y15" s="98">
        <f t="shared" si="12"/>
        <v>6.5627866005503313E-2</v>
      </c>
      <c r="Z15" s="54"/>
      <c r="AB15" s="98">
        <f t="shared" si="5"/>
        <v>6.4081858761377689E-2</v>
      </c>
    </row>
    <row r="16" spans="2:28" ht="9.9499999999999993" customHeight="1" x14ac:dyDescent="0.15">
      <c r="B16" s="100" t="s">
        <v>260</v>
      </c>
      <c r="C16" s="85"/>
      <c r="D16" s="85"/>
      <c r="E16" s="98">
        <f t="shared" si="0"/>
        <v>7.9067334425156469E-2</v>
      </c>
      <c r="F16" s="54"/>
      <c r="G16" s="85"/>
      <c r="H16" s="98">
        <f t="shared" si="1"/>
        <v>7.3789273141264447E-2</v>
      </c>
      <c r="I16" s="54"/>
      <c r="J16" s="98">
        <f t="shared" si="6"/>
        <v>8.0980022912335956E-2</v>
      </c>
      <c r="K16" s="98"/>
      <c r="L16" s="98"/>
      <c r="M16" s="54"/>
      <c r="N16" s="54"/>
      <c r="O16" s="98">
        <f t="shared" si="7"/>
        <v>8.151061085948054E-2</v>
      </c>
      <c r="P16" s="98">
        <f t="shared" si="8"/>
        <v>8.1016041789896673E-2</v>
      </c>
      <c r="Q16" s="54"/>
      <c r="R16" s="54"/>
      <c r="S16" s="54"/>
      <c r="T16" s="98">
        <f t="shared" si="9"/>
        <v>8.2645140506078171E-2</v>
      </c>
      <c r="U16" s="98">
        <f t="shared" si="10"/>
        <v>8.1167817239138546E-2</v>
      </c>
      <c r="V16" s="54"/>
      <c r="W16" s="54"/>
      <c r="X16" s="98">
        <f t="shared" si="11"/>
        <v>7.878431737144917E-2</v>
      </c>
      <c r="Y16" s="98">
        <f t="shared" si="12"/>
        <v>8.0726737125960915E-2</v>
      </c>
      <c r="Z16" s="54"/>
      <c r="AB16" s="98">
        <f t="shared" si="5"/>
        <v>7.7688555125821387E-2</v>
      </c>
    </row>
    <row r="17" spans="2:28" ht="9.9499999999999993" customHeight="1" thickBot="1" x14ac:dyDescent="0.2">
      <c r="B17" s="105" t="s">
        <v>261</v>
      </c>
      <c r="C17" s="106"/>
      <c r="D17" s="106"/>
      <c r="E17" s="107">
        <f>SUM(E5:E16)</f>
        <v>1.0000000423780999</v>
      </c>
      <c r="F17" s="108"/>
      <c r="G17" s="106"/>
      <c r="H17" s="107">
        <f>SUM(H5:H16)</f>
        <v>1.0000014722984663</v>
      </c>
      <c r="I17" s="108"/>
      <c r="J17" s="107">
        <f>SUM(J5:J16)</f>
        <v>1.0000003568480158</v>
      </c>
      <c r="K17" s="107"/>
      <c r="L17" s="107"/>
      <c r="M17" s="108"/>
      <c r="N17" s="108"/>
      <c r="O17" s="107">
        <f>SUM(O5:O16)</f>
        <v>0.99999921159107352</v>
      </c>
      <c r="P17" s="107">
        <f>SUM(P5:P16)</f>
        <v>1</v>
      </c>
      <c r="Q17" s="108"/>
      <c r="R17" s="108"/>
      <c r="S17" s="108"/>
      <c r="T17" s="107">
        <f>SUM(T5:T16)</f>
        <v>1.0000018268634459</v>
      </c>
      <c r="U17" s="107">
        <f>SUM(U5:U16)</f>
        <v>1.0001517754492419</v>
      </c>
      <c r="V17" s="108"/>
      <c r="W17" s="108"/>
      <c r="X17" s="107">
        <f>SUM(X5:X16)</f>
        <v>1.0000000320895284</v>
      </c>
      <c r="Y17" s="107">
        <f>SUM(Y5:Y16)</f>
        <v>0.99645728227309682</v>
      </c>
      <c r="Z17" s="108"/>
      <c r="AB17" s="107">
        <f>SUM(AB5:AB16)</f>
        <v>1.0007017714015474</v>
      </c>
    </row>
    <row r="18" spans="2:28" ht="9.9499999999999993" customHeight="1" thickTop="1" x14ac:dyDescent="0.15">
      <c r="B18" s="104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B18" s="90"/>
    </row>
    <row r="19" spans="2:28" ht="9.9499999999999993" customHeight="1" x14ac:dyDescent="0.15">
      <c r="B19" s="104"/>
      <c r="C19" s="90"/>
      <c r="D19" s="90"/>
      <c r="E19" s="90"/>
      <c r="F19" s="90"/>
      <c r="G19" s="90"/>
      <c r="H19" s="90"/>
      <c r="I19" s="90"/>
      <c r="J19" s="17" t="s">
        <v>418</v>
      </c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B19" s="90"/>
    </row>
    <row r="20" spans="2:28" ht="9.9499999999999993" customHeight="1" x14ac:dyDescent="0.15">
      <c r="B20" s="91">
        <v>41012</v>
      </c>
      <c r="C20" s="94">
        <v>5693.7099343496038</v>
      </c>
      <c r="D20" s="94"/>
      <c r="E20" s="98">
        <f>C20/71329</f>
        <v>7.9823212639313662E-2</v>
      </c>
      <c r="F20" s="87">
        <v>3453.58</v>
      </c>
      <c r="G20" s="94"/>
      <c r="H20" s="98">
        <f>F20/45887</f>
        <v>7.5262710571621594E-2</v>
      </c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1">
        <v>41000</v>
      </c>
      <c r="AB20" s="98"/>
    </row>
    <row r="21" spans="2:28" ht="9.9499999999999993" customHeight="1" x14ac:dyDescent="0.15">
      <c r="B21" s="91">
        <v>41045</v>
      </c>
      <c r="C21" s="94">
        <v>6461.0235251811728</v>
      </c>
      <c r="D21" s="94"/>
      <c r="E21" s="98">
        <f t="shared" ref="E21:E31" si="13">C21/71329</f>
        <v>9.0580598707134169E-2</v>
      </c>
      <c r="F21" s="88">
        <v>3056.66</v>
      </c>
      <c r="G21" s="94"/>
      <c r="H21" s="98">
        <f t="shared" ref="H21:H31" si="14">F21/45887</f>
        <v>6.6612766142916294E-2</v>
      </c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1">
        <v>41030</v>
      </c>
      <c r="AB21" s="98"/>
    </row>
    <row r="22" spans="2:28" ht="9.9499999999999993" customHeight="1" x14ac:dyDescent="0.15">
      <c r="B22" s="91">
        <v>41073</v>
      </c>
      <c r="C22" s="94">
        <v>6179.5927881937196</v>
      </c>
      <c r="D22" s="94"/>
      <c r="E22" s="98">
        <f t="shared" si="13"/>
        <v>8.663506831995009E-2</v>
      </c>
      <c r="F22" s="88">
        <v>3703.76</v>
      </c>
      <c r="G22" s="94"/>
      <c r="H22" s="98">
        <f t="shared" si="14"/>
        <v>8.0714799398522469E-2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1">
        <v>41061</v>
      </c>
      <c r="AB22" s="98"/>
    </row>
    <row r="23" spans="2:28" ht="9.9499999999999993" customHeight="1" x14ac:dyDescent="0.15">
      <c r="B23" s="91">
        <v>41101</v>
      </c>
      <c r="C23" s="94">
        <v>6411.8394300434275</v>
      </c>
      <c r="D23" s="94"/>
      <c r="E23" s="98">
        <f t="shared" si="13"/>
        <v>8.9891060158468886E-2</v>
      </c>
      <c r="F23" s="88">
        <v>3890.44</v>
      </c>
      <c r="G23" s="94"/>
      <c r="H23" s="98">
        <f t="shared" si="14"/>
        <v>8.4783054024015522E-2</v>
      </c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1">
        <v>41091</v>
      </c>
      <c r="AB23" s="98"/>
    </row>
    <row r="24" spans="2:28" ht="9.9499999999999993" customHeight="1" x14ac:dyDescent="0.15">
      <c r="B24" s="91">
        <v>41129</v>
      </c>
      <c r="C24" s="94">
        <v>6767.281654590066</v>
      </c>
      <c r="D24" s="94"/>
      <c r="E24" s="98">
        <f t="shared" si="13"/>
        <v>9.4874197795988532E-2</v>
      </c>
      <c r="F24" s="88">
        <v>4693.46</v>
      </c>
      <c r="G24" s="94"/>
      <c r="H24" s="98">
        <f t="shared" si="14"/>
        <v>0.10228299954235405</v>
      </c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1">
        <v>41122</v>
      </c>
      <c r="AB24" s="98"/>
    </row>
    <row r="25" spans="2:28" ht="9.9499999999999993" customHeight="1" x14ac:dyDescent="0.15">
      <c r="B25" s="91">
        <v>41164</v>
      </c>
      <c r="C25" s="94">
        <v>6054.9434296986519</v>
      </c>
      <c r="D25" s="94"/>
      <c r="E25" s="98">
        <f t="shared" si="13"/>
        <v>8.4887541248281226E-2</v>
      </c>
      <c r="F25" s="88">
        <v>4639.37</v>
      </c>
      <c r="G25" s="94"/>
      <c r="H25" s="98">
        <f t="shared" si="14"/>
        <v>0.10110423431472966</v>
      </c>
      <c r="I25" s="93"/>
      <c r="J25" s="97">
        <f t="shared" ref="J25:J56" si="15">V25+R25+M25</f>
        <v>28079</v>
      </c>
      <c r="K25" s="98"/>
      <c r="L25" s="98"/>
      <c r="M25" s="88">
        <v>8409.4314775882813</v>
      </c>
      <c r="N25" s="88"/>
      <c r="O25" s="98">
        <f>M25/97243</f>
        <v>8.6478527786969558E-2</v>
      </c>
      <c r="P25" s="98"/>
      <c r="Q25" s="88"/>
      <c r="R25" s="88">
        <v>9981.4154262554948</v>
      </c>
      <c r="S25" s="88"/>
      <c r="T25" s="98">
        <f>R25/120438</f>
        <v>8.2875964614619102E-2</v>
      </c>
      <c r="U25" s="98"/>
      <c r="V25" s="88">
        <v>9688.1530961562239</v>
      </c>
      <c r="W25" s="88"/>
      <c r="X25" s="98">
        <f>V25/128327</f>
        <v>7.5495827816096567E-2</v>
      </c>
      <c r="Y25" s="98"/>
      <c r="Z25" s="91">
        <v>41153</v>
      </c>
      <c r="AB25" s="98">
        <f t="shared" ref="AB25:AB56" si="16">AVERAGE(E25,O25,T25,X25,H25)</f>
        <v>8.6168419156139209E-2</v>
      </c>
    </row>
    <row r="26" spans="2:28" ht="9.9499999999999993" customHeight="1" x14ac:dyDescent="0.15">
      <c r="B26" s="91">
        <v>41199</v>
      </c>
      <c r="C26" s="94">
        <v>6164.2626032404287</v>
      </c>
      <c r="D26" s="94"/>
      <c r="E26" s="98">
        <f t="shared" si="13"/>
        <v>8.6420146129069925E-2</v>
      </c>
      <c r="F26" s="88">
        <v>4819.8100000000004</v>
      </c>
      <c r="G26" s="94"/>
      <c r="H26" s="98">
        <f t="shared" si="14"/>
        <v>0.10503650271318675</v>
      </c>
      <c r="I26" s="93"/>
      <c r="J26" s="97">
        <f t="shared" si="15"/>
        <v>32007</v>
      </c>
      <c r="K26" s="98"/>
      <c r="L26" s="98"/>
      <c r="M26" s="88">
        <v>9585.8354394091002</v>
      </c>
      <c r="N26" s="88"/>
      <c r="O26" s="98">
        <f t="shared" ref="O26:O36" si="17">M26/97243</f>
        <v>9.8576097399392243E-2</v>
      </c>
      <c r="P26" s="98"/>
      <c r="Q26" s="88"/>
      <c r="R26" s="88">
        <v>11377.725828845743</v>
      </c>
      <c r="S26" s="88"/>
      <c r="T26" s="98">
        <f t="shared" ref="T26:T36" si="18">R26/120438</f>
        <v>9.4469567983906599E-2</v>
      </c>
      <c r="U26" s="98"/>
      <c r="V26" s="88">
        <v>11043.438731745156</v>
      </c>
      <c r="W26" s="88"/>
      <c r="X26" s="98">
        <f t="shared" ref="X26:X36" si="19">V26/128327</f>
        <v>8.605701630790992E-2</v>
      </c>
      <c r="Y26" s="98"/>
      <c r="Z26" s="91">
        <v>41183</v>
      </c>
      <c r="AB26" s="98">
        <f t="shared" si="16"/>
        <v>9.4111866106693087E-2</v>
      </c>
    </row>
    <row r="27" spans="2:28" ht="9.9499999999999993" customHeight="1" x14ac:dyDescent="0.15">
      <c r="B27" s="91">
        <v>41234</v>
      </c>
      <c r="C27" s="94">
        <v>5754.4110320193013</v>
      </c>
      <c r="D27" s="94"/>
      <c r="E27" s="98">
        <f t="shared" si="13"/>
        <v>8.0674214303008612E-2</v>
      </c>
      <c r="F27" s="88">
        <v>4550.29</v>
      </c>
      <c r="G27" s="94"/>
      <c r="H27" s="98">
        <f t="shared" si="14"/>
        <v>9.9162943753132698E-2</v>
      </c>
      <c r="I27" s="93"/>
      <c r="J27" s="97">
        <f t="shared" si="15"/>
        <v>27906</v>
      </c>
      <c r="K27" s="98"/>
      <c r="L27" s="98"/>
      <c r="M27" s="88">
        <v>8357.6193886384335</v>
      </c>
      <c r="N27" s="88"/>
      <c r="O27" s="98">
        <f t="shared" si="17"/>
        <v>8.5945717312695347E-2</v>
      </c>
      <c r="P27" s="98"/>
      <c r="Q27" s="88"/>
      <c r="R27" s="88">
        <v>9919.9180485446723</v>
      </c>
      <c r="S27" s="88"/>
      <c r="T27" s="98">
        <f t="shared" si="18"/>
        <v>8.2365350209607197E-2</v>
      </c>
      <c r="U27" s="98"/>
      <c r="V27" s="88">
        <v>9628.4625628168942</v>
      </c>
      <c r="W27" s="88"/>
      <c r="X27" s="98">
        <f t="shared" si="19"/>
        <v>7.5030683821930649E-2</v>
      </c>
      <c r="Y27" s="98"/>
      <c r="Z27" s="91">
        <v>41214</v>
      </c>
      <c r="AB27" s="98">
        <f t="shared" si="16"/>
        <v>8.4635781880074895E-2</v>
      </c>
    </row>
    <row r="28" spans="2:28" ht="9.9499999999999993" customHeight="1" x14ac:dyDescent="0.15">
      <c r="B28" s="91">
        <v>41262</v>
      </c>
      <c r="C28" s="94">
        <v>5830.9070462498912</v>
      </c>
      <c r="D28" s="94"/>
      <c r="E28" s="98">
        <f t="shared" si="13"/>
        <v>8.1746653482453011E-2</v>
      </c>
      <c r="F28" s="88">
        <v>4161.66</v>
      </c>
      <c r="G28" s="94"/>
      <c r="H28" s="98">
        <f t="shared" si="14"/>
        <v>9.0693660513871024E-2</v>
      </c>
      <c r="I28" s="93"/>
      <c r="J28" s="97">
        <f t="shared" si="15"/>
        <v>27426</v>
      </c>
      <c r="K28" s="98"/>
      <c r="L28" s="98"/>
      <c r="M28" s="88">
        <v>8213.8633036908795</v>
      </c>
      <c r="N28" s="88"/>
      <c r="O28" s="98">
        <f t="shared" si="17"/>
        <v>8.4467399233784227E-2</v>
      </c>
      <c r="P28" s="98"/>
      <c r="Q28" s="88"/>
      <c r="R28" s="88">
        <v>9749.2894861100176</v>
      </c>
      <c r="S28" s="88"/>
      <c r="T28" s="98">
        <f t="shared" si="18"/>
        <v>8.0948616600325624E-2</v>
      </c>
      <c r="U28" s="98"/>
      <c r="V28" s="88">
        <v>9462.8472101991028</v>
      </c>
      <c r="W28" s="88"/>
      <c r="X28" s="98">
        <f t="shared" si="19"/>
        <v>7.3740110890140834E-2</v>
      </c>
      <c r="Y28" s="98"/>
      <c r="Z28" s="91">
        <v>41244</v>
      </c>
      <c r="AB28" s="98">
        <f t="shared" si="16"/>
        <v>8.2319288144114947E-2</v>
      </c>
    </row>
    <row r="29" spans="2:28" ht="9.9499999999999993" customHeight="1" x14ac:dyDescent="0.15">
      <c r="B29" s="91">
        <v>41290</v>
      </c>
      <c r="C29" s="94">
        <v>5508.7884612072394</v>
      </c>
      <c r="D29" s="94"/>
      <c r="E29" s="98">
        <f t="shared" si="13"/>
        <v>7.7230698049983032E-2</v>
      </c>
      <c r="F29" s="88">
        <v>3121.59</v>
      </c>
      <c r="G29" s="94"/>
      <c r="H29" s="98">
        <f t="shared" si="14"/>
        <v>6.8027763854686521E-2</v>
      </c>
      <c r="I29" s="93"/>
      <c r="J29" s="97">
        <f t="shared" si="15"/>
        <v>25536</v>
      </c>
      <c r="K29" s="98"/>
      <c r="L29" s="98"/>
      <c r="M29" s="88">
        <v>7647.8237192098841</v>
      </c>
      <c r="N29" s="88"/>
      <c r="O29" s="98">
        <f t="shared" si="17"/>
        <v>7.8646521798071675E-2</v>
      </c>
      <c r="P29" s="98"/>
      <c r="Q29" s="88"/>
      <c r="R29" s="88">
        <v>9077.4395215235691</v>
      </c>
      <c r="S29" s="88"/>
      <c r="T29" s="98">
        <f t="shared" si="18"/>
        <v>7.5370228013779447E-2</v>
      </c>
      <c r="U29" s="98"/>
      <c r="V29" s="88">
        <v>8810.7367592665469</v>
      </c>
      <c r="W29" s="88"/>
      <c r="X29" s="98">
        <f t="shared" si="19"/>
        <v>6.865847997121842E-2</v>
      </c>
      <c r="Y29" s="98"/>
      <c r="Z29" s="91">
        <v>41275</v>
      </c>
      <c r="AB29" s="98">
        <f t="shared" si="16"/>
        <v>7.3586738337547822E-2</v>
      </c>
    </row>
    <row r="30" spans="2:28" ht="9.9499999999999993" customHeight="1" x14ac:dyDescent="0.15">
      <c r="B30" s="91">
        <v>41318</v>
      </c>
      <c r="C30" s="94">
        <v>4728.3759929486159</v>
      </c>
      <c r="D30" s="94"/>
      <c r="E30" s="98">
        <f t="shared" si="13"/>
        <v>6.6289671703635492E-2</v>
      </c>
      <c r="F30" s="88">
        <v>2658.44</v>
      </c>
      <c r="G30" s="94"/>
      <c r="H30" s="98">
        <f t="shared" si="14"/>
        <v>5.7934491250245169E-2</v>
      </c>
      <c r="I30" s="93"/>
      <c r="J30" s="97">
        <f t="shared" si="15"/>
        <v>21915</v>
      </c>
      <c r="K30" s="98"/>
      <c r="L30" s="98"/>
      <c r="M30" s="88">
        <v>6563.3637533867723</v>
      </c>
      <c r="N30" s="88"/>
      <c r="O30" s="98">
        <f t="shared" si="17"/>
        <v>6.7494459790285899E-2</v>
      </c>
      <c r="P30" s="98"/>
      <c r="Q30" s="88"/>
      <c r="R30" s="88">
        <v>7790.2603036571518</v>
      </c>
      <c r="S30" s="88"/>
      <c r="T30" s="98">
        <f t="shared" si="18"/>
        <v>6.4682743848761617E-2</v>
      </c>
      <c r="U30" s="98"/>
      <c r="V30" s="88">
        <v>7561.375942956076</v>
      </c>
      <c r="W30" s="88"/>
      <c r="X30" s="98">
        <f t="shared" si="19"/>
        <v>5.8922720417028965E-2</v>
      </c>
      <c r="Y30" s="98"/>
      <c r="Z30" s="91">
        <v>41306</v>
      </c>
      <c r="AB30" s="98">
        <f t="shared" si="16"/>
        <v>6.3064817401991421E-2</v>
      </c>
    </row>
    <row r="31" spans="2:28" ht="9.9499999999999993" customHeight="1" x14ac:dyDescent="0.15">
      <c r="B31" s="91">
        <v>41346</v>
      </c>
      <c r="C31" s="94">
        <v>5774.2107831388548</v>
      </c>
      <c r="D31" s="97">
        <f>SUM(C20:C31)</f>
        <v>71329.346680860966</v>
      </c>
      <c r="E31" s="98">
        <f t="shared" si="13"/>
        <v>8.0951797770035402E-2</v>
      </c>
      <c r="F31" s="88">
        <v>3137.77</v>
      </c>
      <c r="G31" s="97">
        <f>SUM(F20:F31)</f>
        <v>45886.829999999994</v>
      </c>
      <c r="H31" s="98">
        <f t="shared" si="14"/>
        <v>6.8380369167738139E-2</v>
      </c>
      <c r="I31" s="93"/>
      <c r="J31" s="97">
        <f t="shared" si="15"/>
        <v>27132</v>
      </c>
      <c r="K31" s="98"/>
      <c r="L31" s="98"/>
      <c r="M31" s="88">
        <v>8125.8127016605022</v>
      </c>
      <c r="N31" s="88"/>
      <c r="O31" s="98">
        <f t="shared" si="17"/>
        <v>8.3561929410451166E-2</v>
      </c>
      <c r="P31" s="98"/>
      <c r="Q31" s="88"/>
      <c r="R31" s="88">
        <v>9644.7794916187922</v>
      </c>
      <c r="S31" s="88"/>
      <c r="T31" s="98">
        <f t="shared" si="18"/>
        <v>8.0080867264640657E-2</v>
      </c>
      <c r="U31" s="98"/>
      <c r="V31" s="88">
        <v>9361.4078067207047</v>
      </c>
      <c r="W31" s="88"/>
      <c r="X31" s="98">
        <f t="shared" si="19"/>
        <v>7.2949634969419572E-2</v>
      </c>
      <c r="Y31" s="98"/>
      <c r="Z31" s="91">
        <v>41334</v>
      </c>
      <c r="AB31" s="98">
        <f t="shared" si="16"/>
        <v>7.7184919716456996E-2</v>
      </c>
    </row>
    <row r="32" spans="2:28" ht="9.9499999999999993" customHeight="1" x14ac:dyDescent="0.15">
      <c r="B32" s="91">
        <v>41376</v>
      </c>
      <c r="C32" s="88">
        <v>5482.3589469097042</v>
      </c>
      <c r="D32" s="88"/>
      <c r="E32" s="98">
        <f>C32/68682</f>
        <v>7.9822354429249356E-2</v>
      </c>
      <c r="F32" s="88">
        <v>3274.12</v>
      </c>
      <c r="G32" s="88"/>
      <c r="H32" s="98">
        <f>F32/41759</f>
        <v>7.8405134222562803E-2</v>
      </c>
      <c r="I32" s="93"/>
      <c r="J32" s="97">
        <f t="shared" si="15"/>
        <v>29005.073669400437</v>
      </c>
      <c r="K32" s="98"/>
      <c r="L32" s="98"/>
      <c r="M32" s="88">
        <v>7499.9095391172968</v>
      </c>
      <c r="N32" s="88"/>
      <c r="O32" s="98">
        <f t="shared" si="17"/>
        <v>7.7125443878914651E-2</v>
      </c>
      <c r="P32" s="98">
        <f>M32/91177</f>
        <v>8.2256594745575062E-2</v>
      </c>
      <c r="Q32" s="88"/>
      <c r="R32" s="88">
        <v>9834.7629809704449</v>
      </c>
      <c r="S32" s="88"/>
      <c r="T32" s="98">
        <f t="shared" si="18"/>
        <v>8.1658305360189018E-2</v>
      </c>
      <c r="U32" s="98">
        <f>R32/119562</f>
        <v>8.2256594745575062E-2</v>
      </c>
      <c r="V32" s="88">
        <v>11670.401149312698</v>
      </c>
      <c r="W32" s="88"/>
      <c r="X32" s="98">
        <f t="shared" si="19"/>
        <v>9.0942678854120315E-2</v>
      </c>
      <c r="Y32" s="98">
        <f>V32/141878</f>
        <v>8.2256594745575062E-2</v>
      </c>
      <c r="Z32" s="91">
        <v>41365</v>
      </c>
      <c r="AB32" s="98">
        <f t="shared" si="16"/>
        <v>8.159078334900724E-2</v>
      </c>
    </row>
    <row r="33" spans="2:28" ht="9.9499999999999993" customHeight="1" x14ac:dyDescent="0.15">
      <c r="B33" s="91">
        <v>41410</v>
      </c>
      <c r="C33" s="88">
        <v>6221.1897932797165</v>
      </c>
      <c r="D33" s="88"/>
      <c r="E33" s="98">
        <f t="shared" ref="E33:E43" si="20">C33/68682</f>
        <v>9.057962484027425E-2</v>
      </c>
      <c r="F33" s="88">
        <v>3669.2</v>
      </c>
      <c r="G33" s="88"/>
      <c r="H33" s="98">
        <f t="shared" ref="H33:H43" si="21">F33/41759</f>
        <v>8.7866088747335896E-2</v>
      </c>
      <c r="I33" s="93"/>
      <c r="J33" s="97">
        <f t="shared" si="15"/>
        <v>30572.972065646176</v>
      </c>
      <c r="K33" s="98"/>
      <c r="L33" s="98"/>
      <c r="M33" s="88">
        <v>7905.3246838054365</v>
      </c>
      <c r="N33" s="88"/>
      <c r="O33" s="98">
        <f t="shared" si="17"/>
        <v>8.1294537229470873E-2</v>
      </c>
      <c r="P33" s="98">
        <f t="shared" ref="P33:P43" si="22">M33/91177</f>
        <v>8.6703057611079951E-2</v>
      </c>
      <c r="Q33" s="88"/>
      <c r="R33" s="88">
        <v>10366.390974095941</v>
      </c>
      <c r="S33" s="88"/>
      <c r="T33" s="98">
        <f t="shared" si="18"/>
        <v>8.6072427091914025E-2</v>
      </c>
      <c r="U33" s="98">
        <f t="shared" ref="U33:U42" si="23">R33/119562</f>
        <v>8.6703057611079951E-2</v>
      </c>
      <c r="V33" s="88">
        <v>12301.256407744801</v>
      </c>
      <c r="W33" s="88"/>
      <c r="X33" s="98">
        <f t="shared" si="19"/>
        <v>9.585867672231721E-2</v>
      </c>
      <c r="Y33" s="98">
        <f t="shared" ref="Y33:Y43" si="24">V33/141878</f>
        <v>8.6703057611079951E-2</v>
      </c>
      <c r="Z33" s="91">
        <v>41395</v>
      </c>
      <c r="AB33" s="98">
        <f t="shared" si="16"/>
        <v>8.8334270926262448E-2</v>
      </c>
    </row>
    <row r="34" spans="2:28" ht="9.9499999999999993" customHeight="1" x14ac:dyDescent="0.15">
      <c r="B34" s="91">
        <v>41437</v>
      </c>
      <c r="C34" s="88">
        <v>5950.2057887117353</v>
      </c>
      <c r="D34" s="88"/>
      <c r="E34" s="98">
        <f t="shared" si="20"/>
        <v>8.6634136873005085E-2</v>
      </c>
      <c r="F34" s="88">
        <v>3632.79</v>
      </c>
      <c r="G34" s="88"/>
      <c r="H34" s="98">
        <f t="shared" si="21"/>
        <v>8.6994180895136372E-2</v>
      </c>
      <c r="I34" s="93"/>
      <c r="J34" s="97">
        <f t="shared" si="15"/>
        <v>29842.402585953572</v>
      </c>
      <c r="K34" s="98"/>
      <c r="L34" s="98"/>
      <c r="M34" s="88">
        <v>7716.419629738466</v>
      </c>
      <c r="N34" s="88"/>
      <c r="O34" s="98">
        <f t="shared" si="17"/>
        <v>7.9351928979345204E-2</v>
      </c>
      <c r="P34" s="98">
        <f t="shared" si="22"/>
        <v>8.4631207757860705E-2</v>
      </c>
      <c r="Q34" s="88"/>
      <c r="R34" s="88">
        <v>10118.676461945342</v>
      </c>
      <c r="S34" s="88"/>
      <c r="T34" s="98">
        <f t="shared" si="18"/>
        <v>8.4015646738947361E-2</v>
      </c>
      <c r="U34" s="98">
        <f t="shared" si="23"/>
        <v>8.4631207757860719E-2</v>
      </c>
      <c r="V34" s="88">
        <v>12007.306494269762</v>
      </c>
      <c r="W34" s="88"/>
      <c r="X34" s="98">
        <f t="shared" si="19"/>
        <v>9.3568044871848957E-2</v>
      </c>
      <c r="Y34" s="98">
        <f t="shared" si="24"/>
        <v>8.4631207757860705E-2</v>
      </c>
      <c r="Z34" s="91">
        <v>41426</v>
      </c>
      <c r="AB34" s="98">
        <f t="shared" si="16"/>
        <v>8.6112787671656602E-2</v>
      </c>
    </row>
    <row r="35" spans="2:28" ht="9.9499999999999993" customHeight="1" x14ac:dyDescent="0.15">
      <c r="B35" s="91">
        <v>41465</v>
      </c>
      <c r="C35" s="88">
        <v>6173.8314158538951</v>
      </c>
      <c r="D35" s="88"/>
      <c r="E35" s="98">
        <f t="shared" si="20"/>
        <v>8.9890093705103161E-2</v>
      </c>
      <c r="F35" s="88">
        <v>4241.7700000000004</v>
      </c>
      <c r="G35" s="88"/>
      <c r="H35" s="98">
        <f t="shared" si="21"/>
        <v>0.10157738451591275</v>
      </c>
      <c r="I35" s="93"/>
      <c r="J35" s="97">
        <f t="shared" si="15"/>
        <v>34019.627218408001</v>
      </c>
      <c r="K35" s="98"/>
      <c r="L35" s="98"/>
      <c r="M35" s="88">
        <v>8796.5343443248239</v>
      </c>
      <c r="N35" s="88"/>
      <c r="O35" s="98">
        <f t="shared" si="17"/>
        <v>9.0459306524118183E-2</v>
      </c>
      <c r="P35" s="98">
        <f t="shared" si="22"/>
        <v>9.6477558422900775E-2</v>
      </c>
      <c r="Q35" s="88"/>
      <c r="R35" s="88">
        <v>11535.049840158861</v>
      </c>
      <c r="S35" s="88"/>
      <c r="T35" s="98">
        <f t="shared" si="18"/>
        <v>9.5775833542228045E-2</v>
      </c>
      <c r="U35" s="98">
        <f t="shared" si="23"/>
        <v>9.6477558422900761E-2</v>
      </c>
      <c r="V35" s="88">
        <v>13688.043033924316</v>
      </c>
      <c r="W35" s="88"/>
      <c r="X35" s="98">
        <f t="shared" si="19"/>
        <v>0.10666533959279276</v>
      </c>
      <c r="Y35" s="98">
        <f t="shared" si="24"/>
        <v>9.6477558422900775E-2</v>
      </c>
      <c r="Z35" s="91">
        <v>41456</v>
      </c>
      <c r="AB35" s="98">
        <f t="shared" si="16"/>
        <v>9.6873591576030982E-2</v>
      </c>
    </row>
    <row r="36" spans="2:28" ht="9.9499999999999993" customHeight="1" x14ac:dyDescent="0.15">
      <c r="B36" s="91">
        <v>41493</v>
      </c>
      <c r="C36" s="88">
        <v>6516.079595392629</v>
      </c>
      <c r="D36" s="88"/>
      <c r="E36" s="98">
        <f t="shared" si="20"/>
        <v>9.4873177766993236E-2</v>
      </c>
      <c r="F36" s="88">
        <v>4204.96</v>
      </c>
      <c r="G36" s="88"/>
      <c r="H36" s="98">
        <f t="shared" si="21"/>
        <v>0.10069589789027515</v>
      </c>
      <c r="I36" s="93"/>
      <c r="J36" s="97">
        <f t="shared" si="15"/>
        <v>32566.861548188321</v>
      </c>
      <c r="K36" s="98"/>
      <c r="L36" s="98"/>
      <c r="M36" s="88">
        <v>8420.8893370970945</v>
      </c>
      <c r="N36" s="97">
        <f>SUM(M25:M36)</f>
        <v>97242.827317666961</v>
      </c>
      <c r="O36" s="98">
        <f t="shared" si="17"/>
        <v>8.6596354874871148E-2</v>
      </c>
      <c r="P36" s="98">
        <f t="shared" si="22"/>
        <v>9.2357604846585159E-2</v>
      </c>
      <c r="Q36" s="88"/>
      <c r="R36" s="88">
        <v>11042.459950667415</v>
      </c>
      <c r="S36" s="97">
        <f>SUM(R25:R36)</f>
        <v>120438.16831439344</v>
      </c>
      <c r="T36" s="98">
        <f t="shared" si="18"/>
        <v>9.1685846250082317E-2</v>
      </c>
      <c r="U36" s="98">
        <f t="shared" si="23"/>
        <v>9.2357604846585159E-2</v>
      </c>
      <c r="V36" s="88">
        <v>13103.512260423809</v>
      </c>
      <c r="W36" s="97">
        <f>SUM(V25:V36)</f>
        <v>128326.94145553611</v>
      </c>
      <c r="X36" s="98">
        <f t="shared" si="19"/>
        <v>0.10211032955203356</v>
      </c>
      <c r="Y36" s="98">
        <f t="shared" si="24"/>
        <v>9.2357604846585159E-2</v>
      </c>
      <c r="Z36" s="91">
        <v>41487</v>
      </c>
      <c r="AB36" s="98">
        <f t="shared" si="16"/>
        <v>9.5192321266851079E-2</v>
      </c>
    </row>
    <row r="37" spans="2:28" ht="9.9499999999999993" customHeight="1" x14ac:dyDescent="0.15">
      <c r="B37" s="91">
        <v>41521</v>
      </c>
      <c r="C37" s="88">
        <v>5830.1834247958523</v>
      </c>
      <c r="D37" s="88"/>
      <c r="E37" s="98">
        <f t="shared" si="20"/>
        <v>8.4886628589671997E-2</v>
      </c>
      <c r="F37" s="88">
        <v>3639.07</v>
      </c>
      <c r="G37" s="88"/>
      <c r="H37" s="98">
        <f t="shared" si="21"/>
        <v>8.7144567638113943E-2</v>
      </c>
      <c r="I37" s="93"/>
      <c r="J37" s="97">
        <f t="shared" si="15"/>
        <v>30173.147507992056</v>
      </c>
      <c r="K37" s="98"/>
      <c r="L37" s="98"/>
      <c r="M37" s="88">
        <v>7801.9411155338275</v>
      </c>
      <c r="N37" s="88"/>
      <c r="O37" s="98">
        <f>M37/91774</f>
        <v>8.5012542937366001E-2</v>
      </c>
      <c r="P37" s="98">
        <f t="shared" si="22"/>
        <v>8.5569179897713538E-2</v>
      </c>
      <c r="Q37" s="88"/>
      <c r="R37" s="88">
        <v>10230.822286930426</v>
      </c>
      <c r="S37" s="88"/>
      <c r="T37" s="98">
        <f>R37/118499</f>
        <v>8.6336781634700932E-2</v>
      </c>
      <c r="U37" s="98">
        <f t="shared" si="23"/>
        <v>8.5569179897713538E-2</v>
      </c>
      <c r="V37" s="88">
        <v>12140.384105527803</v>
      </c>
      <c r="W37" s="88"/>
      <c r="X37" s="98">
        <f>V37/138947</f>
        <v>8.7374208191093025E-2</v>
      </c>
      <c r="Y37" s="98">
        <f t="shared" si="24"/>
        <v>8.5569179897713551E-2</v>
      </c>
      <c r="Z37" s="91">
        <v>41518</v>
      </c>
      <c r="AB37" s="98">
        <f t="shared" si="16"/>
        <v>8.6150945798189188E-2</v>
      </c>
    </row>
    <row r="38" spans="2:28" ht="9.9499999999999993" customHeight="1" x14ac:dyDescent="0.15">
      <c r="B38" s="91">
        <v>41557</v>
      </c>
      <c r="C38" s="88">
        <v>5935.444661501966</v>
      </c>
      <c r="D38" s="88"/>
      <c r="E38" s="98">
        <f t="shared" si="20"/>
        <v>8.6419216992836057E-2</v>
      </c>
      <c r="F38" s="88">
        <v>3922.53</v>
      </c>
      <c r="G38" s="88"/>
      <c r="H38" s="98">
        <f t="shared" si="21"/>
        <v>9.3932565434996049E-2</v>
      </c>
      <c r="I38" s="93"/>
      <c r="J38" s="97">
        <f t="shared" si="15"/>
        <v>31359.014586060432</v>
      </c>
      <c r="K38" s="98"/>
      <c r="L38" s="98"/>
      <c r="M38" s="88">
        <v>8108.5735313760588</v>
      </c>
      <c r="N38" s="88"/>
      <c r="O38" s="98">
        <f t="shared" ref="O38:O48" si="25">M38/91774</f>
        <v>8.8353711632663492E-2</v>
      </c>
      <c r="P38" s="98">
        <f t="shared" si="22"/>
        <v>8.89322255763631E-2</v>
      </c>
      <c r="Q38" s="88"/>
      <c r="R38" s="88">
        <v>10632.914754361125</v>
      </c>
      <c r="S38" s="88"/>
      <c r="T38" s="98">
        <f t="shared" ref="T38:T48" si="26">R38/118499</f>
        <v>8.9729995648580363E-2</v>
      </c>
      <c r="U38" s="98">
        <f t="shared" si="23"/>
        <v>8.89322255763631E-2</v>
      </c>
      <c r="V38" s="88">
        <v>12617.526300323245</v>
      </c>
      <c r="W38" s="88"/>
      <c r="X38" s="98">
        <f t="shared" ref="X38:X48" si="27">V38/138947</f>
        <v>9.0808195213450058E-2</v>
      </c>
      <c r="Y38" s="98">
        <f t="shared" si="24"/>
        <v>8.8932225576363114E-2</v>
      </c>
      <c r="Z38" s="91">
        <v>41548</v>
      </c>
      <c r="AB38" s="98">
        <f t="shared" si="16"/>
        <v>8.9848736984505212E-2</v>
      </c>
    </row>
    <row r="39" spans="2:28" ht="9.9499999999999993" customHeight="1" x14ac:dyDescent="0.15">
      <c r="B39" s="91">
        <v>41591</v>
      </c>
      <c r="C39" s="88">
        <v>5540.8068147733347</v>
      </c>
      <c r="D39" s="88"/>
      <c r="E39" s="98">
        <f t="shared" si="20"/>
        <v>8.0673346943498078E-2</v>
      </c>
      <c r="F39" s="88">
        <v>3376.88</v>
      </c>
      <c r="G39" s="88"/>
      <c r="H39" s="98">
        <f t="shared" si="21"/>
        <v>8.086592111880074E-2</v>
      </c>
      <c r="I39" s="93"/>
      <c r="J39" s="97">
        <f t="shared" si="15"/>
        <v>28464.99651822367</v>
      </c>
      <c r="K39" s="98"/>
      <c r="L39" s="98"/>
      <c r="M39" s="88">
        <v>7360.2605306666428</v>
      </c>
      <c r="N39" s="88"/>
      <c r="O39" s="98">
        <f t="shared" si="25"/>
        <v>8.0199844516602115E-2</v>
      </c>
      <c r="P39" s="98">
        <f t="shared" si="22"/>
        <v>8.0724969352650805E-2</v>
      </c>
      <c r="Q39" s="88"/>
      <c r="R39" s="88">
        <v>9651.6387857416357</v>
      </c>
      <c r="S39" s="88"/>
      <c r="T39" s="98">
        <f t="shared" si="26"/>
        <v>8.1449115905970815E-2</v>
      </c>
      <c r="U39" s="98">
        <f t="shared" si="23"/>
        <v>8.0724969352650805E-2</v>
      </c>
      <c r="V39" s="88">
        <v>11453.097201815392</v>
      </c>
      <c r="W39" s="88"/>
      <c r="X39" s="98">
        <f t="shared" si="27"/>
        <v>8.2427812056506372E-2</v>
      </c>
      <c r="Y39" s="98">
        <f t="shared" si="24"/>
        <v>8.0724969352650805E-2</v>
      </c>
      <c r="Z39" s="91">
        <v>41579</v>
      </c>
      <c r="AB39" s="98">
        <f t="shared" si="16"/>
        <v>8.1123208108275627E-2</v>
      </c>
    </row>
    <row r="40" spans="2:28" ht="9.9499999999999993" customHeight="1" x14ac:dyDescent="0.15">
      <c r="B40" s="91">
        <v>41619</v>
      </c>
      <c r="C40" s="88">
        <v>5614.4632905783164</v>
      </c>
      <c r="D40" s="88"/>
      <c r="E40" s="98">
        <f t="shared" si="20"/>
        <v>8.1745774592736326E-2</v>
      </c>
      <c r="F40" s="88">
        <v>3260.82</v>
      </c>
      <c r="G40" s="88"/>
      <c r="H40" s="98">
        <f t="shared" si="21"/>
        <v>7.8086640005747263E-2</v>
      </c>
      <c r="I40" s="93"/>
      <c r="J40" s="97">
        <f t="shared" si="15"/>
        <v>29372.451731538127</v>
      </c>
      <c r="K40" s="98"/>
      <c r="L40" s="98"/>
      <c r="M40" s="88">
        <v>7594.903341377335</v>
      </c>
      <c r="N40" s="88"/>
      <c r="O40" s="98">
        <f t="shared" si="25"/>
        <v>8.275659055263293E-2</v>
      </c>
      <c r="P40" s="98">
        <f t="shared" si="22"/>
        <v>8.329845620471539E-2</v>
      </c>
      <c r="Q40" s="88"/>
      <c r="R40" s="88">
        <v>9959.3300207481807</v>
      </c>
      <c r="S40" s="88"/>
      <c r="T40" s="98">
        <f t="shared" si="26"/>
        <v>8.4045688324358686E-2</v>
      </c>
      <c r="U40" s="98">
        <f t="shared" si="23"/>
        <v>8.329845620471539E-2</v>
      </c>
      <c r="V40" s="88">
        <v>11818.218369412611</v>
      </c>
      <c r="W40" s="88"/>
      <c r="X40" s="98">
        <f t="shared" si="27"/>
        <v>8.5055585003005543E-2</v>
      </c>
      <c r="Y40" s="98">
        <f t="shared" si="24"/>
        <v>8.329845620471539E-2</v>
      </c>
      <c r="Z40" s="91">
        <v>41609</v>
      </c>
      <c r="AB40" s="98">
        <f t="shared" si="16"/>
        <v>8.2338055695696161E-2</v>
      </c>
    </row>
    <row r="41" spans="2:28" ht="9.9499999999999993" customHeight="1" x14ac:dyDescent="0.15">
      <c r="B41" s="91">
        <v>41647</v>
      </c>
      <c r="C41" s="88">
        <v>5304.3017742670354</v>
      </c>
      <c r="D41" s="88"/>
      <c r="E41" s="98">
        <f t="shared" si="20"/>
        <v>7.7229867713040329E-2</v>
      </c>
      <c r="F41" s="88">
        <v>3094.86</v>
      </c>
      <c r="G41" s="88"/>
      <c r="H41" s="98">
        <f t="shared" si="21"/>
        <v>7.4112406906295655E-2</v>
      </c>
      <c r="I41" s="93"/>
      <c r="J41" s="97">
        <f t="shared" si="15"/>
        <v>26973.504385613407</v>
      </c>
      <c r="K41" s="98"/>
      <c r="L41" s="98"/>
      <c r="M41" s="88">
        <v>6974.6019317476857</v>
      </c>
      <c r="N41" s="88"/>
      <c r="O41" s="98">
        <f t="shared" si="25"/>
        <v>7.5997580270530718E-2</v>
      </c>
      <c r="P41" s="98">
        <f t="shared" si="22"/>
        <v>7.6495189924516996E-2</v>
      </c>
      <c r="Q41" s="88"/>
      <c r="R41" s="88">
        <v>9145.9178977551001</v>
      </c>
      <c r="S41" s="88"/>
      <c r="T41" s="98">
        <f t="shared" si="26"/>
        <v>7.7181393072980359E-2</v>
      </c>
      <c r="U41" s="98">
        <f t="shared" si="23"/>
        <v>7.6495189924516982E-2</v>
      </c>
      <c r="V41" s="88">
        <v>10852.984556110621</v>
      </c>
      <c r="W41" s="88"/>
      <c r="X41" s="98">
        <f t="shared" si="27"/>
        <v>7.8108808078696343E-2</v>
      </c>
      <c r="Y41" s="98">
        <f t="shared" si="24"/>
        <v>7.6495189924516982E-2</v>
      </c>
      <c r="Z41" s="91">
        <v>41640</v>
      </c>
      <c r="AB41" s="98">
        <f t="shared" si="16"/>
        <v>7.6526011208308681E-2</v>
      </c>
    </row>
    <row r="42" spans="2:28" ht="9.9499999999999993" customHeight="1" x14ac:dyDescent="0.15">
      <c r="B42" s="91">
        <v>41675</v>
      </c>
      <c r="C42" s="88">
        <v>4552.8582818920968</v>
      </c>
      <c r="D42" s="88"/>
      <c r="E42" s="98">
        <f t="shared" si="20"/>
        <v>6.6288958997875666E-2</v>
      </c>
      <c r="F42" s="88">
        <v>2416.7399999999998</v>
      </c>
      <c r="G42" s="88"/>
      <c r="H42" s="98">
        <f t="shared" si="21"/>
        <v>5.7873512296750397E-2</v>
      </c>
      <c r="I42" s="93"/>
      <c r="J42" s="97">
        <f t="shared" si="15"/>
        <v>22261.435907710664</v>
      </c>
      <c r="K42" s="98"/>
      <c r="L42" s="98"/>
      <c r="M42" s="88">
        <v>5756.1913967770561</v>
      </c>
      <c r="N42" s="88"/>
      <c r="O42" s="98">
        <f t="shared" si="25"/>
        <v>6.2721374210310724E-2</v>
      </c>
      <c r="P42" s="98">
        <f t="shared" si="22"/>
        <v>6.3132055197879469E-2</v>
      </c>
      <c r="Q42" s="88"/>
      <c r="R42" s="88">
        <v>7548.1947835688652</v>
      </c>
      <c r="S42" s="88"/>
      <c r="T42" s="98">
        <f t="shared" si="26"/>
        <v>6.3698383813946657E-2</v>
      </c>
      <c r="U42" s="98">
        <f t="shared" si="23"/>
        <v>6.3132055197879469E-2</v>
      </c>
      <c r="V42" s="88">
        <v>8957.0497273647434</v>
      </c>
      <c r="W42" s="88"/>
      <c r="X42" s="98">
        <f t="shared" si="27"/>
        <v>6.4463786388801084E-2</v>
      </c>
      <c r="Y42" s="98">
        <f t="shared" si="24"/>
        <v>6.3132055197879469E-2</v>
      </c>
      <c r="Z42" s="91">
        <v>41671</v>
      </c>
      <c r="AB42" s="98">
        <f t="shared" si="16"/>
        <v>6.3009203141536907E-2</v>
      </c>
    </row>
    <row r="43" spans="2:28" ht="9.9499999999999993" customHeight="1" x14ac:dyDescent="0.15">
      <c r="B43" s="91">
        <v>41703</v>
      </c>
      <c r="C43" s="88">
        <v>5559.8715974806528</v>
      </c>
      <c r="D43" s="97">
        <f>SUM(C32:C43)</f>
        <v>68681.595385436929</v>
      </c>
      <c r="E43" s="98">
        <f t="shared" si="20"/>
        <v>8.0950927426118244E-2</v>
      </c>
      <c r="F43" s="87">
        <v>3025.7</v>
      </c>
      <c r="G43" s="97">
        <f>SUM(F32:F43)</f>
        <v>41759.439999999995</v>
      </c>
      <c r="H43" s="98">
        <f t="shared" si="21"/>
        <v>7.2456236978854852E-2</v>
      </c>
      <c r="I43" s="93"/>
      <c r="J43" s="97">
        <f t="shared" si="15"/>
        <v>28005.512275265144</v>
      </c>
      <c r="K43" s="98"/>
      <c r="L43" s="98"/>
      <c r="M43" s="88">
        <v>7241.4506184382763</v>
      </c>
      <c r="N43" s="97">
        <f>SUM(M32:M43)</f>
        <v>91177</v>
      </c>
      <c r="O43" s="98">
        <f t="shared" si="25"/>
        <v>7.8905252233075554E-2</v>
      </c>
      <c r="P43" s="98">
        <f t="shared" si="22"/>
        <v>7.9421900462159051E-2</v>
      </c>
      <c r="Q43" s="88"/>
      <c r="R43" s="88">
        <v>9495.8412630566618</v>
      </c>
      <c r="S43" s="97">
        <f>SUM(R32:R43)</f>
        <v>119562.00000000001</v>
      </c>
      <c r="T43" s="98">
        <f t="shared" si="26"/>
        <v>8.0134357784088145E-2</v>
      </c>
      <c r="U43" s="98">
        <f>R43/118655</f>
        <v>8.0029002259126555E-2</v>
      </c>
      <c r="V43" s="88">
        <v>11268.220393770203</v>
      </c>
      <c r="W43" s="97">
        <f>SUM(V32:V43)</f>
        <v>141878</v>
      </c>
      <c r="X43" s="98">
        <f t="shared" si="27"/>
        <v>8.109725574334245E-2</v>
      </c>
      <c r="Y43" s="98">
        <f t="shared" si="24"/>
        <v>7.9421900462159065E-2</v>
      </c>
      <c r="Z43" s="91">
        <v>41699</v>
      </c>
      <c r="AB43" s="98">
        <f t="shared" si="16"/>
        <v>7.8708806033095852E-2</v>
      </c>
    </row>
    <row r="44" spans="2:28" ht="9.9499999999999993" customHeight="1" x14ac:dyDescent="0.15">
      <c r="B44" s="91">
        <v>41739</v>
      </c>
      <c r="C44" s="88">
        <v>5397.9493997803338</v>
      </c>
      <c r="D44" s="88"/>
      <c r="E44" s="98">
        <f>C44/67624</f>
        <v>7.9822982961379602E-2</v>
      </c>
      <c r="F44" s="88">
        <v>3232.15</v>
      </c>
      <c r="G44" s="88"/>
      <c r="H44" s="98">
        <f>F44/41352</f>
        <v>7.8161878506480945E-2</v>
      </c>
      <c r="I44" s="93"/>
      <c r="J44" s="97">
        <f t="shared" si="15"/>
        <v>29204.565838092043</v>
      </c>
      <c r="K44" s="98"/>
      <c r="L44" s="98"/>
      <c r="M44" s="88">
        <v>7833.835950621431</v>
      </c>
      <c r="N44" s="88"/>
      <c r="O44" s="98">
        <f t="shared" si="25"/>
        <v>8.5360079658960392E-2</v>
      </c>
      <c r="P44" s="98">
        <f>M44/93707</f>
        <v>8.359926100100773E-2</v>
      </c>
      <c r="Q44" s="88"/>
      <c r="R44" s="88">
        <v>9919.4703140745714</v>
      </c>
      <c r="S44" s="88"/>
      <c r="T44" s="98">
        <f t="shared" si="26"/>
        <v>8.3709316653090504E-2</v>
      </c>
      <c r="U44" s="98">
        <f t="shared" ref="U44:U55" si="28">R44/118655</f>
        <v>8.359926100100773E-2</v>
      </c>
      <c r="V44" s="88">
        <v>11451.259573396037</v>
      </c>
      <c r="W44" s="88"/>
      <c r="X44" s="98">
        <f t="shared" si="27"/>
        <v>8.2414586665390671E-2</v>
      </c>
      <c r="Y44" s="98">
        <f>V44/138947</f>
        <v>8.2414586665390671E-2</v>
      </c>
      <c r="Z44" s="91">
        <v>41730</v>
      </c>
      <c r="AB44" s="98">
        <f t="shared" si="16"/>
        <v>8.1893768889060414E-2</v>
      </c>
    </row>
    <row r="45" spans="2:28" ht="9.9499999999999993" customHeight="1" x14ac:dyDescent="0.15">
      <c r="B45" s="91">
        <v>41773</v>
      </c>
      <c r="C45" s="88">
        <v>6125.4047820935002</v>
      </c>
      <c r="D45" s="88"/>
      <c r="E45" s="98">
        <f t="shared" ref="E45:E55" si="29">C45/67624</f>
        <v>9.0580338076622205E-2</v>
      </c>
      <c r="F45" s="87">
        <v>3633.7</v>
      </c>
      <c r="G45" s="88"/>
      <c r="H45" s="98">
        <f t="shared" ref="H45:H55" si="30">F45/41352</f>
        <v>8.7872412458889534E-2</v>
      </c>
      <c r="I45" s="93"/>
      <c r="J45" s="97">
        <f t="shared" si="15"/>
        <v>30105.61795191708</v>
      </c>
      <c r="K45" s="98"/>
      <c r="L45" s="98"/>
      <c r="M45" s="88">
        <v>8075.534268678919</v>
      </c>
      <c r="N45" s="88"/>
      <c r="O45" s="98">
        <f t="shared" si="25"/>
        <v>8.7993704847548537E-2</v>
      </c>
      <c r="P45" s="98">
        <f t="shared" ref="P45:P55" si="31">M45/93707</f>
        <v>8.6178559431834542E-2</v>
      </c>
      <c r="Q45" s="88"/>
      <c r="R45" s="88">
        <v>10225.516969384327</v>
      </c>
      <c r="S45" s="88"/>
      <c r="T45" s="98">
        <f t="shared" si="26"/>
        <v>8.6292010644683309E-2</v>
      </c>
      <c r="U45" s="98">
        <f t="shared" si="28"/>
        <v>8.6178559431834542E-2</v>
      </c>
      <c r="V45" s="88">
        <v>11804.566713853832</v>
      </c>
      <c r="W45" s="88"/>
      <c r="X45" s="98">
        <f t="shared" si="27"/>
        <v>8.495733419112203E-2</v>
      </c>
      <c r="Y45" s="98">
        <f t="shared" ref="Y45:Y55" si="32">V45/138947</f>
        <v>8.495733419112203E-2</v>
      </c>
      <c r="Z45" s="91">
        <v>41760</v>
      </c>
      <c r="AB45" s="98">
        <f t="shared" si="16"/>
        <v>8.7539160043773129E-2</v>
      </c>
    </row>
    <row r="46" spans="2:28" ht="9.9499999999999993" customHeight="1" x14ac:dyDescent="0.15">
      <c r="B46" s="91">
        <v>41801</v>
      </c>
      <c r="C46" s="88">
        <v>5858.5930028990097</v>
      </c>
      <c r="D46" s="88"/>
      <c r="E46" s="98">
        <f t="shared" si="29"/>
        <v>8.6634819042041428E-2</v>
      </c>
      <c r="F46" s="87">
        <v>3717.2</v>
      </c>
      <c r="G46" s="88"/>
      <c r="H46" s="98">
        <f t="shared" si="30"/>
        <v>8.9891661830141217E-2</v>
      </c>
      <c r="I46" s="93"/>
      <c r="J46" s="97">
        <f t="shared" si="15"/>
        <v>29497.931642593216</v>
      </c>
      <c r="K46" s="98"/>
      <c r="L46" s="98"/>
      <c r="M46" s="88">
        <v>7912.5284262680552</v>
      </c>
      <c r="N46" s="88"/>
      <c r="O46" s="98">
        <f t="shared" si="25"/>
        <v>8.6217539022686765E-2</v>
      </c>
      <c r="P46" s="98">
        <f t="shared" si="31"/>
        <v>8.4439032583137383E-2</v>
      </c>
      <c r="Q46" s="88"/>
      <c r="R46" s="88">
        <v>10019.113411152166</v>
      </c>
      <c r="S46" s="88"/>
      <c r="T46" s="98">
        <f t="shared" si="26"/>
        <v>8.4550193766632337E-2</v>
      </c>
      <c r="U46" s="98">
        <f t="shared" si="28"/>
        <v>8.4439032583137383E-2</v>
      </c>
      <c r="V46" s="88">
        <v>11566.289805172994</v>
      </c>
      <c r="W46" s="88"/>
      <c r="X46" s="98">
        <f t="shared" si="27"/>
        <v>8.3242457952838092E-2</v>
      </c>
      <c r="Y46" s="98">
        <f t="shared" si="32"/>
        <v>8.3242457952838092E-2</v>
      </c>
      <c r="Z46" s="91">
        <v>41791</v>
      </c>
      <c r="AB46" s="98">
        <f t="shared" si="16"/>
        <v>8.6107334322867962E-2</v>
      </c>
    </row>
    <row r="47" spans="2:28" ht="9.9499999999999993" customHeight="1" x14ac:dyDescent="0.15">
      <c r="B47" s="91">
        <v>41829</v>
      </c>
      <c r="C47" s="88">
        <v>6078.7755614467223</v>
      </c>
      <c r="D47" s="88"/>
      <c r="E47" s="98">
        <f t="shared" si="29"/>
        <v>8.989080151198868E-2</v>
      </c>
      <c r="F47" s="87">
        <v>3963.2</v>
      </c>
      <c r="G47" s="88"/>
      <c r="H47" s="98">
        <f t="shared" si="30"/>
        <v>9.5840588121493514E-2</v>
      </c>
      <c r="I47" s="93"/>
      <c r="J47" s="97">
        <f t="shared" si="15"/>
        <v>32669.425536254137</v>
      </c>
      <c r="K47" s="98"/>
      <c r="L47" s="98"/>
      <c r="M47" s="88">
        <v>8763.2502969192374</v>
      </c>
      <c r="N47" s="88"/>
      <c r="O47" s="98">
        <f t="shared" si="25"/>
        <v>9.5487287215542935E-2</v>
      </c>
      <c r="P47" s="98">
        <f t="shared" si="31"/>
        <v>9.3517563222803385E-2</v>
      </c>
      <c r="Q47" s="88"/>
      <c r="R47" s="88">
        <v>11096.326464201737</v>
      </c>
      <c r="S47" s="88"/>
      <c r="T47" s="98">
        <f t="shared" si="26"/>
        <v>9.3640675990529346E-2</v>
      </c>
      <c r="U47" s="98">
        <f t="shared" si="28"/>
        <v>9.3517563222803399E-2</v>
      </c>
      <c r="V47" s="88">
        <v>12809.848775133163</v>
      </c>
      <c r="W47" s="88"/>
      <c r="X47" s="98">
        <f t="shared" si="27"/>
        <v>9.2192337906778582E-2</v>
      </c>
      <c r="Y47" s="98">
        <f t="shared" si="32"/>
        <v>9.2192337906778582E-2</v>
      </c>
      <c r="Z47" s="91">
        <v>41821</v>
      </c>
      <c r="AB47" s="98">
        <f t="shared" si="16"/>
        <v>9.3410338149266622E-2</v>
      </c>
    </row>
    <row r="48" spans="2:28" ht="9.9499999999999993" customHeight="1" x14ac:dyDescent="0.15">
      <c r="B48" s="91">
        <v>41857</v>
      </c>
      <c r="C48" s="88">
        <v>6415.7542914436672</v>
      </c>
      <c r="D48" s="88"/>
      <c r="E48" s="98">
        <f t="shared" si="29"/>
        <v>9.4873924811363822E-2</v>
      </c>
      <c r="F48" s="88">
        <v>3892.13</v>
      </c>
      <c r="G48" s="88"/>
      <c r="H48" s="98">
        <f t="shared" si="30"/>
        <v>9.4121928806345526E-2</v>
      </c>
      <c r="I48" s="93"/>
      <c r="J48" s="97">
        <f t="shared" si="15"/>
        <v>31132.398267671193</v>
      </c>
      <c r="K48" s="98"/>
      <c r="L48" s="98"/>
      <c r="M48" s="88">
        <v>8350.9579334421032</v>
      </c>
      <c r="N48" s="97">
        <f>SUM(M37:M48)</f>
        <v>91774.029341846632</v>
      </c>
      <c r="O48" s="98">
        <f t="shared" si="25"/>
        <v>9.0994812620590837E-2</v>
      </c>
      <c r="P48" s="98">
        <f t="shared" si="31"/>
        <v>8.9117759969288349E-2</v>
      </c>
      <c r="Q48" s="88"/>
      <c r="R48" s="88">
        <v>10574.26780915591</v>
      </c>
      <c r="S48" s="97">
        <f>SUM(R37:R48)</f>
        <v>118499.35476013069</v>
      </c>
      <c r="T48" s="98">
        <f t="shared" si="26"/>
        <v>8.9235080542079764E-2</v>
      </c>
      <c r="U48" s="98">
        <f t="shared" si="28"/>
        <v>8.9117759969288363E-2</v>
      </c>
      <c r="V48" s="88">
        <v>12207.17252507318</v>
      </c>
      <c r="W48" s="97">
        <f>SUM(V37:V48)</f>
        <v>138946.61804695381</v>
      </c>
      <c r="X48" s="98">
        <f t="shared" si="27"/>
        <v>8.7854883697187997E-2</v>
      </c>
      <c r="Y48" s="98">
        <f t="shared" si="32"/>
        <v>8.7854883697187997E-2</v>
      </c>
      <c r="Z48" s="91">
        <v>41852</v>
      </c>
      <c r="AB48" s="98">
        <f t="shared" si="16"/>
        <v>9.141612609551357E-2</v>
      </c>
    </row>
    <row r="49" spans="2:28" ht="9.9499999999999993" customHeight="1" x14ac:dyDescent="0.15">
      <c r="B49" s="91">
        <v>41892</v>
      </c>
      <c r="C49" s="88">
        <v>5740.4185722325992</v>
      </c>
      <c r="D49" s="88"/>
      <c r="E49" s="98">
        <f t="shared" si="29"/>
        <v>8.488729699858924E-2</v>
      </c>
      <c r="F49" s="88">
        <v>3780.22</v>
      </c>
      <c r="G49" s="88"/>
      <c r="H49" s="98">
        <f t="shared" si="30"/>
        <v>9.1415650996324233E-2</v>
      </c>
      <c r="I49" s="93"/>
      <c r="J49" s="97">
        <f t="shared" si="15"/>
        <v>31292.701725130766</v>
      </c>
      <c r="K49" s="98"/>
      <c r="L49" s="98"/>
      <c r="M49" s="88">
        <v>8393.957750491867</v>
      </c>
      <c r="N49" s="88"/>
      <c r="O49" s="98">
        <f>M49/94827</f>
        <v>8.8518647120460064E-2</v>
      </c>
      <c r="P49" s="98">
        <f t="shared" si="31"/>
        <v>8.9576635155237783E-2</v>
      </c>
      <c r="Q49" s="88"/>
      <c r="R49" s="88">
        <v>10628.715644344738</v>
      </c>
      <c r="S49" s="88"/>
      <c r="T49" s="98">
        <f>R49/113756</f>
        <v>9.3434330007601693E-2</v>
      </c>
      <c r="U49" s="98">
        <f t="shared" si="28"/>
        <v>8.9576635155237783E-2</v>
      </c>
      <c r="V49" s="88">
        <v>12270.028330294161</v>
      </c>
      <c r="W49" s="88"/>
      <c r="X49" s="98">
        <f>V49/137220</f>
        <v>8.9418658579610552E-2</v>
      </c>
      <c r="Y49" s="98">
        <f t="shared" si="32"/>
        <v>8.8307256222114619E-2</v>
      </c>
      <c r="Z49" s="91">
        <v>41883</v>
      </c>
      <c r="AB49" s="98">
        <f t="shared" si="16"/>
        <v>8.9534916740517168E-2</v>
      </c>
    </row>
    <row r="50" spans="2:28" ht="9.9499999999999993" customHeight="1" x14ac:dyDescent="0.15">
      <c r="B50" s="91">
        <v>41920</v>
      </c>
      <c r="C50" s="88">
        <v>5844.0591464817899</v>
      </c>
      <c r="D50" s="88"/>
      <c r="E50" s="98">
        <f t="shared" si="29"/>
        <v>8.6419897469563911E-2</v>
      </c>
      <c r="F50" s="88">
        <v>3844.77</v>
      </c>
      <c r="G50" s="88"/>
      <c r="H50" s="98">
        <f t="shared" si="30"/>
        <v>9.2976639582124196E-2</v>
      </c>
      <c r="I50" s="93"/>
      <c r="J50" s="97">
        <f t="shared" si="15"/>
        <v>30638.915075099576</v>
      </c>
      <c r="K50" s="98"/>
      <c r="L50" s="98"/>
      <c r="M50" s="88">
        <v>8218.5859476222467</v>
      </c>
      <c r="N50" s="88"/>
      <c r="O50" s="98">
        <f t="shared" ref="O50:O60" si="33">M50/94827</f>
        <v>8.6669260312171079E-2</v>
      </c>
      <c r="P50" s="98">
        <f t="shared" si="31"/>
        <v>8.7705144200777393E-2</v>
      </c>
      <c r="Q50" s="88"/>
      <c r="R50" s="88">
        <v>10406.653885143241</v>
      </c>
      <c r="S50" s="88"/>
      <c r="T50" s="98">
        <f t="shared" ref="T50:T60" si="34">R50/113756</f>
        <v>9.1482241685214336E-2</v>
      </c>
      <c r="U50" s="98">
        <f t="shared" si="28"/>
        <v>8.7705144200777393E-2</v>
      </c>
      <c r="V50" s="88">
        <v>12013.675242334086</v>
      </c>
      <c r="W50" s="88"/>
      <c r="X50" s="98">
        <f t="shared" ref="X50:X60" si="35">V50/137220</f>
        <v>8.755046817034022E-2</v>
      </c>
      <c r="Y50" s="98">
        <f t="shared" si="32"/>
        <v>8.646228592437466E-2</v>
      </c>
      <c r="Z50" s="91">
        <v>41913</v>
      </c>
      <c r="AB50" s="98">
        <f t="shared" si="16"/>
        <v>8.9019701443882757E-2</v>
      </c>
    </row>
    <row r="51" spans="2:28" ht="9.9499999999999993" customHeight="1" x14ac:dyDescent="0.15">
      <c r="B51" s="91">
        <v>41948</v>
      </c>
      <c r="C51" s="88">
        <v>5455.4973707009112</v>
      </c>
      <c r="D51" s="88"/>
      <c r="E51" s="98">
        <f t="shared" si="29"/>
        <v>8.0673982176459713E-2</v>
      </c>
      <c r="F51" s="87">
        <v>3193.13</v>
      </c>
      <c r="G51" s="88"/>
      <c r="H51" s="98">
        <f t="shared" si="30"/>
        <v>7.7218272393112797E-2</v>
      </c>
      <c r="I51" s="93"/>
      <c r="J51" s="97">
        <f t="shared" si="15"/>
        <v>27477.898531599407</v>
      </c>
      <c r="K51" s="98"/>
      <c r="L51" s="98"/>
      <c r="M51" s="88">
        <v>7370.6745225298719</v>
      </c>
      <c r="N51" s="88"/>
      <c r="O51" s="98">
        <f t="shared" si="33"/>
        <v>7.7727593644530274E-2</v>
      </c>
      <c r="P51" s="98">
        <f t="shared" si="31"/>
        <v>7.865660540333029E-2</v>
      </c>
      <c r="Q51" s="88"/>
      <c r="R51" s="88">
        <v>9332.999514132156</v>
      </c>
      <c r="S51" s="88"/>
      <c r="T51" s="98">
        <f t="shared" si="34"/>
        <v>8.2044019780338234E-2</v>
      </c>
      <c r="U51" s="98">
        <f t="shared" si="28"/>
        <v>7.865660540333029E-2</v>
      </c>
      <c r="V51" s="88">
        <v>10774.224494937376</v>
      </c>
      <c r="W51" s="88"/>
      <c r="X51" s="98">
        <f t="shared" si="35"/>
        <v>7.8517887297313627E-2</v>
      </c>
      <c r="Y51" s="98">
        <f t="shared" si="32"/>
        <v>7.7541972802128697E-2</v>
      </c>
      <c r="Z51" s="91">
        <v>41944</v>
      </c>
      <c r="AB51" s="98">
        <f t="shared" si="16"/>
        <v>7.9236351058350932E-2</v>
      </c>
    </row>
    <row r="52" spans="2:28" ht="9.9499999999999993" customHeight="1" x14ac:dyDescent="0.15">
      <c r="B52" s="91">
        <v>41984</v>
      </c>
      <c r="C52" s="88">
        <v>5528.019789099938</v>
      </c>
      <c r="D52" s="88"/>
      <c r="E52" s="98">
        <f t="shared" si="29"/>
        <v>8.1746418270139856E-2</v>
      </c>
      <c r="F52" s="88">
        <v>3325.02</v>
      </c>
      <c r="G52" s="88"/>
      <c r="H52" s="98">
        <f t="shared" si="30"/>
        <v>8.0407719094602439E-2</v>
      </c>
      <c r="I52" s="93"/>
      <c r="J52" s="97">
        <f t="shared" si="15"/>
        <v>30038.562910888239</v>
      </c>
      <c r="K52" s="98"/>
      <c r="L52" s="98"/>
      <c r="M52" s="88">
        <v>8057.547417102548</v>
      </c>
      <c r="N52" s="88"/>
      <c r="O52" s="98">
        <f t="shared" si="33"/>
        <v>8.4971025310328782E-2</v>
      </c>
      <c r="P52" s="98">
        <f t="shared" si="31"/>
        <v>8.5986611641633473E-2</v>
      </c>
      <c r="Q52" s="88"/>
      <c r="R52" s="88">
        <v>10202.741404338019</v>
      </c>
      <c r="S52" s="88"/>
      <c r="T52" s="98">
        <f t="shared" si="34"/>
        <v>8.9689699043022084E-2</v>
      </c>
      <c r="U52" s="98">
        <f t="shared" si="28"/>
        <v>8.5986611641633473E-2</v>
      </c>
      <c r="V52" s="88">
        <v>11778.27408944767</v>
      </c>
      <c r="W52" s="88"/>
      <c r="X52" s="98">
        <f t="shared" si="35"/>
        <v>8.5834966400289092E-2</v>
      </c>
      <c r="Y52" s="98">
        <f t="shared" si="32"/>
        <v>8.4768106468276899E-2</v>
      </c>
      <c r="Z52" s="91">
        <v>41974</v>
      </c>
      <c r="AB52" s="98">
        <f t="shared" si="16"/>
        <v>8.4529965623676456E-2</v>
      </c>
    </row>
    <row r="53" spans="2:28" ht="9.9499999999999993" customHeight="1" x14ac:dyDescent="0.15">
      <c r="B53" s="91">
        <v>42012</v>
      </c>
      <c r="C53" s="88">
        <v>5222.633697634481</v>
      </c>
      <c r="D53" s="88"/>
      <c r="E53" s="98">
        <f t="shared" si="29"/>
        <v>7.7230475831575787E-2</v>
      </c>
      <c r="F53" s="87">
        <v>3093.86</v>
      </c>
      <c r="G53" s="88"/>
      <c r="H53" s="98">
        <f t="shared" si="30"/>
        <v>7.4817662990907335E-2</v>
      </c>
      <c r="I53" s="93"/>
      <c r="J53" s="97">
        <f t="shared" si="15"/>
        <v>26110.604335620708</v>
      </c>
      <c r="K53" s="98"/>
      <c r="L53" s="98"/>
      <c r="M53" s="88">
        <v>7003.9113771054272</v>
      </c>
      <c r="N53" s="88"/>
      <c r="O53" s="98">
        <f t="shared" si="33"/>
        <v>7.3859885656041291E-2</v>
      </c>
      <c r="P53" s="98">
        <f t="shared" si="31"/>
        <v>7.4742669993761696E-2</v>
      </c>
      <c r="Q53" s="88"/>
      <c r="R53" s="88">
        <v>8868.5915081097937</v>
      </c>
      <c r="S53" s="88"/>
      <c r="T53" s="98">
        <f t="shared" si="34"/>
        <v>7.7961527375345424E-2</v>
      </c>
      <c r="U53" s="98">
        <f t="shared" si="28"/>
        <v>7.4742669993761696E-2</v>
      </c>
      <c r="V53" s="88">
        <v>10238.101450405489</v>
      </c>
      <c r="W53" s="88"/>
      <c r="X53" s="98">
        <f t="shared" si="35"/>
        <v>7.4610854470233856E-2</v>
      </c>
      <c r="Y53" s="98">
        <f t="shared" si="32"/>
        <v>7.3683501265989826E-2</v>
      </c>
      <c r="Z53" s="91">
        <v>42005</v>
      </c>
      <c r="AB53" s="98">
        <f t="shared" si="16"/>
        <v>7.5696081264820719E-2</v>
      </c>
    </row>
    <row r="54" spans="2:28" ht="9.9499999999999993" customHeight="1" x14ac:dyDescent="0.15">
      <c r="B54" s="91">
        <v>42039</v>
      </c>
      <c r="C54" s="88">
        <v>4482.7598608583294</v>
      </c>
      <c r="D54" s="88"/>
      <c r="E54" s="98">
        <f t="shared" si="29"/>
        <v>6.6289480966200298E-2</v>
      </c>
      <c r="F54" s="87">
        <v>2539.4899999999998</v>
      </c>
      <c r="G54" s="88"/>
      <c r="H54" s="98">
        <f t="shared" si="30"/>
        <v>6.1411539949700132E-2</v>
      </c>
      <c r="I54" s="93"/>
      <c r="J54" s="97">
        <f t="shared" si="15"/>
        <v>22643.649167426462</v>
      </c>
      <c r="K54" s="98"/>
      <c r="L54" s="98"/>
      <c r="M54" s="88">
        <v>6073.9349416958585</v>
      </c>
      <c r="N54" s="88"/>
      <c r="O54" s="98">
        <f t="shared" si="33"/>
        <v>6.4052800802470375E-2</v>
      </c>
      <c r="P54" s="98">
        <f t="shared" si="31"/>
        <v>6.4818369403522244E-2</v>
      </c>
      <c r="Q54" s="88"/>
      <c r="R54" s="88">
        <v>7691.0236215749319</v>
      </c>
      <c r="S54" s="88"/>
      <c r="T54" s="98">
        <f t="shared" si="34"/>
        <v>6.7609828242685507E-2</v>
      </c>
      <c r="U54" s="98">
        <f t="shared" si="28"/>
        <v>6.4818369403522244E-2</v>
      </c>
      <c r="V54" s="88">
        <v>8878.6906041556704</v>
      </c>
      <c r="W54" s="88"/>
      <c r="X54" s="98">
        <f t="shared" si="35"/>
        <v>6.4704056290305137E-2</v>
      </c>
      <c r="Y54" s="98">
        <f t="shared" si="32"/>
        <v>6.3899836658263015E-2</v>
      </c>
      <c r="Z54" s="91">
        <v>42036</v>
      </c>
      <c r="AB54" s="98">
        <f t="shared" si="16"/>
        <v>6.4813541250272291E-2</v>
      </c>
    </row>
    <row r="55" spans="2:28" ht="9.9499999999999993" customHeight="1" x14ac:dyDescent="0.15">
      <c r="B55" s="91">
        <v>42067</v>
      </c>
      <c r="C55" s="88">
        <v>5474.268621063844</v>
      </c>
      <c r="D55" s="97">
        <f>SUM(C44:C55)</f>
        <v>67624.134095735135</v>
      </c>
      <c r="E55" s="98">
        <f t="shared" si="29"/>
        <v>8.0951564844786522E-2</v>
      </c>
      <c r="F55" s="87">
        <v>3137.62</v>
      </c>
      <c r="G55" s="97">
        <f>SUM(F44:F55)</f>
        <v>41352.490000000005</v>
      </c>
      <c r="H55" s="98">
        <f t="shared" si="30"/>
        <v>7.5875894757206422E-2</v>
      </c>
      <c r="I55" s="93"/>
      <c r="J55" s="97">
        <f t="shared" si="15"/>
        <v>28527.729017707181</v>
      </c>
      <c r="K55" s="98"/>
      <c r="L55" s="98"/>
      <c r="M55" s="88">
        <v>7652.2811675224339</v>
      </c>
      <c r="N55" s="97">
        <f>SUM(M44:M55)</f>
        <v>93707</v>
      </c>
      <c r="O55" s="98">
        <f t="shared" si="33"/>
        <v>8.0697282077071233E-2</v>
      </c>
      <c r="P55" s="98">
        <f t="shared" si="31"/>
        <v>8.1661787993665719E-2</v>
      </c>
      <c r="Q55" s="88"/>
      <c r="R55" s="88">
        <v>9689.5794543884058</v>
      </c>
      <c r="S55" s="97">
        <f>SUM(R44:R55)</f>
        <v>118654.99999999999</v>
      </c>
      <c r="T55" s="98">
        <f t="shared" si="34"/>
        <v>8.5178623144171781E-2</v>
      </c>
      <c r="U55" s="98">
        <f t="shared" si="28"/>
        <v>8.1661787993665719E-2</v>
      </c>
      <c r="V55" s="88">
        <v>11185.868395796344</v>
      </c>
      <c r="W55" s="97">
        <f>SUM(V44:V55)</f>
        <v>136977.99999999997</v>
      </c>
      <c r="X55" s="98">
        <f t="shared" si="35"/>
        <v>8.1517769973738108E-2</v>
      </c>
      <c r="Y55" s="98">
        <f t="shared" si="32"/>
        <v>8.0504569337922688E-2</v>
      </c>
      <c r="Z55" s="91">
        <v>42064</v>
      </c>
      <c r="AB55" s="98">
        <f t="shared" si="16"/>
        <v>8.0844226959394819E-2</v>
      </c>
    </row>
    <row r="56" spans="2:28" ht="9.9499999999999993" customHeight="1" x14ac:dyDescent="0.15">
      <c r="B56" s="91">
        <v>42095</v>
      </c>
      <c r="C56" s="88">
        <v>4911.22</v>
      </c>
      <c r="D56" s="88"/>
      <c r="E56" s="98">
        <f>C56/59766</f>
        <v>8.2174145835424831E-2</v>
      </c>
      <c r="F56" s="88">
        <v>3213.16</v>
      </c>
      <c r="G56" s="88"/>
      <c r="H56" s="98">
        <f>F56/40618</f>
        <v>7.9106799940912895E-2</v>
      </c>
      <c r="I56" s="93"/>
      <c r="J56" s="97">
        <f t="shared" si="15"/>
        <v>28392.12467885841</v>
      </c>
      <c r="K56" s="98"/>
      <c r="L56" s="98"/>
      <c r="M56" s="88">
        <v>8009.8359520671502</v>
      </c>
      <c r="N56" s="88"/>
      <c r="O56" s="98">
        <f t="shared" si="33"/>
        <v>8.4467883114167377E-2</v>
      </c>
      <c r="P56" s="98">
        <f>M56/97285</f>
        <v>8.2333720019192577E-2</v>
      </c>
      <c r="Q56" s="88"/>
      <c r="R56" s="88">
        <v>8939.3013173638155</v>
      </c>
      <c r="S56" s="88"/>
      <c r="T56" s="98">
        <f t="shared" si="34"/>
        <v>7.8583119284818523E-2</v>
      </c>
      <c r="U56" s="98">
        <f>R56/108574</f>
        <v>8.2333720019192577E-2</v>
      </c>
      <c r="V56" s="88">
        <v>11442.987409427442</v>
      </c>
      <c r="W56" s="88"/>
      <c r="X56" s="98">
        <f t="shared" si="35"/>
        <v>8.339154211796708E-2</v>
      </c>
      <c r="Y56" s="98">
        <f>V56/138983</f>
        <v>8.2333720019192577E-2</v>
      </c>
      <c r="Z56" s="91">
        <v>42095</v>
      </c>
      <c r="AB56" s="98">
        <f t="shared" si="16"/>
        <v>8.1544698058658133E-2</v>
      </c>
    </row>
    <row r="57" spans="2:28" ht="9.9499999999999993" customHeight="1" x14ac:dyDescent="0.15">
      <c r="B57" s="91">
        <v>42131</v>
      </c>
      <c r="C57" s="88">
        <v>5017.6899999999996</v>
      </c>
      <c r="D57" s="88"/>
      <c r="E57" s="98">
        <f t="shared" ref="E57:E67" si="36">C57/59766</f>
        <v>8.3955593481243512E-2</v>
      </c>
      <c r="F57" s="87">
        <v>3508.9</v>
      </c>
      <c r="G57" s="88"/>
      <c r="H57" s="98">
        <f t="shared" ref="H57:H67" si="37">F57/40618</f>
        <v>8.6387808360825255E-2</v>
      </c>
      <c r="I57" s="93"/>
      <c r="J57" s="97">
        <f t="shared" ref="J57:J88" si="38">V57+R57+M57</f>
        <v>28901.071735288224</v>
      </c>
      <c r="K57" s="98"/>
      <c r="L57" s="98"/>
      <c r="M57" s="88">
        <v>8153.4174020783857</v>
      </c>
      <c r="N57" s="88"/>
      <c r="O57" s="98">
        <f t="shared" si="33"/>
        <v>8.5982024128975779E-2</v>
      </c>
      <c r="P57" s="98">
        <f t="shared" ref="P57:P67" si="39">M57/97285</f>
        <v>8.3809604790855585E-2</v>
      </c>
      <c r="Q57" s="88"/>
      <c r="R57" s="88">
        <v>9099.5440305623542</v>
      </c>
      <c r="S57" s="88"/>
      <c r="T57" s="98">
        <f t="shared" si="34"/>
        <v>7.9991772131248945E-2</v>
      </c>
      <c r="U57" s="98">
        <f t="shared" ref="U57:U67" si="40">R57/108574</f>
        <v>8.3809604790855585E-2</v>
      </c>
      <c r="V57" s="88">
        <v>11648.110302647483</v>
      </c>
      <c r="W57" s="88"/>
      <c r="X57" s="98">
        <f t="shared" si="35"/>
        <v>8.4886389029642059E-2</v>
      </c>
      <c r="Y57" s="98">
        <f t="shared" ref="Y57:Y67" si="41">V57/138983</f>
        <v>8.3809604790855599E-2</v>
      </c>
      <c r="Z57" s="91">
        <v>42125</v>
      </c>
      <c r="AB57" s="98">
        <f t="shared" ref="AB57:AB88" si="42">AVERAGE(E57,O57,T57,X57,H57)</f>
        <v>8.4240717426387113E-2</v>
      </c>
    </row>
    <row r="58" spans="2:28" ht="9.9499999999999993" customHeight="1" x14ac:dyDescent="0.15">
      <c r="B58" s="91">
        <v>42158</v>
      </c>
      <c r="C58" s="88">
        <v>5245.7</v>
      </c>
      <c r="D58" s="88"/>
      <c r="E58" s="98">
        <f t="shared" si="36"/>
        <v>8.777063882474985E-2</v>
      </c>
      <c r="F58" s="87">
        <v>3648.39</v>
      </c>
      <c r="G58" s="88"/>
      <c r="H58" s="98">
        <f t="shared" si="37"/>
        <v>8.9822000098478502E-2</v>
      </c>
      <c r="I58" s="93"/>
      <c r="J58" s="97">
        <f t="shared" si="38"/>
        <v>29590.139972182911</v>
      </c>
      <c r="K58" s="98"/>
      <c r="L58" s="98"/>
      <c r="M58" s="88">
        <v>8347.8136862499778</v>
      </c>
      <c r="N58" s="88"/>
      <c r="O58" s="98">
        <f t="shared" si="33"/>
        <v>8.8032033980300739E-2</v>
      </c>
      <c r="P58" s="98">
        <f t="shared" si="39"/>
        <v>8.5807819152489875E-2</v>
      </c>
      <c r="Q58" s="88"/>
      <c r="R58" s="88">
        <v>9316.4981566624356</v>
      </c>
      <c r="S58" s="88"/>
      <c r="T58" s="98">
        <f t="shared" si="34"/>
        <v>8.1898960552959282E-2</v>
      </c>
      <c r="U58" s="98">
        <f t="shared" si="40"/>
        <v>8.5807819152489875E-2</v>
      </c>
      <c r="V58" s="88">
        <v>11925.8281292705</v>
      </c>
      <c r="W58" s="88"/>
      <c r="X58" s="98">
        <f t="shared" si="35"/>
        <v>8.6910276412115572E-2</v>
      </c>
      <c r="Y58" s="98">
        <f t="shared" si="41"/>
        <v>8.5807819152489875E-2</v>
      </c>
      <c r="Z58" s="91">
        <v>42156</v>
      </c>
      <c r="AB58" s="98">
        <f t="shared" si="42"/>
        <v>8.6886781973720795E-2</v>
      </c>
    </row>
    <row r="59" spans="2:28" ht="9.9499999999999993" customHeight="1" x14ac:dyDescent="0.15">
      <c r="B59" s="91">
        <v>42193</v>
      </c>
      <c r="C59" s="88">
        <v>5444.63</v>
      </c>
      <c r="D59" s="88"/>
      <c r="E59" s="98">
        <f t="shared" si="36"/>
        <v>9.1099119900947031E-2</v>
      </c>
      <c r="F59" s="87">
        <v>3828.38</v>
      </c>
      <c r="G59" s="88"/>
      <c r="H59" s="98">
        <f t="shared" si="37"/>
        <v>9.4253286720173329E-2</v>
      </c>
      <c r="I59" s="93"/>
      <c r="J59" s="97">
        <f t="shared" si="38"/>
        <v>31701.327761817705</v>
      </c>
      <c r="K59" s="98"/>
      <c r="L59" s="98"/>
      <c r="M59" s="88">
        <v>8943.4108122225116</v>
      </c>
      <c r="N59" s="88"/>
      <c r="O59" s="98">
        <f t="shared" si="33"/>
        <v>9.4312915226913346E-2</v>
      </c>
      <c r="P59" s="98">
        <f t="shared" si="39"/>
        <v>9.1930007834943844E-2</v>
      </c>
      <c r="Q59" s="88"/>
      <c r="R59" s="88">
        <v>9981.2086706711943</v>
      </c>
      <c r="S59" s="88"/>
      <c r="T59" s="98">
        <f t="shared" si="34"/>
        <v>8.7742261249263293E-2</v>
      </c>
      <c r="U59" s="98">
        <f t="shared" si="40"/>
        <v>9.1930007834943858E-2</v>
      </c>
      <c r="V59" s="88">
        <v>12776.708278924001</v>
      </c>
      <c r="W59" s="88"/>
      <c r="X59" s="98">
        <f t="shared" si="35"/>
        <v>9.3111122860545126E-2</v>
      </c>
      <c r="Y59" s="98">
        <f t="shared" si="41"/>
        <v>9.1930007834943844E-2</v>
      </c>
      <c r="Z59" s="91">
        <v>42186</v>
      </c>
      <c r="AB59" s="98">
        <f t="shared" si="42"/>
        <v>9.2103741191568417E-2</v>
      </c>
    </row>
    <row r="60" spans="2:28" ht="9.9499999999999993" customHeight="1" x14ac:dyDescent="0.15">
      <c r="B60" s="91">
        <v>42221</v>
      </c>
      <c r="C60" s="88">
        <v>5507.05</v>
      </c>
      <c r="D60" s="88"/>
      <c r="E60" s="98">
        <f t="shared" si="36"/>
        <v>9.2143526419703511E-2</v>
      </c>
      <c r="F60" s="88">
        <v>3788.74</v>
      </c>
      <c r="G60" s="88"/>
      <c r="H60" s="98">
        <f t="shared" si="37"/>
        <v>9.3277364715150912E-2</v>
      </c>
      <c r="I60" s="93"/>
      <c r="J60" s="97">
        <f t="shared" si="38"/>
        <v>30488.651442176291</v>
      </c>
      <c r="K60" s="98"/>
      <c r="L60" s="98"/>
      <c r="M60" s="88">
        <v>8601.2969868870987</v>
      </c>
      <c r="N60" s="97">
        <f>SUM(M49:M60)</f>
        <v>94826.667963575397</v>
      </c>
      <c r="O60" s="98">
        <f t="shared" si="33"/>
        <v>9.0705147129900757E-2</v>
      </c>
      <c r="P60" s="98">
        <f t="shared" si="39"/>
        <v>8.8413393502462856E-2</v>
      </c>
      <c r="Q60" s="88"/>
      <c r="R60" s="88">
        <v>9599.3957861364015</v>
      </c>
      <c r="S60" s="97">
        <f>SUM(R49:R60)</f>
        <v>113756.25299342749</v>
      </c>
      <c r="T60" s="98">
        <f t="shared" si="34"/>
        <v>8.4385841504064849E-2</v>
      </c>
      <c r="U60" s="98">
        <f t="shared" si="40"/>
        <v>8.8413393502462856E-2</v>
      </c>
      <c r="V60" s="88">
        <v>12287.958669152793</v>
      </c>
      <c r="W60" s="97">
        <f>SUM(V49:V60)</f>
        <v>137220.455396793</v>
      </c>
      <c r="X60" s="98">
        <f t="shared" si="35"/>
        <v>8.9549327132726952E-2</v>
      </c>
      <c r="Y60" s="98">
        <f t="shared" si="41"/>
        <v>8.8413393502462842E-2</v>
      </c>
      <c r="Z60" s="91">
        <v>42217</v>
      </c>
      <c r="AB60" s="98">
        <f t="shared" si="42"/>
        <v>9.0012241380309402E-2</v>
      </c>
    </row>
    <row r="61" spans="2:28" ht="9.9499999999999993" customHeight="1" x14ac:dyDescent="0.15">
      <c r="B61" s="91">
        <v>42249</v>
      </c>
      <c r="C61" s="88">
        <v>5124.37</v>
      </c>
      <c r="D61" s="88"/>
      <c r="E61" s="98">
        <f t="shared" si="36"/>
        <v>8.5740554830505633E-2</v>
      </c>
      <c r="F61" s="88">
        <v>3700.23</v>
      </c>
      <c r="G61" s="88"/>
      <c r="H61" s="98">
        <f t="shared" si="37"/>
        <v>9.1098281550051702E-2</v>
      </c>
      <c r="I61" s="93"/>
      <c r="J61" s="97">
        <f t="shared" si="38"/>
        <v>30795.485778665876</v>
      </c>
      <c r="K61" s="98"/>
      <c r="L61" s="98"/>
      <c r="M61" s="88">
        <v>8687.8594660090985</v>
      </c>
      <c r="N61" s="88"/>
      <c r="O61" s="98">
        <f>M61/96639</f>
        <v>8.9900138308644531E-2</v>
      </c>
      <c r="P61" s="98">
        <f t="shared" si="39"/>
        <v>8.9303175885379019E-2</v>
      </c>
      <c r="Q61" s="88"/>
      <c r="R61" s="88">
        <v>9696.003018579142</v>
      </c>
      <c r="S61" s="88"/>
      <c r="T61" s="98">
        <f>R61/104930</f>
        <v>9.2404488883819136E-2</v>
      </c>
      <c r="U61" s="98">
        <f t="shared" si="40"/>
        <v>8.9303175885379019E-2</v>
      </c>
      <c r="V61" s="88">
        <v>12411.623294077634</v>
      </c>
      <c r="W61" s="88"/>
      <c r="X61" s="98">
        <f>V61/143795</f>
        <v>8.6314707007042205E-2</v>
      </c>
      <c r="Y61" s="98">
        <f t="shared" si="41"/>
        <v>8.9303175885379033E-2</v>
      </c>
      <c r="Z61" s="91">
        <v>42248</v>
      </c>
      <c r="AB61" s="98">
        <f t="shared" si="42"/>
        <v>8.9091634116012647E-2</v>
      </c>
    </row>
    <row r="62" spans="2:28" ht="9.9499999999999993" customHeight="1" x14ac:dyDescent="0.15">
      <c r="B62" s="91">
        <v>42284</v>
      </c>
      <c r="C62" s="88">
        <v>5005.3</v>
      </c>
      <c r="D62" s="88"/>
      <c r="E62" s="98">
        <f t="shared" si="36"/>
        <v>8.3748284978081192E-2</v>
      </c>
      <c r="F62" s="87">
        <v>3571.69</v>
      </c>
      <c r="G62" s="88"/>
      <c r="H62" s="98">
        <f t="shared" si="37"/>
        <v>8.7933674725491157E-2</v>
      </c>
      <c r="I62" s="93"/>
      <c r="J62" s="97">
        <f t="shared" si="38"/>
        <v>29538.826380073733</v>
      </c>
      <c r="K62" s="98"/>
      <c r="L62" s="98"/>
      <c r="M62" s="88">
        <v>8333.3373672159232</v>
      </c>
      <c r="N62" s="88"/>
      <c r="O62" s="98">
        <f t="shared" ref="O62:O72" si="43">M62/96639</f>
        <v>8.6231618365421037E-2</v>
      </c>
      <c r="P62" s="98">
        <f t="shared" si="39"/>
        <v>8.5659015955346904E-2</v>
      </c>
      <c r="Q62" s="88"/>
      <c r="R62" s="88">
        <v>9300.3419983358344</v>
      </c>
      <c r="S62" s="88"/>
      <c r="T62" s="98">
        <f t="shared" ref="T62:T72" si="44">R62/104930</f>
        <v>8.8633774881690983E-2</v>
      </c>
      <c r="U62" s="98">
        <f t="shared" si="40"/>
        <v>8.5659015955346904E-2</v>
      </c>
      <c r="V62" s="88">
        <v>11905.147014521977</v>
      </c>
      <c r="W62" s="88"/>
      <c r="X62" s="98">
        <f t="shared" ref="X62:X72" si="45">V62/143795</f>
        <v>8.2792496363030543E-2</v>
      </c>
      <c r="Y62" s="98">
        <f t="shared" si="41"/>
        <v>8.565901595534689E-2</v>
      </c>
      <c r="Z62" s="91">
        <v>42278</v>
      </c>
      <c r="AB62" s="98">
        <f t="shared" si="42"/>
        <v>8.586796986274299E-2</v>
      </c>
    </row>
    <row r="63" spans="2:28" ht="9.9499999999999993" customHeight="1" x14ac:dyDescent="0.15">
      <c r="B63" s="91">
        <v>42312</v>
      </c>
      <c r="C63" s="88">
        <v>4810.2299999999996</v>
      </c>
      <c r="D63" s="88"/>
      <c r="E63" s="98">
        <f t="shared" si="36"/>
        <v>8.0484389117558466E-2</v>
      </c>
      <c r="F63" s="88">
        <v>3233.36</v>
      </c>
      <c r="G63" s="88"/>
      <c r="H63" s="98">
        <f t="shared" si="37"/>
        <v>7.9604116401595357E-2</v>
      </c>
      <c r="I63" s="93"/>
      <c r="J63" s="97">
        <f t="shared" si="38"/>
        <v>27977.427077322998</v>
      </c>
      <c r="K63" s="98"/>
      <c r="L63" s="98"/>
      <c r="M63" s="88">
        <v>7892.8436594654013</v>
      </c>
      <c r="N63" s="88"/>
      <c r="O63" s="98">
        <f t="shared" si="43"/>
        <v>8.167348233596583E-2</v>
      </c>
      <c r="P63" s="98">
        <f t="shared" si="39"/>
        <v>8.1131147242281973E-2</v>
      </c>
      <c r="Q63" s="88"/>
      <c r="R63" s="88">
        <v>8808.7331806835227</v>
      </c>
      <c r="S63" s="88"/>
      <c r="T63" s="98">
        <f t="shared" si="44"/>
        <v>8.394866273404672E-2</v>
      </c>
      <c r="U63" s="98">
        <f t="shared" si="40"/>
        <v>8.1131147242281973E-2</v>
      </c>
      <c r="V63" s="88">
        <v>11275.850237174076</v>
      </c>
      <c r="W63" s="88"/>
      <c r="X63" s="98">
        <f t="shared" si="45"/>
        <v>7.8416149637846072E-2</v>
      </c>
      <c r="Y63" s="98">
        <f t="shared" si="41"/>
        <v>8.1131147242281973E-2</v>
      </c>
      <c r="Z63" s="91">
        <v>42309</v>
      </c>
      <c r="AB63" s="98">
        <f t="shared" si="42"/>
        <v>8.0825360045402486E-2</v>
      </c>
    </row>
    <row r="64" spans="2:28" ht="9.9499999999999993" customHeight="1" x14ac:dyDescent="0.15">
      <c r="B64" s="91">
        <v>42340</v>
      </c>
      <c r="C64" s="88">
        <v>5090.9399999999996</v>
      </c>
      <c r="D64" s="88"/>
      <c r="E64" s="98">
        <f t="shared" si="36"/>
        <v>8.5181206706153992E-2</v>
      </c>
      <c r="F64" s="88">
        <v>3359.44</v>
      </c>
      <c r="G64" s="88"/>
      <c r="H64" s="98">
        <f t="shared" si="37"/>
        <v>8.2708158944310411E-2</v>
      </c>
      <c r="I64" s="93"/>
      <c r="J64" s="97">
        <f t="shared" si="38"/>
        <v>30357.749421489611</v>
      </c>
      <c r="K64" s="98"/>
      <c r="L64" s="98"/>
      <c r="M64" s="88">
        <v>8564.3676015961428</v>
      </c>
      <c r="N64" s="88"/>
      <c r="O64" s="98">
        <f t="shared" si="43"/>
        <v>8.8622270528421684E-2</v>
      </c>
      <c r="P64" s="98">
        <f t="shared" si="39"/>
        <v>8.8033793509751171E-2</v>
      </c>
      <c r="Q64" s="88"/>
      <c r="R64" s="88">
        <v>9558.1810965277236</v>
      </c>
      <c r="S64" s="88"/>
      <c r="T64" s="98">
        <f t="shared" si="44"/>
        <v>9.109102350641117E-2</v>
      </c>
      <c r="U64" s="98">
        <f t="shared" si="40"/>
        <v>8.8033793509751171E-2</v>
      </c>
      <c r="V64" s="88">
        <v>12235.200723365746</v>
      </c>
      <c r="W64" s="88"/>
      <c r="X64" s="98">
        <f t="shared" si="45"/>
        <v>8.508780363271147E-2</v>
      </c>
      <c r="Y64" s="98">
        <f t="shared" si="41"/>
        <v>8.8033793509751157E-2</v>
      </c>
      <c r="Z64" s="91">
        <v>42339</v>
      </c>
      <c r="AB64" s="98">
        <f t="shared" si="42"/>
        <v>8.6538092663601754E-2</v>
      </c>
    </row>
    <row r="65" spans="2:28" ht="9.9499999999999993" customHeight="1" x14ac:dyDescent="0.15">
      <c r="B65" s="91">
        <v>42375</v>
      </c>
      <c r="C65" s="88">
        <v>4515.71</v>
      </c>
      <c r="D65" s="88"/>
      <c r="E65" s="98">
        <f t="shared" si="36"/>
        <v>7.5556503697754573E-2</v>
      </c>
      <c r="F65" s="88">
        <v>2915.17</v>
      </c>
      <c r="G65" s="88"/>
      <c r="H65" s="98">
        <f t="shared" si="37"/>
        <v>7.1770397360776006E-2</v>
      </c>
      <c r="I65" s="93"/>
      <c r="J65" s="97">
        <f t="shared" si="38"/>
        <v>24933.169684233537</v>
      </c>
      <c r="K65" s="98"/>
      <c r="L65" s="98"/>
      <c r="M65" s="88">
        <v>7034.0138751389331</v>
      </c>
      <c r="N65" s="88"/>
      <c r="O65" s="98">
        <f t="shared" si="43"/>
        <v>7.2786492773506892E-2</v>
      </c>
      <c r="P65" s="98">
        <f t="shared" si="39"/>
        <v>7.230316981177913E-2</v>
      </c>
      <c r="Q65" s="88"/>
      <c r="R65" s="88">
        <v>7850.2443591441079</v>
      </c>
      <c r="S65" s="88"/>
      <c r="T65" s="98">
        <f t="shared" si="44"/>
        <v>7.4814108063891244E-2</v>
      </c>
      <c r="U65" s="98">
        <f t="shared" si="40"/>
        <v>7.230316981177913E-2</v>
      </c>
      <c r="V65" s="88">
        <v>10048.911449950499</v>
      </c>
      <c r="W65" s="88"/>
      <c r="X65" s="98">
        <f t="shared" si="45"/>
        <v>6.988359435272784E-2</v>
      </c>
      <c r="Y65" s="98">
        <f t="shared" si="41"/>
        <v>7.230316981177913E-2</v>
      </c>
      <c r="Z65" s="91">
        <v>42370</v>
      </c>
      <c r="AB65" s="98">
        <f t="shared" si="42"/>
        <v>7.2962219249731314E-2</v>
      </c>
    </row>
    <row r="66" spans="2:28" ht="9.9499999999999993" customHeight="1" x14ac:dyDescent="0.15">
      <c r="B66" s="91">
        <v>42403</v>
      </c>
      <c r="C66" s="88">
        <v>4193.24</v>
      </c>
      <c r="D66" s="88"/>
      <c r="E66" s="98">
        <f t="shared" si="36"/>
        <v>7.0160961081551385E-2</v>
      </c>
      <c r="F66" s="88">
        <v>2728.16</v>
      </c>
      <c r="G66" s="88"/>
      <c r="H66" s="98">
        <f t="shared" si="37"/>
        <v>6.716628095918066E-2</v>
      </c>
      <c r="I66" s="93"/>
      <c r="J66" s="97">
        <f t="shared" si="38"/>
        <v>23775.995821363278</v>
      </c>
      <c r="K66" s="98"/>
      <c r="L66" s="98"/>
      <c r="M66" s="88">
        <v>6707.5581091668846</v>
      </c>
      <c r="N66" s="88"/>
      <c r="O66" s="98">
        <f t="shared" si="43"/>
        <v>6.9408397325788601E-2</v>
      </c>
      <c r="P66" s="98">
        <f t="shared" si="39"/>
        <v>6.894750587620789E-2</v>
      </c>
      <c r="Q66" s="88"/>
      <c r="R66" s="88">
        <v>7485.9065030033953</v>
      </c>
      <c r="S66" s="88"/>
      <c r="T66" s="98">
        <f t="shared" si="44"/>
        <v>7.1341908920264888E-2</v>
      </c>
      <c r="U66" s="98">
        <f t="shared" si="40"/>
        <v>6.894750587620789E-2</v>
      </c>
      <c r="V66" s="88">
        <v>9582.5312091930009</v>
      </c>
      <c r="W66" s="88"/>
      <c r="X66" s="98">
        <f t="shared" si="45"/>
        <v>6.6640225384700449E-2</v>
      </c>
      <c r="Y66" s="98">
        <f t="shared" si="41"/>
        <v>6.894750587620789E-2</v>
      </c>
      <c r="Z66" s="91">
        <v>42401</v>
      </c>
      <c r="AB66" s="98">
        <f t="shared" si="42"/>
        <v>6.8943554734297183E-2</v>
      </c>
    </row>
    <row r="67" spans="2:28" ht="9.9499999999999993" customHeight="1" x14ac:dyDescent="0.15">
      <c r="B67" s="91">
        <v>42431</v>
      </c>
      <c r="C67" s="88">
        <v>4900.29</v>
      </c>
      <c r="D67" s="97">
        <f>SUM(C56:C67)</f>
        <v>59766.37</v>
      </c>
      <c r="E67" s="98">
        <f t="shared" si="36"/>
        <v>8.1991265937154903E-2</v>
      </c>
      <c r="F67" s="88">
        <v>3122.56</v>
      </c>
      <c r="G67" s="97">
        <f>SUM(F56:F67)</f>
        <v>40618.179999999993</v>
      </c>
      <c r="H67" s="98">
        <f t="shared" si="37"/>
        <v>7.6876261755871783E-2</v>
      </c>
      <c r="I67" s="93"/>
      <c r="J67" s="97">
        <f t="shared" si="38"/>
        <v>28390.030246527422</v>
      </c>
      <c r="K67" s="98"/>
      <c r="L67" s="98"/>
      <c r="M67" s="88">
        <v>8009.2450819024943</v>
      </c>
      <c r="N67" s="97">
        <f>SUM(M56:M67)</f>
        <v>97285</v>
      </c>
      <c r="O67" s="98">
        <f t="shared" si="43"/>
        <v>8.2877979717324204E-2</v>
      </c>
      <c r="P67" s="98">
        <f t="shared" si="39"/>
        <v>8.2327646419309189E-2</v>
      </c>
      <c r="Q67" s="88"/>
      <c r="R67" s="88">
        <v>8938.6418823300755</v>
      </c>
      <c r="S67" s="97">
        <f>SUM(R56:R67)</f>
        <v>108574.00000000001</v>
      </c>
      <c r="T67" s="98">
        <f t="shared" si="44"/>
        <v>8.5186713831412131E-2</v>
      </c>
      <c r="U67" s="98">
        <f t="shared" si="40"/>
        <v>8.2327646419309189E-2</v>
      </c>
      <c r="V67" s="88">
        <v>11442.143282294848</v>
      </c>
      <c r="W67" s="97">
        <f>SUM(V56:V67)</f>
        <v>138983</v>
      </c>
      <c r="X67" s="98">
        <f t="shared" si="45"/>
        <v>7.9572608799296549E-2</v>
      </c>
      <c r="Y67" s="98">
        <f t="shared" si="41"/>
        <v>8.2327646419309189E-2</v>
      </c>
      <c r="Z67" s="91">
        <v>42430</v>
      </c>
      <c r="AB67" s="98">
        <f t="shared" si="42"/>
        <v>8.1300966008211906E-2</v>
      </c>
    </row>
    <row r="68" spans="2:28" ht="9.9499999999999993" customHeight="1" x14ac:dyDescent="0.15">
      <c r="B68" s="91">
        <v>42461</v>
      </c>
      <c r="C68" s="88">
        <v>4802.12</v>
      </c>
      <c r="D68" s="88"/>
      <c r="E68" s="98">
        <f>C68/59719</f>
        <v>8.0411929201761587E-2</v>
      </c>
      <c r="F68" s="88">
        <v>3162.5</v>
      </c>
      <c r="G68" s="88"/>
      <c r="H68" s="98">
        <f>F68/40432</f>
        <v>7.8217748318163832E-2</v>
      </c>
      <c r="I68" s="93"/>
      <c r="J68" s="97">
        <f t="shared" si="38"/>
        <v>27232.268472520966</v>
      </c>
      <c r="K68" s="98"/>
      <c r="L68" s="98"/>
      <c r="M68" s="88">
        <v>7538.2372178224805</v>
      </c>
      <c r="N68" s="88"/>
      <c r="O68" s="98">
        <f t="shared" si="43"/>
        <v>7.8004089630713078E-2</v>
      </c>
      <c r="P68" s="98">
        <f>M68/94588</f>
        <v>7.9695492217009348E-2</v>
      </c>
      <c r="Q68" s="88"/>
      <c r="R68" s="88">
        <v>7880.8481388634045</v>
      </c>
      <c r="S68" s="88"/>
      <c r="T68" s="98">
        <f t="shared" si="44"/>
        <v>7.5105767071985172E-2</v>
      </c>
      <c r="U68" s="98">
        <f>R68/98887</f>
        <v>7.9695492217009362E-2</v>
      </c>
      <c r="V68" s="88">
        <v>11813.18311583508</v>
      </c>
      <c r="W68" s="88"/>
      <c r="X68" s="98">
        <f t="shared" si="45"/>
        <v>8.2152947709135088E-2</v>
      </c>
      <c r="Y68" s="98">
        <f>V68/148229</f>
        <v>7.9695492217009362E-2</v>
      </c>
      <c r="Z68" s="91">
        <v>42461</v>
      </c>
      <c r="AB68" s="98">
        <f t="shared" si="42"/>
        <v>7.8778496386351746E-2</v>
      </c>
    </row>
    <row r="69" spans="2:28" ht="9.9499999999999993" customHeight="1" x14ac:dyDescent="0.15">
      <c r="B69" s="91">
        <v>42492</v>
      </c>
      <c r="C69" s="88">
        <v>5502.55</v>
      </c>
      <c r="D69" s="88"/>
      <c r="E69" s="98">
        <f t="shared" ref="E69:E79" si="46">C69/59719</f>
        <v>9.2140692242000041E-2</v>
      </c>
      <c r="F69" s="88">
        <v>3654.06</v>
      </c>
      <c r="G69" s="88"/>
      <c r="H69" s="98">
        <f t="shared" ref="H69:H79" si="47">F69/40432</f>
        <v>9.0375445191927181E-2</v>
      </c>
      <c r="I69" s="93"/>
      <c r="J69" s="97">
        <f t="shared" si="38"/>
        <v>30036.962507249089</v>
      </c>
      <c r="K69" s="98"/>
      <c r="L69" s="98"/>
      <c r="M69" s="88">
        <v>8314.6120901004288</v>
      </c>
      <c r="N69" s="88"/>
      <c r="O69" s="98">
        <f t="shared" si="43"/>
        <v>8.6037853145214963E-2</v>
      </c>
      <c r="P69" s="98">
        <f t="shared" ref="P69:P79" si="48">M69/94588</f>
        <v>8.7903455936275521E-2</v>
      </c>
      <c r="Q69" s="88"/>
      <c r="R69" s="88">
        <v>8692.5090471704771</v>
      </c>
      <c r="S69" s="88"/>
      <c r="T69" s="98">
        <f t="shared" si="44"/>
        <v>8.2841027801110051E-2</v>
      </c>
      <c r="U69" s="98">
        <f t="shared" ref="U69:U79" si="49">R69/98887</f>
        <v>8.7903455936275521E-2</v>
      </c>
      <c r="V69" s="88">
        <v>13029.841369978183</v>
      </c>
      <c r="W69" s="88"/>
      <c r="X69" s="98">
        <f t="shared" si="45"/>
        <v>9.0614008623235737E-2</v>
      </c>
      <c r="Y69" s="98">
        <f t="shared" ref="Y69:Y79" si="50">V69/148229</f>
        <v>8.7903455936275507E-2</v>
      </c>
      <c r="Z69" s="91">
        <v>42491</v>
      </c>
      <c r="AB69" s="98">
        <f t="shared" si="42"/>
        <v>8.84018054006976E-2</v>
      </c>
    </row>
    <row r="70" spans="2:28" ht="9.9499999999999993" customHeight="1" x14ac:dyDescent="0.15">
      <c r="B70" s="91">
        <v>42522</v>
      </c>
      <c r="C70" s="88">
        <v>4991.43</v>
      </c>
      <c r="D70" s="88"/>
      <c r="E70" s="98">
        <f t="shared" si="46"/>
        <v>8.3581942095480505E-2</v>
      </c>
      <c r="F70" s="88">
        <v>3658.47</v>
      </c>
      <c r="G70" s="88"/>
      <c r="H70" s="98">
        <f t="shared" si="47"/>
        <v>9.0484517214087845E-2</v>
      </c>
      <c r="I70" s="93"/>
      <c r="J70" s="97">
        <f t="shared" si="38"/>
        <v>29714.029511848621</v>
      </c>
      <c r="K70" s="98"/>
      <c r="L70" s="98"/>
      <c r="M70" s="88">
        <v>8225.2201421895479</v>
      </c>
      <c r="N70" s="88"/>
      <c r="O70" s="98">
        <f t="shared" si="43"/>
        <v>8.5112844112517183E-2</v>
      </c>
      <c r="P70" s="98">
        <f t="shared" si="48"/>
        <v>8.6958389459440399E-2</v>
      </c>
      <c r="Q70" s="88"/>
      <c r="R70" s="88">
        <v>8599.0542584756822</v>
      </c>
      <c r="S70" s="88"/>
      <c r="T70" s="98">
        <f t="shared" si="44"/>
        <v>8.1950388434915492E-2</v>
      </c>
      <c r="U70" s="98">
        <f t="shared" si="49"/>
        <v>8.6958389459440399E-2</v>
      </c>
      <c r="V70" s="88">
        <v>12889.755111183389</v>
      </c>
      <c r="W70" s="88"/>
      <c r="X70" s="98">
        <f t="shared" si="45"/>
        <v>8.9639800488079485E-2</v>
      </c>
      <c r="Y70" s="98">
        <f t="shared" si="50"/>
        <v>8.6958389459440386E-2</v>
      </c>
      <c r="Z70" s="91">
        <v>42522</v>
      </c>
      <c r="AB70" s="98">
        <f t="shared" si="42"/>
        <v>8.6153898469016096E-2</v>
      </c>
    </row>
    <row r="71" spans="2:28" ht="9.9499999999999993" customHeight="1" x14ac:dyDescent="0.15">
      <c r="B71" s="91">
        <v>42552</v>
      </c>
      <c r="C71" s="88">
        <v>5226.55</v>
      </c>
      <c r="D71" s="88"/>
      <c r="E71" s="98">
        <f t="shared" si="46"/>
        <v>8.75190475393091E-2</v>
      </c>
      <c r="F71" s="88">
        <v>3848.64</v>
      </c>
      <c r="G71" s="88"/>
      <c r="H71" s="98">
        <f t="shared" si="47"/>
        <v>9.518796992481203E-2</v>
      </c>
      <c r="I71" s="93"/>
      <c r="J71" s="97">
        <f t="shared" si="38"/>
        <v>30565.398317904408</v>
      </c>
      <c r="K71" s="98"/>
      <c r="L71" s="98"/>
      <c r="M71" s="88">
        <v>8460.889823045507</v>
      </c>
      <c r="N71" s="88"/>
      <c r="O71" s="98">
        <f t="shared" si="43"/>
        <v>8.7551504289629517E-2</v>
      </c>
      <c r="P71" s="98">
        <f t="shared" si="48"/>
        <v>8.944992835291482E-2</v>
      </c>
      <c r="Q71" s="88"/>
      <c r="R71" s="88">
        <v>8845.4350650346878</v>
      </c>
      <c r="S71" s="88"/>
      <c r="T71" s="98">
        <f t="shared" si="44"/>
        <v>8.4298437673064788E-2</v>
      </c>
      <c r="U71" s="98">
        <f t="shared" si="49"/>
        <v>8.944992835291482E-2</v>
      </c>
      <c r="V71" s="88">
        <v>13259.073429824211</v>
      </c>
      <c r="W71" s="88"/>
      <c r="X71" s="98">
        <f t="shared" si="45"/>
        <v>9.2208167389855086E-2</v>
      </c>
      <c r="Y71" s="98">
        <f t="shared" si="50"/>
        <v>8.944992835291482E-2</v>
      </c>
      <c r="Z71" s="91">
        <v>42552</v>
      </c>
      <c r="AB71" s="98">
        <f t="shared" si="42"/>
        <v>8.9353025363334102E-2</v>
      </c>
    </row>
    <row r="72" spans="2:28" ht="9.9499999999999993" customHeight="1" x14ac:dyDescent="0.15">
      <c r="B72" s="91">
        <v>42585</v>
      </c>
      <c r="C72" s="88">
        <v>5805.25</v>
      </c>
      <c r="D72" s="88"/>
      <c r="E72" s="98">
        <f t="shared" si="46"/>
        <v>9.7209430834407806E-2</v>
      </c>
      <c r="F72" s="88">
        <v>3988.3</v>
      </c>
      <c r="G72" s="88"/>
      <c r="H72" s="98">
        <f t="shared" si="47"/>
        <v>9.864216462208153E-2</v>
      </c>
      <c r="I72" s="93"/>
      <c r="J72" s="97">
        <f t="shared" si="38"/>
        <v>32046.905858491638</v>
      </c>
      <c r="K72" s="98"/>
      <c r="L72" s="98"/>
      <c r="M72" s="88">
        <v>8870.9898957665318</v>
      </c>
      <c r="N72" s="97">
        <f>SUM(M61:M72)</f>
        <v>96639.174329419373</v>
      </c>
      <c r="O72" s="98">
        <f t="shared" si="43"/>
        <v>9.1795133390934633E-2</v>
      </c>
      <c r="P72" s="98">
        <f t="shared" si="48"/>
        <v>9.3785574235278599E-2</v>
      </c>
      <c r="Q72" s="88"/>
      <c r="R72" s="88">
        <v>9274.1740794039943</v>
      </c>
      <c r="S72" s="97">
        <f>SUM(R61:R72)</f>
        <v>104930.07262755206</v>
      </c>
      <c r="T72" s="98">
        <f t="shared" si="44"/>
        <v>8.8384390349795047E-2</v>
      </c>
      <c r="U72" s="98">
        <f t="shared" si="49"/>
        <v>9.3785574235278599E-2</v>
      </c>
      <c r="V72" s="88">
        <v>13901.74188332111</v>
      </c>
      <c r="W72" s="97">
        <f>SUM(V61:V72)</f>
        <v>143795.00212071976</v>
      </c>
      <c r="X72" s="98">
        <f t="shared" si="45"/>
        <v>9.6677505360555721E-2</v>
      </c>
      <c r="Y72" s="98">
        <f t="shared" si="50"/>
        <v>9.3785574235278599E-2</v>
      </c>
      <c r="Z72" s="91">
        <v>42583</v>
      </c>
      <c r="AB72" s="98">
        <f t="shared" si="42"/>
        <v>9.454172491155495E-2</v>
      </c>
    </row>
    <row r="73" spans="2:28" ht="9.9499999999999993" customHeight="1" x14ac:dyDescent="0.15">
      <c r="B73" s="91">
        <v>42614</v>
      </c>
      <c r="C73" s="88">
        <v>5310.79</v>
      </c>
      <c r="D73" s="88"/>
      <c r="E73" s="98">
        <f t="shared" si="46"/>
        <v>8.8929653878999981E-2</v>
      </c>
      <c r="F73" s="88">
        <v>3674.49</v>
      </c>
      <c r="G73" s="88"/>
      <c r="H73" s="98">
        <f t="shared" si="47"/>
        <v>9.0880738029283731E-2</v>
      </c>
      <c r="I73" s="93"/>
      <c r="J73" s="97">
        <f t="shared" si="38"/>
        <v>30283.356188804646</v>
      </c>
      <c r="K73" s="98"/>
      <c r="L73" s="98"/>
      <c r="M73" s="88">
        <v>8382.8169854220432</v>
      </c>
      <c r="N73" s="88"/>
      <c r="O73" s="88"/>
      <c r="P73" s="98">
        <f t="shared" si="48"/>
        <v>8.8624529384510126E-2</v>
      </c>
      <c r="Q73" s="88"/>
      <c r="R73" s="88">
        <v>8763.8138372460526</v>
      </c>
      <c r="S73" s="88"/>
      <c r="T73" s="88"/>
      <c r="U73" s="98">
        <f t="shared" si="49"/>
        <v>8.8624529384510126E-2</v>
      </c>
      <c r="V73" s="88">
        <v>13136.72536613655</v>
      </c>
      <c r="W73" s="88"/>
      <c r="X73" s="88"/>
      <c r="Y73" s="98">
        <f t="shared" si="50"/>
        <v>8.8624529384510112E-2</v>
      </c>
      <c r="Z73" s="91">
        <v>42614</v>
      </c>
      <c r="AB73" s="98">
        <f t="shared" si="42"/>
        <v>8.9905195954141856E-2</v>
      </c>
    </row>
    <row r="74" spans="2:28" ht="9.9499999999999993" customHeight="1" x14ac:dyDescent="0.15">
      <c r="B74" s="91">
        <v>42647</v>
      </c>
      <c r="C74" s="88">
        <v>4948.62</v>
      </c>
      <c r="D74" s="88"/>
      <c r="E74" s="98">
        <f t="shared" si="46"/>
        <v>8.2865084813878331E-2</v>
      </c>
      <c r="F74" s="88">
        <v>3668.54</v>
      </c>
      <c r="G74" s="88"/>
      <c r="H74" s="98">
        <f t="shared" si="47"/>
        <v>9.0733577364463788E-2</v>
      </c>
      <c r="I74" s="93"/>
      <c r="J74" s="97">
        <f t="shared" si="38"/>
        <v>29457.150992780062</v>
      </c>
      <c r="K74" s="98"/>
      <c r="L74" s="98"/>
      <c r="M74" s="88">
        <v>8154.1129108968007</v>
      </c>
      <c r="N74" s="88"/>
      <c r="O74" s="88"/>
      <c r="P74" s="98">
        <f t="shared" si="48"/>
        <v>8.6206632034685163E-2</v>
      </c>
      <c r="Q74" s="88"/>
      <c r="R74" s="88">
        <v>8524.7152220139124</v>
      </c>
      <c r="S74" s="88"/>
      <c r="T74" s="88"/>
      <c r="U74" s="98">
        <f t="shared" si="49"/>
        <v>8.6206632034685163E-2</v>
      </c>
      <c r="V74" s="88">
        <v>12778.322859869348</v>
      </c>
      <c r="W74" s="88"/>
      <c r="X74" s="88"/>
      <c r="Y74" s="98">
        <f t="shared" si="50"/>
        <v>8.6206632034685163E-2</v>
      </c>
      <c r="Z74" s="91">
        <v>42644</v>
      </c>
      <c r="AB74" s="98">
        <f t="shared" si="42"/>
        <v>8.6799331089171067E-2</v>
      </c>
    </row>
    <row r="75" spans="2:28" ht="9.9499999999999993" customHeight="1" x14ac:dyDescent="0.15">
      <c r="B75" s="91">
        <v>42678</v>
      </c>
      <c r="C75" s="88">
        <v>4702.2700000000004</v>
      </c>
      <c r="D75" s="88"/>
      <c r="E75" s="98">
        <f t="shared" si="46"/>
        <v>7.8739932014936634E-2</v>
      </c>
      <c r="F75" s="88">
        <v>3240.38</v>
      </c>
      <c r="G75" s="88"/>
      <c r="H75" s="98">
        <f t="shared" si="47"/>
        <v>8.0143945389790264E-2</v>
      </c>
      <c r="I75" s="93"/>
      <c r="J75" s="97">
        <f t="shared" si="38"/>
        <v>27966.207098431129</v>
      </c>
      <c r="K75" s="98"/>
      <c r="L75" s="98"/>
      <c r="M75" s="88">
        <v>7741.400735801757</v>
      </c>
      <c r="N75" s="88"/>
      <c r="O75" s="88"/>
      <c r="P75" s="98">
        <f t="shared" si="48"/>
        <v>8.1843370573452839E-2</v>
      </c>
      <c r="Q75" s="88"/>
      <c r="R75" s="88">
        <v>8093.2453858970312</v>
      </c>
      <c r="S75" s="88"/>
      <c r="T75" s="88"/>
      <c r="U75" s="98">
        <f t="shared" si="49"/>
        <v>8.1843370573452839E-2</v>
      </c>
      <c r="V75" s="88">
        <v>12131.56097673234</v>
      </c>
      <c r="W75" s="88"/>
      <c r="X75" s="88"/>
      <c r="Y75" s="98">
        <f t="shared" si="50"/>
        <v>8.1843370573452839E-2</v>
      </c>
      <c r="Z75" s="91">
        <v>42675</v>
      </c>
      <c r="AB75" s="98">
        <f t="shared" si="42"/>
        <v>7.9441938702363449E-2</v>
      </c>
    </row>
    <row r="76" spans="2:28" ht="9.9499999999999993" customHeight="1" x14ac:dyDescent="0.15">
      <c r="B76" s="91">
        <v>42705</v>
      </c>
      <c r="C76" s="88">
        <v>5076.05</v>
      </c>
      <c r="D76" s="88"/>
      <c r="E76" s="98">
        <f t="shared" si="46"/>
        <v>8.4998911569182337E-2</v>
      </c>
      <c r="F76" s="88">
        <v>3200.46</v>
      </c>
      <c r="G76" s="88"/>
      <c r="H76" s="98">
        <f t="shared" si="47"/>
        <v>7.915660862683023E-2</v>
      </c>
      <c r="I76" s="93"/>
      <c r="J76" s="97">
        <f t="shared" si="38"/>
        <v>28756.763846911505</v>
      </c>
      <c r="K76" s="98"/>
      <c r="L76" s="98"/>
      <c r="M76" s="88">
        <v>7960.2368680251484</v>
      </c>
      <c r="N76" s="88"/>
      <c r="O76" s="88"/>
      <c r="P76" s="98">
        <f t="shared" si="48"/>
        <v>8.4156942403107671E-2</v>
      </c>
      <c r="Q76" s="88"/>
      <c r="R76" s="88">
        <v>8322.027563416108</v>
      </c>
      <c r="S76" s="88"/>
      <c r="T76" s="88"/>
      <c r="U76" s="98">
        <f t="shared" si="49"/>
        <v>8.4156942403107671E-2</v>
      </c>
      <c r="V76" s="88">
        <v>12474.499415470247</v>
      </c>
      <c r="W76" s="88"/>
      <c r="X76" s="88"/>
      <c r="Y76" s="98">
        <f t="shared" si="50"/>
        <v>8.4156942403107671E-2</v>
      </c>
      <c r="Z76" s="91">
        <v>42705</v>
      </c>
      <c r="AB76" s="98">
        <f t="shared" si="42"/>
        <v>8.2077760098006283E-2</v>
      </c>
    </row>
    <row r="77" spans="2:28" ht="9.9499999999999993" customHeight="1" x14ac:dyDescent="0.15">
      <c r="B77" s="91">
        <v>42741</v>
      </c>
      <c r="C77" s="88">
        <v>4597.87</v>
      </c>
      <c r="D77" s="88"/>
      <c r="E77" s="98">
        <f t="shared" si="46"/>
        <v>7.6991744670875259E-2</v>
      </c>
      <c r="F77" s="88">
        <v>2885.05</v>
      </c>
      <c r="G77" s="88"/>
      <c r="H77" s="98">
        <f t="shared" si="47"/>
        <v>7.1355609418282548E-2</v>
      </c>
      <c r="I77" s="93"/>
      <c r="J77" s="97">
        <f t="shared" si="38"/>
        <v>25351.288622688349</v>
      </c>
      <c r="K77" s="98"/>
      <c r="L77" s="98"/>
      <c r="M77" s="88">
        <v>7017.5581446013075</v>
      </c>
      <c r="N77" s="88"/>
      <c r="O77" s="88"/>
      <c r="P77" s="98">
        <f t="shared" si="48"/>
        <v>7.4190786829209918E-2</v>
      </c>
      <c r="Q77" s="88"/>
      <c r="R77" s="88">
        <v>7336.5043371800812</v>
      </c>
      <c r="S77" s="88"/>
      <c r="T77" s="88"/>
      <c r="U77" s="98">
        <f t="shared" si="49"/>
        <v>7.4190786829209918E-2</v>
      </c>
      <c r="V77" s="88">
        <v>10997.226140906958</v>
      </c>
      <c r="W77" s="88"/>
      <c r="X77" s="88"/>
      <c r="Y77" s="98">
        <f t="shared" si="50"/>
        <v>7.4190786829209918E-2</v>
      </c>
      <c r="Z77" s="91">
        <v>42736</v>
      </c>
      <c r="AB77" s="98">
        <f t="shared" si="42"/>
        <v>7.4173677044578903E-2</v>
      </c>
    </row>
    <row r="78" spans="2:28" ht="9.9499999999999993" customHeight="1" x14ac:dyDescent="0.15">
      <c r="B78" s="91">
        <v>42767</v>
      </c>
      <c r="C78" s="88">
        <v>3936.52</v>
      </c>
      <c r="D78" s="88"/>
      <c r="E78" s="98">
        <f t="shared" si="46"/>
        <v>6.5917379728394648E-2</v>
      </c>
      <c r="F78" s="88">
        <v>2475.5</v>
      </c>
      <c r="G78" s="88"/>
      <c r="H78" s="98">
        <f t="shared" si="47"/>
        <v>6.1226256430550061E-2</v>
      </c>
      <c r="I78" s="93"/>
      <c r="J78" s="97">
        <f t="shared" si="38"/>
        <v>22734.273179442964</v>
      </c>
      <c r="K78" s="98"/>
      <c r="L78" s="98"/>
      <c r="M78" s="88">
        <v>6293.135086206632</v>
      </c>
      <c r="N78" s="88"/>
      <c r="O78" s="88"/>
      <c r="P78" s="98">
        <f t="shared" si="48"/>
        <v>6.6532066289662878E-2</v>
      </c>
      <c r="Q78" s="88"/>
      <c r="R78" s="88">
        <v>6579.1564391858929</v>
      </c>
      <c r="S78" s="88"/>
      <c r="T78" s="88"/>
      <c r="U78" s="98">
        <f t="shared" si="49"/>
        <v>6.6532066289662878E-2</v>
      </c>
      <c r="V78" s="88">
        <v>9861.981654050438</v>
      </c>
      <c r="W78" s="88"/>
      <c r="X78" s="88"/>
      <c r="Y78" s="98">
        <f t="shared" si="50"/>
        <v>6.6532066289662878E-2</v>
      </c>
      <c r="Z78" s="91">
        <v>42767</v>
      </c>
      <c r="AB78" s="98">
        <f t="shared" si="42"/>
        <v>6.3571818079472348E-2</v>
      </c>
    </row>
    <row r="79" spans="2:28" ht="9.9499999999999993" customHeight="1" x14ac:dyDescent="0.15">
      <c r="B79" s="91">
        <v>42797</v>
      </c>
      <c r="C79" s="88">
        <v>4818.8599999999997</v>
      </c>
      <c r="D79" s="97">
        <f>SUM(C68:C79)</f>
        <v>59718.880000000005</v>
      </c>
      <c r="E79" s="98">
        <f t="shared" si="46"/>
        <v>8.0692242000033484E-2</v>
      </c>
      <c r="F79" s="88">
        <v>2975.21</v>
      </c>
      <c r="G79" s="97">
        <f>SUM(F68:F79)</f>
        <v>40431.599999999999</v>
      </c>
      <c r="H79" s="98">
        <f t="shared" si="47"/>
        <v>7.3585526315789476E-2</v>
      </c>
      <c r="I79" s="93"/>
      <c r="J79" s="97">
        <f t="shared" si="38"/>
        <v>27559.395402926639</v>
      </c>
      <c r="K79" s="98"/>
      <c r="L79" s="98"/>
      <c r="M79" s="88">
        <v>7628.7901001218152</v>
      </c>
      <c r="N79" s="97">
        <f>SUM(M68:M79)</f>
        <v>94588</v>
      </c>
      <c r="O79" s="88"/>
      <c r="P79" s="98">
        <f t="shared" si="48"/>
        <v>8.0652832284452733E-2</v>
      </c>
      <c r="Q79" s="88"/>
      <c r="R79" s="88">
        <v>7975.5166261126778</v>
      </c>
      <c r="S79" s="97">
        <f>SUM(R68:R79)</f>
        <v>98887</v>
      </c>
      <c r="T79" s="88"/>
      <c r="U79" s="98">
        <f t="shared" si="49"/>
        <v>8.0652832284452733E-2</v>
      </c>
      <c r="V79" s="88">
        <v>11955.088676692145</v>
      </c>
      <c r="W79" s="97">
        <f>SUM(V68:V79)</f>
        <v>148229</v>
      </c>
      <c r="X79" s="88"/>
      <c r="Y79" s="98">
        <f t="shared" si="50"/>
        <v>8.0652832284452733E-2</v>
      </c>
      <c r="Z79" s="91">
        <v>42795</v>
      </c>
      <c r="AB79" s="98">
        <f t="shared" si="42"/>
        <v>7.713888415791148E-2</v>
      </c>
    </row>
    <row r="80" spans="2:28" ht="9.9499999999999993" customHeight="1" x14ac:dyDescent="0.15">
      <c r="B80" s="91">
        <v>42828</v>
      </c>
      <c r="C80" s="88">
        <v>4574.25</v>
      </c>
      <c r="D80" s="88"/>
      <c r="E80" s="98">
        <f>C80/60216</f>
        <v>7.5964029493822235E-2</v>
      </c>
      <c r="F80" s="88">
        <v>2943.86</v>
      </c>
      <c r="G80" s="88"/>
      <c r="H80" s="98">
        <f>F80/40748</f>
        <v>7.2245508982035925E-2</v>
      </c>
      <c r="I80" s="93"/>
      <c r="J80" s="97">
        <f t="shared" si="38"/>
        <v>24343.564904198178</v>
      </c>
      <c r="K80" s="93"/>
      <c r="L80" s="93"/>
      <c r="M80" s="109">
        <f>88886*AB80</f>
        <v>6586.8765184825643</v>
      </c>
      <c r="N80" s="88"/>
      <c r="O80" s="88"/>
      <c r="P80" s="88"/>
      <c r="Q80" s="88"/>
      <c r="R80" s="109">
        <f>116021*AB80</f>
        <v>8597.7094317537703</v>
      </c>
      <c r="S80" s="88"/>
      <c r="T80" s="88"/>
      <c r="U80" s="88"/>
      <c r="V80" s="109">
        <f>123595*AB80</f>
        <v>9158.978953961845</v>
      </c>
      <c r="W80" s="88"/>
      <c r="X80" s="93"/>
      <c r="Y80" s="93"/>
      <c r="Z80" s="91">
        <v>42826</v>
      </c>
      <c r="AB80" s="98">
        <f t="shared" si="42"/>
        <v>7.410476923792908E-2</v>
      </c>
    </row>
    <row r="81" spans="2:28" ht="9.9499999999999993" customHeight="1" x14ac:dyDescent="0.15">
      <c r="B81" s="91">
        <v>42857</v>
      </c>
      <c r="C81" s="88">
        <v>5535.09</v>
      </c>
      <c r="D81" s="88"/>
      <c r="E81" s="98">
        <f t="shared" ref="E81:E91" si="51">C81/60216</f>
        <v>9.1920585890793147E-2</v>
      </c>
      <c r="F81" s="88">
        <v>3705.96</v>
      </c>
      <c r="G81" s="88"/>
      <c r="H81" s="98">
        <f t="shared" ref="H81:H91" si="52">F81/40748</f>
        <v>9.094826739962697E-2</v>
      </c>
      <c r="I81" s="93"/>
      <c r="J81" s="97">
        <f t="shared" si="38"/>
        <v>30036.392021804797</v>
      </c>
      <c r="K81" s="93"/>
      <c r="L81" s="93"/>
      <c r="M81" s="109">
        <f t="shared" ref="M81:M91" si="53">88886*AB81</f>
        <v>8127.2404467861415</v>
      </c>
      <c r="N81" s="88"/>
      <c r="O81" s="88"/>
      <c r="P81" s="88"/>
      <c r="Q81" s="88"/>
      <c r="R81" s="109">
        <f t="shared" ref="R81:R91" si="54">116021*AB81</f>
        <v>10608.313613803917</v>
      </c>
      <c r="S81" s="88"/>
      <c r="T81" s="88"/>
      <c r="U81" s="88"/>
      <c r="V81" s="109">
        <f t="shared" ref="V81:V91" si="55">123595*AB81</f>
        <v>11300.837961214738</v>
      </c>
      <c r="W81" s="88"/>
      <c r="X81" s="93"/>
      <c r="Y81" s="93"/>
      <c r="Z81" s="91">
        <v>42856</v>
      </c>
      <c r="AB81" s="98">
        <f t="shared" si="42"/>
        <v>9.1434426645210065E-2</v>
      </c>
    </row>
    <row r="82" spans="2:28" ht="9.9499999999999993" customHeight="1" x14ac:dyDescent="0.15">
      <c r="B82" s="91">
        <v>42887</v>
      </c>
      <c r="C82" s="88">
        <v>5442.01</v>
      </c>
      <c r="D82" s="88"/>
      <c r="E82" s="98">
        <f t="shared" si="51"/>
        <v>9.0374817324299195E-2</v>
      </c>
      <c r="F82" s="88">
        <v>3770.52</v>
      </c>
      <c r="G82" s="88"/>
      <c r="H82" s="98">
        <f t="shared" si="52"/>
        <v>9.2532639638755271E-2</v>
      </c>
      <c r="I82" s="93"/>
      <c r="J82" s="97">
        <f t="shared" si="38"/>
        <v>30042.732713638659</v>
      </c>
      <c r="K82" s="93"/>
      <c r="L82" s="93"/>
      <c r="M82" s="109">
        <f t="shared" si="53"/>
        <v>8128.9561098090298</v>
      </c>
      <c r="N82" s="88"/>
      <c r="O82" s="88"/>
      <c r="P82" s="88"/>
      <c r="Q82" s="88"/>
      <c r="R82" s="109">
        <f t="shared" si="54"/>
        <v>10610.553032155271</v>
      </c>
      <c r="S82" s="88"/>
      <c r="T82" s="88"/>
      <c r="U82" s="88"/>
      <c r="V82" s="109">
        <f t="shared" si="55"/>
        <v>11303.223571674358</v>
      </c>
      <c r="W82" s="88"/>
      <c r="X82" s="93"/>
      <c r="Y82" s="93"/>
      <c r="Z82" s="91">
        <v>42887</v>
      </c>
      <c r="AB82" s="98">
        <f t="shared" si="42"/>
        <v>9.1453728481527233E-2</v>
      </c>
    </row>
    <row r="83" spans="2:28" ht="9.9499999999999993" customHeight="1" x14ac:dyDescent="0.15">
      <c r="B83" s="91">
        <v>42919</v>
      </c>
      <c r="C83" s="88">
        <v>5365.97</v>
      </c>
      <c r="D83" s="88"/>
      <c r="E83" s="98">
        <f t="shared" si="51"/>
        <v>8.911203002524247E-2</v>
      </c>
      <c r="F83" s="88">
        <v>3885.4</v>
      </c>
      <c r="G83" s="88"/>
      <c r="H83" s="98">
        <f t="shared" si="52"/>
        <v>9.5351919112594483E-2</v>
      </c>
      <c r="I83" s="93"/>
      <c r="J83" s="97">
        <f t="shared" si="38"/>
        <v>30298.388109838859</v>
      </c>
      <c r="K83" s="93"/>
      <c r="L83" s="93"/>
      <c r="M83" s="109">
        <f t="shared" si="53"/>
        <v>8198.1312915328872</v>
      </c>
      <c r="N83" s="88"/>
      <c r="O83" s="88"/>
      <c r="P83" s="88"/>
      <c r="Q83" s="88"/>
      <c r="R83" s="109">
        <f t="shared" si="54"/>
        <v>10700.84592146049</v>
      </c>
      <c r="S83" s="88"/>
      <c r="T83" s="88"/>
      <c r="U83" s="88"/>
      <c r="V83" s="109">
        <f t="shared" si="55"/>
        <v>11399.410896845478</v>
      </c>
      <c r="W83" s="88"/>
      <c r="X83" s="93"/>
      <c r="Y83" s="93"/>
      <c r="Z83" s="91">
        <v>42917</v>
      </c>
      <c r="AB83" s="98">
        <f t="shared" si="42"/>
        <v>9.2231974568918476E-2</v>
      </c>
    </row>
    <row r="84" spans="2:28" ht="9.9499999999999993" customHeight="1" x14ac:dyDescent="0.15">
      <c r="B84" s="91">
        <v>42948</v>
      </c>
      <c r="C84" s="88">
        <v>5947.22</v>
      </c>
      <c r="D84" s="88"/>
      <c r="E84" s="98">
        <f t="shared" si="51"/>
        <v>9.8764780124883753E-2</v>
      </c>
      <c r="F84" s="88">
        <v>4267.82</v>
      </c>
      <c r="G84" s="88"/>
      <c r="H84" s="98">
        <f t="shared" si="52"/>
        <v>0.10473691960341611</v>
      </c>
      <c r="I84" s="93"/>
      <c r="J84" s="97">
        <f t="shared" si="38"/>
        <v>33425.35768207298</v>
      </c>
      <c r="K84" s="93"/>
      <c r="L84" s="93"/>
      <c r="M84" s="109">
        <f t="shared" si="53"/>
        <v>9044.2260410248309</v>
      </c>
      <c r="N84" s="88"/>
      <c r="O84" s="88"/>
      <c r="P84" s="88"/>
      <c r="Q84" s="88"/>
      <c r="R84" s="109">
        <f t="shared" si="54"/>
        <v>11805.235352088539</v>
      </c>
      <c r="S84" s="88"/>
      <c r="T84" s="88"/>
      <c r="U84" s="88"/>
      <c r="V84" s="109">
        <f t="shared" si="55"/>
        <v>12575.89628895961</v>
      </c>
      <c r="W84" s="88"/>
      <c r="X84" s="93"/>
      <c r="Y84" s="93"/>
      <c r="Z84" s="91">
        <v>42948</v>
      </c>
      <c r="AB84" s="98">
        <f t="shared" si="42"/>
        <v>0.10175084986414992</v>
      </c>
    </row>
    <row r="85" spans="2:28" ht="9.9499999999999993" customHeight="1" x14ac:dyDescent="0.15">
      <c r="B85" s="91">
        <v>42979</v>
      </c>
      <c r="C85" s="88">
        <v>5135.9799999999996</v>
      </c>
      <c r="D85" s="88"/>
      <c r="E85" s="98">
        <f t="shared" si="51"/>
        <v>8.5292613258934502E-2</v>
      </c>
      <c r="F85" s="88">
        <v>3661.59</v>
      </c>
      <c r="G85" s="88"/>
      <c r="H85" s="98">
        <f t="shared" si="52"/>
        <v>8.9859379601452835E-2</v>
      </c>
      <c r="I85" s="93"/>
      <c r="J85" s="97">
        <f t="shared" si="38"/>
        <v>28768.889979311483</v>
      </c>
      <c r="K85" s="93"/>
      <c r="L85" s="93"/>
      <c r="M85" s="109">
        <f t="shared" si="53"/>
        <v>7784.280018694195</v>
      </c>
      <c r="N85" s="88"/>
      <c r="O85" s="88"/>
      <c r="P85" s="88"/>
      <c r="Q85" s="88"/>
      <c r="R85" s="109">
        <f t="shared" si="54"/>
        <v>10160.6546818275</v>
      </c>
      <c r="S85" s="88"/>
      <c r="T85" s="88"/>
      <c r="U85" s="88"/>
      <c r="V85" s="109">
        <f t="shared" si="55"/>
        <v>10823.955278789786</v>
      </c>
      <c r="W85" s="88"/>
      <c r="X85" s="93"/>
      <c r="Y85" s="93"/>
      <c r="Z85" s="91">
        <v>42979</v>
      </c>
      <c r="AB85" s="98">
        <f t="shared" si="42"/>
        <v>8.7575996430193676E-2</v>
      </c>
    </row>
    <row r="86" spans="2:28" ht="9.9499999999999993" customHeight="1" x14ac:dyDescent="0.15">
      <c r="B86" s="91">
        <v>43010</v>
      </c>
      <c r="C86" s="88">
        <v>5397.84</v>
      </c>
      <c r="D86" s="88"/>
      <c r="E86" s="98">
        <f t="shared" si="51"/>
        <v>8.964129135113591E-2</v>
      </c>
      <c r="F86" s="88">
        <v>3700.68</v>
      </c>
      <c r="G86" s="88"/>
      <c r="H86" s="98">
        <f t="shared" si="52"/>
        <v>9.0818690487876705E-2</v>
      </c>
      <c r="I86" s="93"/>
      <c r="J86" s="97">
        <f t="shared" si="38"/>
        <v>29640.732477039666</v>
      </c>
      <c r="K86" s="93"/>
      <c r="L86" s="93"/>
      <c r="M86" s="109">
        <f t="shared" si="53"/>
        <v>8020.1829728712382</v>
      </c>
      <c r="N86" s="88"/>
      <c r="O86" s="88"/>
      <c r="P86" s="88"/>
      <c r="Q86" s="88"/>
      <c r="R86" s="109">
        <f t="shared" si="54"/>
        <v>10468.573776472042</v>
      </c>
      <c r="S86" s="88"/>
      <c r="T86" s="88"/>
      <c r="U86" s="88"/>
      <c r="V86" s="109">
        <f t="shared" si="55"/>
        <v>11151.975727696383</v>
      </c>
      <c r="W86" s="88"/>
      <c r="X86" s="93"/>
      <c r="Y86" s="93"/>
      <c r="Z86" s="91">
        <v>43009</v>
      </c>
      <c r="AB86" s="98">
        <f t="shared" si="42"/>
        <v>9.0229990919506314E-2</v>
      </c>
    </row>
    <row r="87" spans="2:28" ht="9.9499999999999993" customHeight="1" x14ac:dyDescent="0.15">
      <c r="B87" s="91">
        <v>43055</v>
      </c>
      <c r="C87" s="88">
        <v>4808.5200000000004</v>
      </c>
      <c r="D87" s="88"/>
      <c r="E87" s="98">
        <f t="shared" si="51"/>
        <v>7.9854523714627354E-2</v>
      </c>
      <c r="F87" s="88">
        <v>3337.72</v>
      </c>
      <c r="G87" s="88"/>
      <c r="H87" s="98">
        <f t="shared" si="52"/>
        <v>8.1911259448316481E-2</v>
      </c>
      <c r="I87" s="93"/>
      <c r="J87" s="97">
        <f t="shared" si="38"/>
        <v>26570.191650296685</v>
      </c>
      <c r="K87" s="93"/>
      <c r="L87" s="93"/>
      <c r="M87" s="109">
        <f t="shared" si="53"/>
        <v>7189.3567011107125</v>
      </c>
      <c r="N87" s="88"/>
      <c r="O87" s="88"/>
      <c r="P87" s="88"/>
      <c r="Q87" s="88"/>
      <c r="R87" s="109">
        <f t="shared" si="54"/>
        <v>9384.1139641739519</v>
      </c>
      <c r="S87" s="88"/>
      <c r="T87" s="88"/>
      <c r="U87" s="88"/>
      <c r="V87" s="109">
        <f t="shared" si="55"/>
        <v>9996.7209850120216</v>
      </c>
      <c r="W87" s="88"/>
      <c r="X87" s="93"/>
      <c r="Y87" s="93"/>
      <c r="Z87" s="91">
        <v>43040</v>
      </c>
      <c r="AB87" s="98">
        <f t="shared" si="42"/>
        <v>8.0882891581471911E-2</v>
      </c>
    </row>
    <row r="88" spans="2:28" ht="9.9499999999999993" customHeight="1" x14ac:dyDescent="0.15">
      <c r="B88" s="91">
        <v>43070</v>
      </c>
      <c r="C88" s="88">
        <v>4770.28</v>
      </c>
      <c r="D88" s="88"/>
      <c r="E88" s="98">
        <f t="shared" si="51"/>
        <v>7.921947655108276E-2</v>
      </c>
      <c r="F88" s="88">
        <v>3094.41</v>
      </c>
      <c r="G88" s="88"/>
      <c r="H88" s="98">
        <f t="shared" si="52"/>
        <v>7.5940168842642583E-2</v>
      </c>
      <c r="I88" s="93"/>
      <c r="J88" s="97">
        <f t="shared" si="38"/>
        <v>25485.126915564779</v>
      </c>
      <c r="K88" s="93"/>
      <c r="L88" s="93"/>
      <c r="M88" s="109">
        <f t="shared" si="53"/>
        <v>6895.7601202333353</v>
      </c>
      <c r="N88" s="88"/>
      <c r="O88" s="88"/>
      <c r="P88" s="88"/>
      <c r="Q88" s="88"/>
      <c r="R88" s="109">
        <f t="shared" si="54"/>
        <v>9000.8886091127042</v>
      </c>
      <c r="S88" s="88"/>
      <c r="T88" s="88"/>
      <c r="U88" s="88"/>
      <c r="V88" s="109">
        <f t="shared" si="55"/>
        <v>9588.478186218741</v>
      </c>
      <c r="W88" s="88"/>
      <c r="X88" s="93"/>
      <c r="Y88" s="93"/>
      <c r="Z88" s="91">
        <v>43070</v>
      </c>
      <c r="AB88" s="98">
        <f t="shared" si="42"/>
        <v>7.7579822696862671E-2</v>
      </c>
    </row>
    <row r="89" spans="2:28" ht="9.9499999999999993" customHeight="1" x14ac:dyDescent="0.15">
      <c r="B89" s="91">
        <v>43105</v>
      </c>
      <c r="C89" s="88">
        <v>4593.75</v>
      </c>
      <c r="D89" s="88"/>
      <c r="E89" s="98">
        <f t="shared" si="51"/>
        <v>7.6287863690713428E-2</v>
      </c>
      <c r="F89" s="88">
        <v>2901.53</v>
      </c>
      <c r="G89" s="88"/>
      <c r="H89" s="98">
        <f t="shared" si="52"/>
        <v>7.1206684990674396E-2</v>
      </c>
      <c r="I89" s="93"/>
      <c r="J89" s="97">
        <f t="shared" ref="J89:J103" si="56">V89+R89+M89</f>
        <v>24226.127115466632</v>
      </c>
      <c r="K89" s="93"/>
      <c r="L89" s="93"/>
      <c r="M89" s="109">
        <f t="shared" si="53"/>
        <v>6555.1002270469198</v>
      </c>
      <c r="N89" s="88"/>
      <c r="O89" s="88"/>
      <c r="P89" s="88"/>
      <c r="Q89" s="88"/>
      <c r="R89" s="109">
        <f t="shared" si="54"/>
        <v>8556.2325162816487</v>
      </c>
      <c r="S89" s="88"/>
      <c r="T89" s="88"/>
      <c r="U89" s="88"/>
      <c r="V89" s="109">
        <f t="shared" si="55"/>
        <v>9114.7943721380652</v>
      </c>
      <c r="W89" s="88"/>
      <c r="X89" s="93"/>
      <c r="Y89" s="93"/>
      <c r="Z89" s="91">
        <v>43101</v>
      </c>
      <c r="AB89" s="98">
        <f t="shared" ref="AB89:AB103" si="57">AVERAGE(E89,O89,T89,X89,H89)</f>
        <v>7.3747274340693919E-2</v>
      </c>
    </row>
    <row r="90" spans="2:28" ht="9.9499999999999993" customHeight="1" x14ac:dyDescent="0.15">
      <c r="B90" s="91">
        <v>43132</v>
      </c>
      <c r="C90" s="88">
        <v>3827.41</v>
      </c>
      <c r="D90" s="88"/>
      <c r="E90" s="98">
        <f t="shared" si="51"/>
        <v>6.3561345821708512E-2</v>
      </c>
      <c r="F90" s="88">
        <v>2403.42</v>
      </c>
      <c r="G90" s="88"/>
      <c r="H90" s="98">
        <f t="shared" si="52"/>
        <v>5.8982526749779135E-2</v>
      </c>
      <c r="I90" s="93"/>
      <c r="J90" s="97">
        <f t="shared" si="56"/>
        <v>20127.953613739417</v>
      </c>
      <c r="K90" s="93"/>
      <c r="L90" s="93"/>
      <c r="M90" s="109">
        <f t="shared" si="53"/>
        <v>5446.2173286946254</v>
      </c>
      <c r="N90" s="88"/>
      <c r="O90" s="88"/>
      <c r="P90" s="88"/>
      <c r="Q90" s="88"/>
      <c r="R90" s="109">
        <f t="shared" si="54"/>
        <v>7108.8313198082842</v>
      </c>
      <c r="S90" s="88"/>
      <c r="T90" s="88"/>
      <c r="U90" s="88"/>
      <c r="V90" s="109">
        <f t="shared" si="55"/>
        <v>7572.9049652365075</v>
      </c>
      <c r="W90" s="88"/>
      <c r="X90" s="93"/>
      <c r="Y90" s="93"/>
      <c r="Z90" s="91">
        <v>43132</v>
      </c>
      <c r="AB90" s="98">
        <f t="shared" si="57"/>
        <v>6.1271936285743824E-2</v>
      </c>
    </row>
    <row r="91" spans="2:28" ht="9.9499999999999993" customHeight="1" x14ac:dyDescent="0.15">
      <c r="B91" s="91">
        <v>43160</v>
      </c>
      <c r="C91" s="88">
        <v>4817.8999999999996</v>
      </c>
      <c r="D91" s="97">
        <f>SUM(C80:C91)</f>
        <v>60216.220000000008</v>
      </c>
      <c r="E91" s="98">
        <f t="shared" si="51"/>
        <v>8.0010296266772946E-2</v>
      </c>
      <c r="F91" s="88">
        <v>3074.8</v>
      </c>
      <c r="G91" s="97">
        <f>SUM(F80:F91)</f>
        <v>40747.71</v>
      </c>
      <c r="H91" s="98">
        <f t="shared" si="52"/>
        <v>7.5458918229115546E-2</v>
      </c>
      <c r="I91" s="93"/>
      <c r="J91" s="97">
        <f t="shared" si="56"/>
        <v>25535.973950164182</v>
      </c>
      <c r="K91" s="109">
        <f>W91+S91+N91</f>
        <v>328502</v>
      </c>
      <c r="L91" s="93"/>
      <c r="M91" s="109">
        <f t="shared" si="53"/>
        <v>6909.5182998407727</v>
      </c>
      <c r="N91" s="155">
        <v>88886</v>
      </c>
      <c r="O91" s="88"/>
      <c r="P91" s="88"/>
      <c r="Q91" s="88"/>
      <c r="R91" s="109">
        <f t="shared" si="54"/>
        <v>9018.8468675137392</v>
      </c>
      <c r="S91" s="155">
        <v>116021</v>
      </c>
      <c r="T91" s="88"/>
      <c r="U91" s="88"/>
      <c r="V91" s="109">
        <f t="shared" si="55"/>
        <v>9607.6087828096697</v>
      </c>
      <c r="W91" s="155">
        <v>123595</v>
      </c>
      <c r="X91" s="93"/>
      <c r="Y91" s="93"/>
      <c r="Z91" s="91">
        <v>43160</v>
      </c>
      <c r="AB91" s="98">
        <f t="shared" si="57"/>
        <v>7.7734607247944246E-2</v>
      </c>
    </row>
    <row r="92" spans="2:28" ht="9.9499999999999993" customHeight="1" x14ac:dyDescent="0.15">
      <c r="B92" s="91">
        <v>43192</v>
      </c>
      <c r="C92" s="88">
        <v>4824.92</v>
      </c>
      <c r="D92" s="88"/>
      <c r="E92" s="98">
        <f>C92/58890</f>
        <v>8.1931057904567839E-2</v>
      </c>
      <c r="F92" s="87">
        <v>2997.38</v>
      </c>
      <c r="G92" s="88"/>
      <c r="H92" s="98">
        <f>F92/40445</f>
        <v>7.4110025961181852E-2</v>
      </c>
      <c r="I92" s="93"/>
      <c r="J92" s="97">
        <f t="shared" si="56"/>
        <v>29059</v>
      </c>
      <c r="K92" s="93"/>
      <c r="L92" s="93"/>
      <c r="M92" s="88">
        <v>8260</v>
      </c>
      <c r="N92" s="88"/>
      <c r="O92" s="88"/>
      <c r="P92" s="88"/>
      <c r="Q92" s="88"/>
      <c r="R92" s="88">
        <v>7180</v>
      </c>
      <c r="S92" s="88"/>
      <c r="T92" s="88"/>
      <c r="U92" s="88"/>
      <c r="V92" s="88">
        <v>13619</v>
      </c>
      <c r="W92" s="88"/>
      <c r="X92" s="93"/>
      <c r="Y92" s="93"/>
      <c r="Z92" s="91">
        <v>43191</v>
      </c>
      <c r="AB92" s="98">
        <f t="shared" si="57"/>
        <v>7.8020541932874846E-2</v>
      </c>
    </row>
    <row r="93" spans="2:28" ht="9.9499999999999993" customHeight="1" x14ac:dyDescent="0.15">
      <c r="B93" s="91">
        <v>43221</v>
      </c>
      <c r="C93" s="88">
        <v>5632.88</v>
      </c>
      <c r="D93" s="88"/>
      <c r="E93" s="98">
        <f t="shared" ref="E93:E103" si="58">C93/58890</f>
        <v>9.5650874511801667E-2</v>
      </c>
      <c r="F93" s="87">
        <v>3801.51</v>
      </c>
      <c r="G93" s="88"/>
      <c r="H93" s="98">
        <f t="shared" ref="H93:H103" si="59">F93/40445</f>
        <v>9.3992088020768957E-2</v>
      </c>
      <c r="I93" s="93"/>
      <c r="J93" s="97">
        <f t="shared" si="56"/>
        <v>26089</v>
      </c>
      <c r="K93" s="93"/>
      <c r="L93" s="93"/>
      <c r="M93" s="88">
        <v>5792</v>
      </c>
      <c r="N93" s="88"/>
      <c r="O93" s="88"/>
      <c r="P93" s="88"/>
      <c r="Q93" s="88"/>
      <c r="R93" s="88">
        <v>8158</v>
      </c>
      <c r="S93" s="88"/>
      <c r="T93" s="88"/>
      <c r="U93" s="88"/>
      <c r="V93" s="88">
        <v>12139</v>
      </c>
      <c r="W93" s="88"/>
      <c r="X93" s="93"/>
      <c r="Y93" s="93"/>
      <c r="Z93" s="91">
        <v>43221</v>
      </c>
      <c r="AB93" s="98">
        <f t="shared" si="57"/>
        <v>9.4821481266285312E-2</v>
      </c>
    </row>
    <row r="94" spans="2:28" ht="9.9499999999999993" customHeight="1" x14ac:dyDescent="0.15">
      <c r="B94" s="91">
        <v>43252</v>
      </c>
      <c r="C94" s="88">
        <v>5064.37</v>
      </c>
      <c r="D94" s="88"/>
      <c r="E94" s="98">
        <f t="shared" si="58"/>
        <v>8.5997113262013924E-2</v>
      </c>
      <c r="F94" s="88">
        <v>3646.96</v>
      </c>
      <c r="G94" s="88"/>
      <c r="H94" s="98">
        <f t="shared" si="59"/>
        <v>9.0170849301520584E-2</v>
      </c>
      <c r="I94" s="93"/>
      <c r="J94" s="97">
        <f t="shared" si="56"/>
        <v>23505</v>
      </c>
      <c r="K94" s="93"/>
      <c r="L94" s="93"/>
      <c r="M94" s="88">
        <v>9199</v>
      </c>
      <c r="N94" s="88"/>
      <c r="O94" s="88"/>
      <c r="P94" s="88"/>
      <c r="Q94" s="88"/>
      <c r="R94" s="154">
        <v>2246</v>
      </c>
      <c r="S94" s="88"/>
      <c r="T94" s="88"/>
      <c r="U94" s="88"/>
      <c r="V94" s="88">
        <v>12060</v>
      </c>
      <c r="W94" s="88"/>
      <c r="X94" s="93"/>
      <c r="Y94" s="93"/>
      <c r="Z94" s="91">
        <v>43252</v>
      </c>
      <c r="AB94" s="98">
        <f t="shared" si="57"/>
        <v>8.8083981281767254E-2</v>
      </c>
    </row>
    <row r="95" spans="2:28" ht="9.9499999999999993" customHeight="1" x14ac:dyDescent="0.15">
      <c r="B95" s="91">
        <v>43283</v>
      </c>
      <c r="C95" s="88">
        <v>5485.96</v>
      </c>
      <c r="D95" s="88"/>
      <c r="E95" s="98">
        <f t="shared" si="58"/>
        <v>9.3156053659364912E-2</v>
      </c>
      <c r="F95" s="88">
        <v>3865.93</v>
      </c>
      <c r="G95" s="88"/>
      <c r="H95" s="98">
        <f t="shared" si="59"/>
        <v>9.5584868339720602E-2</v>
      </c>
      <c r="I95" s="93"/>
      <c r="J95" s="97">
        <f t="shared" si="56"/>
        <v>23312</v>
      </c>
      <c r="K95" s="93"/>
      <c r="L95" s="93"/>
      <c r="M95" s="88">
        <v>5673</v>
      </c>
      <c r="N95" s="88"/>
      <c r="O95" s="88"/>
      <c r="P95" s="88"/>
      <c r="Q95" s="88"/>
      <c r="R95" s="88">
        <v>8431</v>
      </c>
      <c r="S95" s="88"/>
      <c r="T95" s="88"/>
      <c r="U95" s="88"/>
      <c r="V95" s="88">
        <v>9208</v>
      </c>
      <c r="W95" s="88"/>
      <c r="X95" s="93"/>
      <c r="Y95" s="93"/>
      <c r="Z95" s="91">
        <v>43282</v>
      </c>
      <c r="AB95" s="98">
        <f t="shared" si="57"/>
        <v>9.4370460999542757E-2</v>
      </c>
    </row>
    <row r="96" spans="2:28" ht="9.9499999999999993" customHeight="1" x14ac:dyDescent="0.15">
      <c r="B96" s="91">
        <v>43313</v>
      </c>
      <c r="C96" s="88">
        <v>5456.73</v>
      </c>
      <c r="D96" s="88"/>
      <c r="E96" s="98">
        <f t="shared" si="58"/>
        <v>9.2659704533876716E-2</v>
      </c>
      <c r="F96" s="88">
        <v>3797.17</v>
      </c>
      <c r="G96" s="88"/>
      <c r="H96" s="98">
        <f t="shared" si="59"/>
        <v>9.3884781802447775E-2</v>
      </c>
      <c r="I96" s="93"/>
      <c r="J96" s="97">
        <f t="shared" si="56"/>
        <v>30577</v>
      </c>
      <c r="K96" s="93"/>
      <c r="L96" s="93"/>
      <c r="M96" s="88">
        <v>9118</v>
      </c>
      <c r="N96" s="88"/>
      <c r="O96" s="88"/>
      <c r="P96" s="88"/>
      <c r="Q96" s="88"/>
      <c r="R96" s="88">
        <v>9175</v>
      </c>
      <c r="S96" s="88"/>
      <c r="T96" s="88"/>
      <c r="U96" s="88"/>
      <c r="V96" s="88">
        <v>12284</v>
      </c>
      <c r="W96" s="88"/>
      <c r="X96" s="93"/>
      <c r="Y96" s="93"/>
      <c r="Z96" s="91">
        <v>43313</v>
      </c>
      <c r="AB96" s="98">
        <f t="shared" si="57"/>
        <v>9.3272243168162239E-2</v>
      </c>
    </row>
    <row r="97" spans="2:28" ht="9.9499999999999993" customHeight="1" x14ac:dyDescent="0.15">
      <c r="B97" s="91">
        <v>43346</v>
      </c>
      <c r="C97" s="88">
        <v>4753.95</v>
      </c>
      <c r="D97" s="88"/>
      <c r="E97" s="98">
        <f t="shared" si="58"/>
        <v>8.0725929699439633E-2</v>
      </c>
      <c r="F97" s="88">
        <v>3534.99</v>
      </c>
      <c r="G97" s="88"/>
      <c r="H97" s="98">
        <f t="shared" si="59"/>
        <v>8.7402398318704402E-2</v>
      </c>
      <c r="I97" s="93"/>
      <c r="J97" s="97">
        <f t="shared" si="56"/>
        <v>34448</v>
      </c>
      <c r="K97" s="93"/>
      <c r="L97" s="93"/>
      <c r="M97" s="88">
        <v>5957</v>
      </c>
      <c r="N97" s="88"/>
      <c r="O97" s="88"/>
      <c r="P97" s="88"/>
      <c r="Q97" s="88"/>
      <c r="R97" s="88">
        <v>16153</v>
      </c>
      <c r="S97" s="88"/>
      <c r="T97" s="88"/>
      <c r="U97" s="88"/>
      <c r="V97" s="88">
        <v>12338</v>
      </c>
      <c r="W97" s="88"/>
      <c r="X97" s="93"/>
      <c r="Y97" s="93"/>
      <c r="Z97" s="91">
        <v>43344</v>
      </c>
      <c r="AB97" s="98">
        <f t="shared" si="57"/>
        <v>8.4064164009072018E-2</v>
      </c>
    </row>
    <row r="98" spans="2:28" ht="9.9499999999999993" customHeight="1" x14ac:dyDescent="0.15">
      <c r="B98" s="91">
        <v>43374</v>
      </c>
      <c r="C98" s="88">
        <v>5340.29</v>
      </c>
      <c r="D98" s="88"/>
      <c r="E98" s="98">
        <f t="shared" si="58"/>
        <v>9.068245882153167E-2</v>
      </c>
      <c r="F98" s="88">
        <v>3963.28</v>
      </c>
      <c r="G98" s="88"/>
      <c r="H98" s="98">
        <f t="shared" si="59"/>
        <v>9.7991840771417982E-2</v>
      </c>
      <c r="I98" s="93"/>
      <c r="J98" s="97">
        <f t="shared" si="56"/>
        <v>22363</v>
      </c>
      <c r="K98" s="93"/>
      <c r="L98" s="93"/>
      <c r="M98" s="88">
        <v>7116</v>
      </c>
      <c r="N98" s="88"/>
      <c r="O98" s="88"/>
      <c r="P98" s="88"/>
      <c r="Q98" s="88"/>
      <c r="R98" s="88">
        <v>14477</v>
      </c>
      <c r="S98" s="88"/>
      <c r="T98" s="88"/>
      <c r="U98" s="88"/>
      <c r="V98" s="154">
        <v>770</v>
      </c>
      <c r="W98" s="88"/>
      <c r="X98" s="93"/>
      <c r="Y98" s="93"/>
      <c r="Z98" s="91">
        <v>43374</v>
      </c>
      <c r="AB98" s="98">
        <f t="shared" si="57"/>
        <v>9.4337149796474826E-2</v>
      </c>
    </row>
    <row r="99" spans="2:28" ht="9.9499999999999993" customHeight="1" x14ac:dyDescent="0.15">
      <c r="B99" s="91">
        <v>43405</v>
      </c>
      <c r="C99" s="88">
        <v>4995.25</v>
      </c>
      <c r="D99" s="88"/>
      <c r="E99" s="98">
        <f t="shared" si="58"/>
        <v>8.4823399558498894E-2</v>
      </c>
      <c r="F99" s="88">
        <v>3357.65</v>
      </c>
      <c r="G99" s="88"/>
      <c r="H99" s="98">
        <f t="shared" si="59"/>
        <v>8.3017678328594385E-2</v>
      </c>
      <c r="I99" s="93"/>
      <c r="J99" s="97">
        <f t="shared" si="56"/>
        <v>26575</v>
      </c>
      <c r="K99" s="93"/>
      <c r="L99" s="93"/>
      <c r="M99" s="154">
        <v>562</v>
      </c>
      <c r="N99" s="88"/>
      <c r="O99" s="88"/>
      <c r="P99" s="88"/>
      <c r="Q99" s="88"/>
      <c r="R99" s="88">
        <v>14199</v>
      </c>
      <c r="S99" s="88"/>
      <c r="T99" s="88"/>
      <c r="U99" s="88"/>
      <c r="V99" s="88">
        <v>11814</v>
      </c>
      <c r="W99" s="88"/>
      <c r="X99" s="93"/>
      <c r="Y99" s="93"/>
      <c r="Z99" s="91">
        <v>43405</v>
      </c>
      <c r="AB99" s="98">
        <f t="shared" si="57"/>
        <v>8.3920538943546646E-2</v>
      </c>
    </row>
    <row r="100" spans="2:28" ht="9.9499999999999993" customHeight="1" x14ac:dyDescent="0.15">
      <c r="B100" s="91">
        <v>43437</v>
      </c>
      <c r="C100" s="88">
        <v>4635.78</v>
      </c>
      <c r="D100" s="88"/>
      <c r="E100" s="98">
        <f t="shared" si="58"/>
        <v>7.8719307182883336E-2</v>
      </c>
      <c r="F100" s="88">
        <v>3025.6</v>
      </c>
      <c r="G100" s="88"/>
      <c r="H100" s="98">
        <f t="shared" si="59"/>
        <v>7.4807763629620466E-2</v>
      </c>
      <c r="I100" s="93"/>
      <c r="J100" s="97">
        <f t="shared" si="56"/>
        <v>26775</v>
      </c>
      <c r="K100" s="93"/>
      <c r="L100" s="93"/>
      <c r="M100" s="88">
        <v>4125</v>
      </c>
      <c r="N100" s="88"/>
      <c r="O100" s="88"/>
      <c r="P100" s="88"/>
      <c r="Q100" s="88"/>
      <c r="R100" s="88">
        <v>10566</v>
      </c>
      <c r="S100" s="88"/>
      <c r="T100" s="88"/>
      <c r="U100" s="88"/>
      <c r="V100" s="88">
        <v>12084</v>
      </c>
      <c r="W100" s="88"/>
      <c r="X100" s="93"/>
      <c r="Y100" s="93"/>
      <c r="Z100" s="91">
        <v>43435</v>
      </c>
      <c r="AB100" s="98">
        <f t="shared" si="57"/>
        <v>7.6763535406251901E-2</v>
      </c>
    </row>
    <row r="101" spans="2:28" ht="9.9499999999999993" customHeight="1" x14ac:dyDescent="0.15">
      <c r="B101" s="91">
        <v>43472</v>
      </c>
      <c r="C101" s="88">
        <v>4784.4399999999996</v>
      </c>
      <c r="D101" s="88"/>
      <c r="E101" s="98">
        <f t="shared" si="58"/>
        <v>8.1243674647648145E-2</v>
      </c>
      <c r="F101" s="88">
        <v>2986.16</v>
      </c>
      <c r="G101" s="88"/>
      <c r="H101" s="98">
        <f t="shared" si="59"/>
        <v>7.3832612189392993E-2</v>
      </c>
      <c r="I101" s="93"/>
      <c r="J101" s="97">
        <f t="shared" si="56"/>
        <v>22498</v>
      </c>
      <c r="K101" s="93"/>
      <c r="L101" s="93"/>
      <c r="M101" s="88">
        <v>2719</v>
      </c>
      <c r="N101" s="88"/>
      <c r="O101" s="88"/>
      <c r="P101" s="88"/>
      <c r="Q101" s="88"/>
      <c r="R101" s="88">
        <v>10461</v>
      </c>
      <c r="S101" s="88"/>
      <c r="T101" s="88"/>
      <c r="U101" s="88"/>
      <c r="V101" s="88">
        <v>9318</v>
      </c>
      <c r="W101" s="88"/>
      <c r="X101" s="93"/>
      <c r="Y101" s="93"/>
      <c r="Z101" s="91">
        <v>43466</v>
      </c>
      <c r="AB101" s="98">
        <f t="shared" si="57"/>
        <v>7.7538143418520569E-2</v>
      </c>
    </row>
    <row r="102" spans="2:28" ht="9.9499999999999993" customHeight="1" x14ac:dyDescent="0.15">
      <c r="B102" s="91">
        <v>43504</v>
      </c>
      <c r="C102" s="88">
        <v>3914.93</v>
      </c>
      <c r="D102" s="88"/>
      <c r="E102" s="98">
        <f t="shared" si="58"/>
        <v>6.6478689081338083E-2</v>
      </c>
      <c r="F102" s="88">
        <v>2479.9899999999998</v>
      </c>
      <c r="G102" s="88"/>
      <c r="H102" s="98">
        <f t="shared" si="59"/>
        <v>6.1317591791321541E-2</v>
      </c>
      <c r="I102" s="93"/>
      <c r="J102" s="97">
        <f t="shared" si="56"/>
        <v>26586</v>
      </c>
      <c r="K102" s="93"/>
      <c r="L102" s="93"/>
      <c r="M102" s="88">
        <v>4970</v>
      </c>
      <c r="N102" s="88"/>
      <c r="O102" s="88"/>
      <c r="P102" s="88"/>
      <c r="Q102" s="88"/>
      <c r="R102" s="88">
        <v>10958</v>
      </c>
      <c r="S102" s="88"/>
      <c r="T102" s="88"/>
      <c r="U102" s="88"/>
      <c r="V102" s="88">
        <v>10658</v>
      </c>
      <c r="W102" s="88"/>
      <c r="X102" s="93"/>
      <c r="Y102" s="93"/>
      <c r="Z102" s="91">
        <v>43497</v>
      </c>
      <c r="AB102" s="98">
        <f t="shared" si="57"/>
        <v>6.3898140436329812E-2</v>
      </c>
    </row>
    <row r="103" spans="2:28" ht="9.9499999999999993" customHeight="1" x14ac:dyDescent="0.15">
      <c r="B103" s="91">
        <v>43525</v>
      </c>
      <c r="C103" s="88">
        <v>4000</v>
      </c>
      <c r="D103" s="97">
        <f>SUM(C92:C103)</f>
        <v>58889.5</v>
      </c>
      <c r="E103" s="98">
        <f t="shared" si="58"/>
        <v>6.7923246731193751E-2</v>
      </c>
      <c r="F103" s="88">
        <v>2988.55</v>
      </c>
      <c r="G103" s="97">
        <f>SUM(F92:F103)</f>
        <v>40445.170000000006</v>
      </c>
      <c r="H103" s="98">
        <f t="shared" si="59"/>
        <v>7.3891704784274939E-2</v>
      </c>
      <c r="I103" s="93"/>
      <c r="J103" s="97">
        <f t="shared" si="56"/>
        <v>30804</v>
      </c>
      <c r="K103" s="93"/>
      <c r="L103" s="93"/>
      <c r="M103" s="88">
        <v>6717</v>
      </c>
      <c r="N103" s="97">
        <f>SUM(M92:M103)</f>
        <v>70208</v>
      </c>
      <c r="O103" s="88"/>
      <c r="P103" s="88"/>
      <c r="Q103" s="88"/>
      <c r="R103" s="88">
        <v>12260</v>
      </c>
      <c r="S103" s="97">
        <f>SUM(R92:R103)</f>
        <v>124264</v>
      </c>
      <c r="T103" s="88"/>
      <c r="U103" s="88"/>
      <c r="V103" s="88">
        <v>11827</v>
      </c>
      <c r="W103" s="97">
        <f>SUM(V92:V103)</f>
        <v>128119</v>
      </c>
      <c r="X103" s="93"/>
      <c r="Y103" s="93"/>
      <c r="Z103" s="91">
        <v>43525</v>
      </c>
      <c r="AB103" s="98">
        <f t="shared" si="57"/>
        <v>7.0907475757734345E-2</v>
      </c>
    </row>
    <row r="104" spans="2:28" ht="9.9499999999999993" customHeight="1" x14ac:dyDescent="0.15">
      <c r="B104" s="85"/>
      <c r="C104" s="85"/>
      <c r="D104" s="85"/>
      <c r="E104" s="85"/>
      <c r="F104" s="54"/>
      <c r="G104" s="85"/>
      <c r="H104" s="85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B104" s="85"/>
    </row>
    <row r="105" spans="2:28" ht="9.9499999999999993" customHeight="1" x14ac:dyDescent="0.15">
      <c r="B105" s="54"/>
      <c r="C105" s="101" t="s">
        <v>246</v>
      </c>
      <c r="D105" s="101"/>
      <c r="E105" s="101"/>
      <c r="F105" s="54" t="s">
        <v>238</v>
      </c>
      <c r="G105" s="54"/>
      <c r="H105" s="54"/>
      <c r="I105" s="54"/>
      <c r="J105" s="54" t="s">
        <v>418</v>
      </c>
      <c r="K105" s="54"/>
      <c r="L105" s="54"/>
      <c r="M105" s="54" t="s">
        <v>240</v>
      </c>
      <c r="N105" s="54"/>
      <c r="O105" s="54"/>
      <c r="P105" s="54"/>
      <c r="Q105" s="54"/>
      <c r="R105" s="54" t="s">
        <v>241</v>
      </c>
      <c r="S105" s="54"/>
      <c r="T105" s="54"/>
      <c r="U105" s="54"/>
      <c r="V105" s="54" t="s">
        <v>242</v>
      </c>
      <c r="W105" s="54"/>
      <c r="X105" s="54"/>
      <c r="Y105" s="54"/>
      <c r="Z105" s="54"/>
      <c r="AB105" s="54"/>
    </row>
    <row r="106" spans="2:28" ht="9.9499999999999993" customHeight="1" x14ac:dyDescent="0.15">
      <c r="B106" s="85"/>
      <c r="C106" s="85" t="s">
        <v>237</v>
      </c>
      <c r="D106" s="85" t="s">
        <v>247</v>
      </c>
      <c r="E106" s="85" t="s">
        <v>248</v>
      </c>
      <c r="F106" s="54" t="s">
        <v>239</v>
      </c>
      <c r="G106" s="85" t="s">
        <v>247</v>
      </c>
      <c r="H106" s="85" t="s">
        <v>248</v>
      </c>
      <c r="I106" s="54"/>
      <c r="J106" s="54" t="s">
        <v>419</v>
      </c>
      <c r="K106" s="54"/>
      <c r="L106" s="54"/>
      <c r="M106" s="54" t="s">
        <v>243</v>
      </c>
      <c r="N106" s="54"/>
      <c r="O106" s="85" t="s">
        <v>247</v>
      </c>
      <c r="P106" s="85"/>
      <c r="Q106" s="54"/>
      <c r="R106" s="54" t="s">
        <v>244</v>
      </c>
      <c r="S106" s="85" t="s">
        <v>247</v>
      </c>
      <c r="T106" s="54"/>
      <c r="U106" s="54"/>
      <c r="V106" s="54" t="s">
        <v>245</v>
      </c>
      <c r="W106" s="85" t="s">
        <v>247</v>
      </c>
      <c r="X106" s="54"/>
      <c r="Y106" s="54"/>
      <c r="Z106" s="102"/>
      <c r="AB106" s="17" t="s">
        <v>421</v>
      </c>
    </row>
    <row r="107" spans="2:28" ht="9.9499999999999993" customHeight="1" x14ac:dyDescent="0.15">
      <c r="B107" s="99"/>
    </row>
    <row r="110" spans="2:28" ht="9.9499999999999993" customHeight="1" x14ac:dyDescent="0.15">
      <c r="I110" s="86"/>
    </row>
    <row r="111" spans="2:28" ht="9.9499999999999993" customHeight="1" x14ac:dyDescent="0.15">
      <c r="I111" s="86"/>
    </row>
    <row r="112" spans="2:28" ht="9.9499999999999993" customHeight="1" x14ac:dyDescent="0.15">
      <c r="I112" s="86"/>
    </row>
    <row r="113" spans="9:9" ht="9.9499999999999993" customHeight="1" x14ac:dyDescent="0.15">
      <c r="I113" s="86"/>
    </row>
    <row r="114" spans="9:9" ht="9.9499999999999993" customHeight="1" x14ac:dyDescent="0.15">
      <c r="I114" s="86"/>
    </row>
    <row r="115" spans="9:9" ht="9.9499999999999993" customHeight="1" x14ac:dyDescent="0.15">
      <c r="I115" s="86"/>
    </row>
    <row r="116" spans="9:9" ht="9.9499999999999993" customHeight="1" x14ac:dyDescent="0.15">
      <c r="I116" s="86"/>
    </row>
    <row r="117" spans="9:9" ht="9.9499999999999993" customHeight="1" x14ac:dyDescent="0.15">
      <c r="I117" s="86"/>
    </row>
    <row r="118" spans="9:9" ht="9.9499999999999993" customHeight="1" x14ac:dyDescent="0.15">
      <c r="I118" s="86"/>
    </row>
    <row r="119" spans="9:9" ht="9.9499999999999993" customHeight="1" x14ac:dyDescent="0.15">
      <c r="I119" s="86"/>
    </row>
    <row r="120" spans="9:9" ht="9.9499999999999993" customHeight="1" x14ac:dyDescent="0.15">
      <c r="I120" s="86"/>
    </row>
    <row r="121" spans="9:9" ht="9.9499999999999993" customHeight="1" x14ac:dyDescent="0.15">
      <c r="I121" s="86"/>
    </row>
    <row r="122" spans="9:9" ht="9.9499999999999993" customHeight="1" x14ac:dyDescent="0.15">
      <c r="I122" s="86"/>
    </row>
    <row r="123" spans="9:9" ht="9.9499999999999993" customHeight="1" x14ac:dyDescent="0.15">
      <c r="I123" s="86"/>
    </row>
    <row r="124" spans="9:9" ht="9.9499999999999993" customHeight="1" x14ac:dyDescent="0.15">
      <c r="I124" s="86"/>
    </row>
    <row r="125" spans="9:9" ht="9.9499999999999993" customHeight="1" x14ac:dyDescent="0.15">
      <c r="I125" s="86"/>
    </row>
    <row r="126" spans="9:9" ht="9.9499999999999993" customHeight="1" x14ac:dyDescent="0.15">
      <c r="I126" s="86"/>
    </row>
    <row r="127" spans="9:9" ht="9.9499999999999993" customHeight="1" x14ac:dyDescent="0.15">
      <c r="I127" s="86"/>
    </row>
    <row r="128" spans="9:9" ht="9.9499999999999993" customHeight="1" x14ac:dyDescent="0.15">
      <c r="I128" s="86"/>
    </row>
    <row r="129" spans="9:9" ht="9.9499999999999993" customHeight="1" x14ac:dyDescent="0.15">
      <c r="I129" s="86"/>
    </row>
    <row r="130" spans="9:9" ht="9.9499999999999993" customHeight="1" x14ac:dyDescent="0.15">
      <c r="I130" s="86"/>
    </row>
    <row r="131" spans="9:9" ht="9.9499999999999993" customHeight="1" x14ac:dyDescent="0.15">
      <c r="I131" s="86"/>
    </row>
    <row r="132" spans="9:9" ht="9.9499999999999993" customHeight="1" x14ac:dyDescent="0.15">
      <c r="I132" s="86"/>
    </row>
    <row r="133" spans="9:9" ht="9.9499999999999993" customHeight="1" x14ac:dyDescent="0.15">
      <c r="I133" s="86"/>
    </row>
    <row r="134" spans="9:9" ht="9.9499999999999993" customHeight="1" x14ac:dyDescent="0.15">
      <c r="I134" s="86"/>
    </row>
    <row r="135" spans="9:9" ht="9.9499999999999993" customHeight="1" x14ac:dyDescent="0.15">
      <c r="I135" s="86"/>
    </row>
    <row r="136" spans="9:9" ht="9.9499999999999993" customHeight="1" x14ac:dyDescent="0.15">
      <c r="I136" s="86"/>
    </row>
    <row r="137" spans="9:9" ht="9.9499999999999993" customHeight="1" x14ac:dyDescent="0.15">
      <c r="I137" s="86"/>
    </row>
    <row r="138" spans="9:9" ht="9.9499999999999993" customHeight="1" x14ac:dyDescent="0.15">
      <c r="I138" s="86"/>
    </row>
    <row r="139" spans="9:9" ht="9.9499999999999993" customHeight="1" x14ac:dyDescent="0.15">
      <c r="I139" s="86"/>
    </row>
    <row r="140" spans="9:9" ht="9.9499999999999993" customHeight="1" x14ac:dyDescent="0.15">
      <c r="I140" s="86"/>
    </row>
    <row r="141" spans="9:9" ht="9.9499999999999993" customHeight="1" x14ac:dyDescent="0.15">
      <c r="I141" s="86"/>
    </row>
    <row r="142" spans="9:9" ht="9.9499999999999993" customHeight="1" x14ac:dyDescent="0.15">
      <c r="I142" s="86"/>
    </row>
    <row r="143" spans="9:9" ht="9.9499999999999993" customHeight="1" x14ac:dyDescent="0.15">
      <c r="I143" s="86"/>
    </row>
    <row r="144" spans="9:9" ht="9.9499999999999993" customHeight="1" x14ac:dyDescent="0.15">
      <c r="I144" s="86"/>
    </row>
    <row r="145" spans="2:9" ht="9.9499999999999993" customHeight="1" x14ac:dyDescent="0.15">
      <c r="I145" s="86"/>
    </row>
    <row r="146" spans="2:9" ht="9.9499999999999993" customHeight="1" x14ac:dyDescent="0.15">
      <c r="I146" s="86"/>
    </row>
    <row r="147" spans="2:9" ht="9.9499999999999993" customHeight="1" x14ac:dyDescent="0.15">
      <c r="I147" s="86"/>
    </row>
    <row r="148" spans="2:9" ht="9.9499999999999993" customHeight="1" x14ac:dyDescent="0.15">
      <c r="I148" s="86"/>
    </row>
    <row r="160" spans="2:9" ht="9.9499999999999993" customHeight="1" x14ac:dyDescent="0.15">
      <c r="B160" s="95"/>
    </row>
    <row r="161" spans="2:2" ht="9.9499999999999993" customHeight="1" x14ac:dyDescent="0.15">
      <c r="B161" s="95"/>
    </row>
    <row r="162" spans="2:2" ht="9.9499999999999993" customHeight="1" x14ac:dyDescent="0.15">
      <c r="B162" s="95"/>
    </row>
  </sheetData>
  <phoneticPr fontId="5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30"/>
  <sheetViews>
    <sheetView topLeftCell="B1" zoomScale="75" zoomScaleNormal="75" workbookViewId="0">
      <selection activeCell="AK30" sqref="AK30"/>
    </sheetView>
  </sheetViews>
  <sheetFormatPr defaultRowHeight="11.1" customHeight="1" x14ac:dyDescent="0.15"/>
  <cols>
    <col min="1" max="1" width="2" style="198" customWidth="1"/>
    <col min="2" max="2" width="2.5" style="197" customWidth="1"/>
    <col min="3" max="3" width="6.875" style="197" customWidth="1"/>
    <col min="4" max="5" width="4.75" style="197" customWidth="1"/>
    <col min="6" max="9" width="4.125" style="199" customWidth="1"/>
    <col min="10" max="11" width="4.125" style="197" customWidth="1"/>
    <col min="12" max="12" width="2.25" style="198" customWidth="1"/>
    <col min="13" max="13" width="4.125" style="200" customWidth="1"/>
    <col min="14" max="15" width="4.375" style="200" customWidth="1"/>
    <col min="16" max="16" width="4.125" style="200" customWidth="1"/>
    <col min="17" max="17" width="5.75" style="200" customWidth="1"/>
    <col min="18" max="19" width="4.375" style="200" customWidth="1"/>
    <col min="20" max="23" width="4.125" style="198" customWidth="1"/>
    <col min="24" max="25" width="4.125" style="197" customWidth="1"/>
    <col min="26" max="28" width="4.125" style="207" customWidth="1"/>
    <col min="29" max="30" width="4.125" style="197" customWidth="1"/>
    <col min="31" max="31" width="5" style="197" customWidth="1"/>
    <col min="32" max="32" width="5" style="198" customWidth="1"/>
    <col min="33" max="73" width="4.125" style="198" customWidth="1"/>
    <col min="74" max="16384" width="9" style="198"/>
  </cols>
  <sheetData>
    <row r="1" spans="2:28" ht="11.1" customHeight="1" x14ac:dyDescent="0.15">
      <c r="Z1" s="197"/>
      <c r="AA1" s="197"/>
      <c r="AB1" s="197"/>
    </row>
    <row r="2" spans="2:28" ht="15.95" customHeight="1" x14ac:dyDescent="0.15">
      <c r="B2" s="319" t="s">
        <v>515</v>
      </c>
      <c r="Z2" s="197"/>
      <c r="AA2" s="197"/>
      <c r="AB2" s="197"/>
    </row>
    <row r="3" spans="2:28" ht="15.95" customHeight="1" x14ac:dyDescent="0.15">
      <c r="C3" s="197" t="s">
        <v>516</v>
      </c>
      <c r="Z3" s="197"/>
      <c r="AA3" s="197"/>
      <c r="AB3" s="197"/>
    </row>
    <row r="4" spans="2:28" ht="12" customHeight="1" x14ac:dyDescent="0.15">
      <c r="Z4" s="197"/>
      <c r="AA4" s="197"/>
      <c r="AB4" s="197"/>
    </row>
    <row r="5" spans="2:28" ht="12" customHeight="1" x14ac:dyDescent="0.15">
      <c r="Z5" s="197"/>
      <c r="AA5" s="197"/>
      <c r="AB5" s="197"/>
    </row>
    <row r="6" spans="2:28" ht="12" customHeight="1" x14ac:dyDescent="0.15">
      <c r="Z6" s="197"/>
      <c r="AA6" s="197"/>
      <c r="AB6" s="197"/>
    </row>
    <row r="7" spans="2:28" ht="12" customHeight="1" x14ac:dyDescent="0.15">
      <c r="Z7" s="197"/>
      <c r="AA7" s="197"/>
      <c r="AB7" s="197"/>
    </row>
    <row r="8" spans="2:28" ht="12" customHeight="1" x14ac:dyDescent="0.15">
      <c r="Z8" s="197"/>
      <c r="AA8" s="197"/>
      <c r="AB8" s="197"/>
    </row>
    <row r="9" spans="2:28" ht="12" customHeight="1" x14ac:dyDescent="0.15">
      <c r="Z9" s="197"/>
      <c r="AA9" s="197"/>
      <c r="AB9" s="197"/>
    </row>
    <row r="10" spans="2:28" ht="12" customHeight="1" x14ac:dyDescent="0.15">
      <c r="Z10" s="197"/>
      <c r="AA10" s="197"/>
      <c r="AB10" s="197"/>
    </row>
    <row r="11" spans="2:28" ht="12" customHeight="1" x14ac:dyDescent="0.15">
      <c r="Z11" s="197"/>
      <c r="AA11" s="197"/>
      <c r="AB11" s="197"/>
    </row>
    <row r="12" spans="2:28" ht="12" customHeight="1" x14ac:dyDescent="0.15">
      <c r="Z12" s="197"/>
      <c r="AA12" s="197"/>
      <c r="AB12" s="197"/>
    </row>
    <row r="13" spans="2:28" ht="12" customHeight="1" x14ac:dyDescent="0.15">
      <c r="Z13" s="197"/>
      <c r="AA13" s="197"/>
      <c r="AB13" s="197"/>
    </row>
    <row r="14" spans="2:28" ht="12" customHeight="1" x14ac:dyDescent="0.15">
      <c r="Z14" s="197"/>
      <c r="AA14" s="197"/>
      <c r="AB14" s="197"/>
    </row>
    <row r="15" spans="2:28" ht="12" customHeight="1" x14ac:dyDescent="0.15">
      <c r="Z15" s="197"/>
      <c r="AA15" s="197"/>
      <c r="AB15" s="197"/>
    </row>
    <row r="16" spans="2:28" ht="12" customHeight="1" x14ac:dyDescent="0.15">
      <c r="Z16" s="197"/>
      <c r="AA16" s="197"/>
      <c r="AB16" s="197"/>
    </row>
    <row r="17" spans="26:28" ht="12" customHeight="1" x14ac:dyDescent="0.15">
      <c r="Z17" s="197"/>
      <c r="AA17" s="197"/>
      <c r="AB17" s="197"/>
    </row>
    <row r="18" spans="26:28" ht="12" customHeight="1" x14ac:dyDescent="0.15">
      <c r="Z18" s="197"/>
      <c r="AA18" s="197"/>
      <c r="AB18" s="197"/>
    </row>
    <row r="19" spans="26:28" ht="12" customHeight="1" x14ac:dyDescent="0.15">
      <c r="Z19" s="197"/>
      <c r="AA19" s="197"/>
      <c r="AB19" s="197"/>
    </row>
    <row r="20" spans="26:28" ht="12" customHeight="1" x14ac:dyDescent="0.15">
      <c r="Z20" s="197"/>
      <c r="AA20" s="197"/>
      <c r="AB20" s="197"/>
    </row>
    <row r="21" spans="26:28" ht="12" customHeight="1" x14ac:dyDescent="0.15">
      <c r="Z21" s="197"/>
      <c r="AA21" s="197"/>
      <c r="AB21" s="197"/>
    </row>
    <row r="22" spans="26:28" ht="12" customHeight="1" x14ac:dyDescent="0.15">
      <c r="Z22" s="197"/>
      <c r="AA22" s="197"/>
      <c r="AB22" s="197"/>
    </row>
    <row r="23" spans="26:28" ht="12" customHeight="1" x14ac:dyDescent="0.15">
      <c r="Z23" s="197"/>
      <c r="AA23" s="197"/>
      <c r="AB23" s="197"/>
    </row>
    <row r="24" spans="26:28" ht="12" customHeight="1" x14ac:dyDescent="0.15">
      <c r="Z24" s="197"/>
      <c r="AA24" s="197"/>
      <c r="AB24" s="197"/>
    </row>
    <row r="25" spans="26:28" ht="12" customHeight="1" x14ac:dyDescent="0.15">
      <c r="Z25" s="197"/>
      <c r="AA25" s="197"/>
      <c r="AB25" s="197"/>
    </row>
    <row r="26" spans="26:28" ht="12" customHeight="1" x14ac:dyDescent="0.15">
      <c r="Z26" s="197"/>
      <c r="AA26" s="197"/>
      <c r="AB26" s="197"/>
    </row>
    <row r="27" spans="26:28" ht="12" customHeight="1" x14ac:dyDescent="0.15">
      <c r="Z27" s="197"/>
      <c r="AA27" s="197"/>
      <c r="AB27" s="197"/>
    </row>
    <row r="28" spans="26:28" ht="12" customHeight="1" x14ac:dyDescent="0.15">
      <c r="Z28" s="197"/>
      <c r="AA28" s="197"/>
      <c r="AB28" s="197"/>
    </row>
    <row r="29" spans="26:28" ht="12" customHeight="1" x14ac:dyDescent="0.15">
      <c r="Z29" s="197"/>
      <c r="AA29" s="197"/>
      <c r="AB29" s="197"/>
    </row>
    <row r="30" spans="26:28" ht="12" customHeight="1" x14ac:dyDescent="0.15">
      <c r="Z30" s="197"/>
      <c r="AA30" s="197"/>
      <c r="AB30" s="197"/>
    </row>
    <row r="31" spans="26:28" ht="12" customHeight="1" x14ac:dyDescent="0.15">
      <c r="Z31" s="197"/>
      <c r="AA31" s="197"/>
      <c r="AB31" s="197"/>
    </row>
    <row r="32" spans="26:28" ht="12" customHeight="1" x14ac:dyDescent="0.15">
      <c r="Z32" s="197"/>
      <c r="AA32" s="197"/>
      <c r="AB32" s="197"/>
    </row>
    <row r="33" spans="26:28" ht="12" customHeight="1" x14ac:dyDescent="0.15">
      <c r="Z33" s="197"/>
      <c r="AA33" s="197"/>
      <c r="AB33" s="197"/>
    </row>
    <row r="34" spans="26:28" ht="12" customHeight="1" x14ac:dyDescent="0.15">
      <c r="Z34" s="197"/>
      <c r="AA34" s="197"/>
      <c r="AB34" s="197"/>
    </row>
    <row r="35" spans="26:28" ht="12" customHeight="1" x14ac:dyDescent="0.15">
      <c r="Z35" s="197"/>
      <c r="AA35" s="197"/>
      <c r="AB35" s="197"/>
    </row>
    <row r="36" spans="26:28" ht="12" customHeight="1" x14ac:dyDescent="0.15">
      <c r="Z36" s="197"/>
      <c r="AA36" s="197"/>
      <c r="AB36" s="197"/>
    </row>
    <row r="37" spans="26:28" ht="12" customHeight="1" x14ac:dyDescent="0.15">
      <c r="Z37" s="197"/>
      <c r="AA37" s="197"/>
      <c r="AB37" s="197"/>
    </row>
    <row r="38" spans="26:28" ht="12" customHeight="1" x14ac:dyDescent="0.15">
      <c r="Z38" s="197"/>
      <c r="AA38" s="197"/>
      <c r="AB38" s="197"/>
    </row>
    <row r="39" spans="26:28" ht="12" customHeight="1" x14ac:dyDescent="0.15">
      <c r="Z39" s="197"/>
      <c r="AA39" s="197"/>
      <c r="AB39" s="197"/>
    </row>
    <row r="40" spans="26:28" ht="12" customHeight="1" x14ac:dyDescent="0.15">
      <c r="Z40" s="197"/>
      <c r="AA40" s="197"/>
      <c r="AB40" s="197"/>
    </row>
    <row r="41" spans="26:28" ht="12" customHeight="1" x14ac:dyDescent="0.15">
      <c r="Z41" s="197"/>
      <c r="AA41" s="197"/>
      <c r="AB41" s="197"/>
    </row>
    <row r="42" spans="26:28" ht="12" customHeight="1" x14ac:dyDescent="0.15">
      <c r="Z42" s="197"/>
      <c r="AA42" s="197"/>
      <c r="AB42" s="197"/>
    </row>
    <row r="43" spans="26:28" ht="12" customHeight="1" x14ac:dyDescent="0.15">
      <c r="Z43" s="197"/>
      <c r="AA43" s="197"/>
      <c r="AB43" s="197"/>
    </row>
    <row r="44" spans="26:28" ht="12" customHeight="1" x14ac:dyDescent="0.15">
      <c r="Z44" s="197"/>
      <c r="AA44" s="197"/>
      <c r="AB44" s="197"/>
    </row>
    <row r="45" spans="26:28" ht="12" customHeight="1" x14ac:dyDescent="0.15">
      <c r="Z45" s="197"/>
      <c r="AA45" s="197"/>
      <c r="AB45" s="197"/>
    </row>
    <row r="46" spans="26:28" ht="12" customHeight="1" x14ac:dyDescent="0.15">
      <c r="Z46" s="197"/>
      <c r="AA46" s="197"/>
      <c r="AB46" s="197"/>
    </row>
    <row r="47" spans="26:28" ht="12" customHeight="1" x14ac:dyDescent="0.15">
      <c r="Z47" s="197"/>
      <c r="AA47" s="197"/>
      <c r="AB47" s="197"/>
    </row>
    <row r="48" spans="26:28" ht="12" customHeight="1" x14ac:dyDescent="0.15">
      <c r="Z48" s="197"/>
      <c r="AA48" s="197"/>
      <c r="AB48" s="197"/>
    </row>
    <row r="49" spans="2:33" ht="12" customHeight="1" x14ac:dyDescent="0.15">
      <c r="C49" s="201"/>
      <c r="Z49" s="197"/>
      <c r="AA49" s="197"/>
      <c r="AB49" s="197"/>
    </row>
    <row r="50" spans="2:33" ht="11.1" customHeight="1" x14ac:dyDescent="0.15">
      <c r="B50" s="202"/>
      <c r="C50" s="203"/>
      <c r="M50" s="204" t="s">
        <v>473</v>
      </c>
      <c r="N50" s="205"/>
      <c r="O50" s="205"/>
      <c r="P50" s="204" t="s">
        <v>474</v>
      </c>
      <c r="Q50" s="205"/>
      <c r="R50" s="205"/>
      <c r="S50" s="205"/>
      <c r="Z50" s="197"/>
      <c r="AA50" s="197"/>
      <c r="AB50" s="197"/>
    </row>
    <row r="51" spans="2:33" ht="11.1" customHeight="1" x14ac:dyDescent="0.15">
      <c r="B51" s="202"/>
      <c r="L51" s="206" t="s">
        <v>475</v>
      </c>
      <c r="M51" s="315">
        <v>0.71</v>
      </c>
      <c r="P51" s="315">
        <v>1</v>
      </c>
      <c r="R51" s="202" t="s">
        <v>476</v>
      </c>
      <c r="Z51" s="197"/>
      <c r="AA51" s="197"/>
      <c r="AB51" s="197"/>
    </row>
    <row r="52" spans="2:33" ht="11.1" customHeight="1" x14ac:dyDescent="0.15">
      <c r="G52" s="197"/>
      <c r="H52" s="197"/>
      <c r="L52" s="206" t="s">
        <v>477</v>
      </c>
      <c r="M52" s="316">
        <v>2000</v>
      </c>
      <c r="N52" s="207"/>
      <c r="O52" s="207"/>
      <c r="P52" s="316">
        <v>1300</v>
      </c>
      <c r="Q52" s="207"/>
      <c r="R52" s="202" t="s">
        <v>478</v>
      </c>
      <c r="S52" s="207"/>
      <c r="AC52" s="207"/>
    </row>
    <row r="53" spans="2:33" ht="11.1" customHeight="1" x14ac:dyDescent="0.15">
      <c r="L53" s="206" t="s">
        <v>479</v>
      </c>
      <c r="M53" s="316">
        <v>0</v>
      </c>
      <c r="P53" s="316">
        <v>70</v>
      </c>
      <c r="R53" s="202" t="s">
        <v>480</v>
      </c>
      <c r="Z53" s="197"/>
      <c r="AA53" s="197"/>
      <c r="AB53" s="197"/>
    </row>
    <row r="54" spans="2:33" s="201" customFormat="1" ht="11.1" customHeight="1" x14ac:dyDescent="0.15">
      <c r="E54" s="208"/>
      <c r="F54" s="209"/>
      <c r="G54" s="209"/>
      <c r="H54" s="209"/>
      <c r="I54" s="209"/>
      <c r="J54" s="209"/>
      <c r="K54" s="209"/>
      <c r="L54" s="206" t="s">
        <v>481</v>
      </c>
      <c r="M54" s="317">
        <v>1200</v>
      </c>
      <c r="P54" s="317">
        <v>1200</v>
      </c>
      <c r="X54" s="197"/>
      <c r="Y54" s="210"/>
      <c r="AB54" s="200"/>
      <c r="AC54" s="200"/>
      <c r="AD54" s="211"/>
      <c r="AE54" s="210"/>
    </row>
    <row r="55" spans="2:33" s="201" customFormat="1" ht="11.1" customHeight="1" x14ac:dyDescent="0.15">
      <c r="E55" s="212"/>
      <c r="F55" s="213"/>
      <c r="G55" s="213"/>
      <c r="H55" s="213"/>
      <c r="I55" s="213"/>
      <c r="J55" s="213"/>
      <c r="K55" s="213"/>
      <c r="L55" s="206" t="s">
        <v>482</v>
      </c>
      <c r="M55" s="318">
        <v>2</v>
      </c>
      <c r="P55" s="318">
        <v>2</v>
      </c>
      <c r="S55" s="205"/>
      <c r="AA55" s="214" t="s">
        <v>483</v>
      </c>
      <c r="AB55" s="215"/>
      <c r="AC55" s="216"/>
      <c r="AD55" s="197"/>
      <c r="AE55" s="197"/>
      <c r="AF55" s="197"/>
      <c r="AG55" s="207"/>
    </row>
    <row r="56" spans="2:33" s="201" customFormat="1" ht="11.1" customHeight="1" x14ac:dyDescent="0.2">
      <c r="B56" s="217"/>
      <c r="C56" s="199" t="s">
        <v>266</v>
      </c>
      <c r="E56" s="212"/>
      <c r="F56" s="199" t="s">
        <v>484</v>
      </c>
      <c r="G56" s="199"/>
      <c r="H56" s="218"/>
      <c r="I56" s="199" t="s">
        <v>485</v>
      </c>
      <c r="J56" s="197"/>
      <c r="K56" s="219"/>
      <c r="S56" s="205"/>
      <c r="AA56" s="220">
        <f>8.021/365.25</f>
        <v>2.1960301163586587E-2</v>
      </c>
      <c r="AB56" s="221">
        <v>2.0619999999999998</v>
      </c>
      <c r="AC56" s="222">
        <v>30.07</v>
      </c>
      <c r="AD56" s="223" t="s">
        <v>268</v>
      </c>
      <c r="AE56" s="223"/>
      <c r="AF56" s="223"/>
    </row>
    <row r="57" spans="2:33" ht="15.75" customHeight="1" x14ac:dyDescent="0.15">
      <c r="B57" s="405" t="s">
        <v>486</v>
      </c>
      <c r="C57" s="405" t="s">
        <v>487</v>
      </c>
      <c r="D57" s="405" t="s">
        <v>488</v>
      </c>
      <c r="E57" s="224"/>
      <c r="F57" s="405" t="s">
        <v>489</v>
      </c>
      <c r="G57" s="405" t="s">
        <v>490</v>
      </c>
      <c r="H57" s="408" t="s">
        <v>491</v>
      </c>
      <c r="I57" s="411" t="s">
        <v>492</v>
      </c>
      <c r="J57" s="405" t="s">
        <v>493</v>
      </c>
      <c r="K57" s="414" t="s">
        <v>494</v>
      </c>
      <c r="M57" s="417" t="str">
        <f>"Cs-134:事故日"&amp;事故日の濃度1&amp;"から減衰"</f>
        <v>Cs-134:事故日1200から減衰</v>
      </c>
      <c r="N57" s="419" t="s">
        <v>495</v>
      </c>
      <c r="O57" s="421" t="s">
        <v>496</v>
      </c>
      <c r="P57" s="423" t="str">
        <f>"Cs-137:事故日"&amp;事故日の濃度2&amp;"から減衰"</f>
        <v>Cs-137:事故日1200から減衰</v>
      </c>
      <c r="Q57" s="417" t="s">
        <v>497</v>
      </c>
      <c r="R57" s="425" t="s">
        <v>498</v>
      </c>
      <c r="S57" s="205"/>
      <c r="T57" s="403" t="s">
        <v>499</v>
      </c>
      <c r="U57" s="394" t="s">
        <v>500</v>
      </c>
      <c r="V57" s="396" t="s">
        <v>513</v>
      </c>
      <c r="W57" s="399" t="s">
        <v>501</v>
      </c>
      <c r="X57" s="394" t="s">
        <v>502</v>
      </c>
      <c r="Y57" s="394" t="s">
        <v>514</v>
      </c>
      <c r="AA57" s="403" t="s">
        <v>503</v>
      </c>
      <c r="AB57" s="403" t="s">
        <v>504</v>
      </c>
      <c r="AC57" s="403" t="s">
        <v>505</v>
      </c>
      <c r="AD57" s="403" t="s">
        <v>506</v>
      </c>
      <c r="AE57" s="403" t="s">
        <v>507</v>
      </c>
      <c r="AF57" s="403" t="s">
        <v>508</v>
      </c>
      <c r="AG57" s="392" t="s">
        <v>509</v>
      </c>
    </row>
    <row r="58" spans="2:33" ht="15.75" customHeight="1" x14ac:dyDescent="0.15">
      <c r="B58" s="406"/>
      <c r="C58" s="406"/>
      <c r="D58" s="406"/>
      <c r="E58" s="225"/>
      <c r="F58" s="406"/>
      <c r="G58" s="406"/>
      <c r="H58" s="409"/>
      <c r="I58" s="412"/>
      <c r="J58" s="406"/>
      <c r="K58" s="415"/>
      <c r="M58" s="418"/>
      <c r="N58" s="420"/>
      <c r="O58" s="422"/>
      <c r="P58" s="424"/>
      <c r="Q58" s="418"/>
      <c r="R58" s="426"/>
      <c r="S58" s="205"/>
      <c r="T58" s="404"/>
      <c r="U58" s="395"/>
      <c r="V58" s="397"/>
      <c r="W58" s="400"/>
      <c r="X58" s="395"/>
      <c r="Y58" s="401"/>
      <c r="AA58" s="404"/>
      <c r="AB58" s="404"/>
      <c r="AC58" s="404"/>
      <c r="AD58" s="404"/>
      <c r="AE58" s="404"/>
      <c r="AF58" s="404"/>
      <c r="AG58" s="393"/>
    </row>
    <row r="59" spans="2:33" ht="15.75" customHeight="1" x14ac:dyDescent="0.15">
      <c r="B59" s="406"/>
      <c r="C59" s="406"/>
      <c r="D59" s="406"/>
      <c r="E59" s="225"/>
      <c r="F59" s="406"/>
      <c r="G59" s="406"/>
      <c r="H59" s="409"/>
      <c r="I59" s="412"/>
      <c r="J59" s="406"/>
      <c r="K59" s="415"/>
      <c r="M59" s="418"/>
      <c r="N59" s="420"/>
      <c r="O59" s="422"/>
      <c r="P59" s="424"/>
      <c r="Q59" s="418"/>
      <c r="R59" s="426"/>
      <c r="S59" s="205"/>
      <c r="T59" s="404"/>
      <c r="U59" s="395"/>
      <c r="V59" s="397"/>
      <c r="W59" s="400"/>
      <c r="X59" s="395"/>
      <c r="Y59" s="401"/>
      <c r="AA59" s="404"/>
      <c r="AB59" s="404"/>
      <c r="AC59" s="404"/>
      <c r="AD59" s="404"/>
      <c r="AE59" s="404"/>
      <c r="AF59" s="404"/>
      <c r="AG59" s="393"/>
    </row>
    <row r="60" spans="2:33" ht="15.75" customHeight="1" x14ac:dyDescent="0.15">
      <c r="B60" s="406"/>
      <c r="C60" s="406"/>
      <c r="D60" s="406"/>
      <c r="E60" s="225"/>
      <c r="F60" s="406"/>
      <c r="G60" s="406"/>
      <c r="H60" s="409"/>
      <c r="I60" s="412"/>
      <c r="J60" s="406"/>
      <c r="K60" s="415"/>
      <c r="M60" s="418"/>
      <c r="N60" s="420"/>
      <c r="O60" s="422"/>
      <c r="P60" s="424"/>
      <c r="Q60" s="418"/>
      <c r="R60" s="426"/>
      <c r="S60" s="205"/>
      <c r="T60" s="404"/>
      <c r="U60" s="395"/>
      <c r="V60" s="397"/>
      <c r="W60" s="400"/>
      <c r="X60" s="395"/>
      <c r="Y60" s="401"/>
      <c r="AA60" s="404"/>
      <c r="AB60" s="404"/>
      <c r="AC60" s="404"/>
      <c r="AD60" s="404"/>
      <c r="AE60" s="404"/>
      <c r="AF60" s="404"/>
      <c r="AG60" s="393"/>
    </row>
    <row r="61" spans="2:33" ht="13.5" customHeight="1" x14ac:dyDescent="0.15">
      <c r="B61" s="407"/>
      <c r="C61" s="407"/>
      <c r="D61" s="407"/>
      <c r="E61" s="226"/>
      <c r="F61" s="407"/>
      <c r="G61" s="407"/>
      <c r="H61" s="410"/>
      <c r="I61" s="413"/>
      <c r="J61" s="407"/>
      <c r="K61" s="416"/>
      <c r="M61" s="418"/>
      <c r="N61" s="420"/>
      <c r="O61" s="422"/>
      <c r="P61" s="424"/>
      <c r="Q61" s="418"/>
      <c r="R61" s="426"/>
      <c r="S61" s="205"/>
      <c r="T61" s="404"/>
      <c r="U61" s="395"/>
      <c r="V61" s="398"/>
      <c r="W61" s="400"/>
      <c r="X61" s="395"/>
      <c r="Y61" s="402"/>
      <c r="AA61" s="404"/>
      <c r="AB61" s="404"/>
      <c r="AC61" s="404"/>
      <c r="AD61" s="404"/>
      <c r="AE61" s="404"/>
      <c r="AF61" s="404"/>
      <c r="AG61" s="393"/>
    </row>
    <row r="62" spans="2:33" ht="11.1" customHeight="1" x14ac:dyDescent="0.15">
      <c r="B62" s="227"/>
      <c r="C62" s="227"/>
      <c r="D62" s="228"/>
      <c r="E62" s="231"/>
      <c r="F62" s="232" t="s">
        <v>510</v>
      </c>
      <c r="G62" s="232" t="s">
        <v>510</v>
      </c>
      <c r="H62" s="233" t="s">
        <v>510</v>
      </c>
      <c r="I62" s="234" t="s">
        <v>510</v>
      </c>
      <c r="J62" s="232" t="s">
        <v>511</v>
      </c>
      <c r="K62" s="232" t="s">
        <v>510</v>
      </c>
      <c r="M62" s="235" t="s">
        <v>510</v>
      </c>
      <c r="N62" s="236"/>
      <c r="O62" s="237"/>
      <c r="P62" s="238" t="s">
        <v>510</v>
      </c>
      <c r="Q62" s="236"/>
      <c r="R62" s="236"/>
      <c r="S62" s="205"/>
      <c r="T62" s="229"/>
      <c r="U62" s="239"/>
      <c r="V62" s="240"/>
      <c r="W62" s="241"/>
      <c r="X62" s="239"/>
      <c r="Y62" s="239"/>
      <c r="AA62" s="235" t="s">
        <v>512</v>
      </c>
      <c r="AB62" s="235" t="s">
        <v>510</v>
      </c>
      <c r="AC62" s="235" t="s">
        <v>510</v>
      </c>
      <c r="AD62" s="242" t="s">
        <v>510</v>
      </c>
      <c r="AE62" s="242" t="s">
        <v>510</v>
      </c>
      <c r="AF62" s="242" t="s">
        <v>510</v>
      </c>
      <c r="AG62" s="242" t="s">
        <v>510</v>
      </c>
    </row>
    <row r="63" spans="2:33" ht="11.1" customHeight="1" x14ac:dyDescent="0.15">
      <c r="B63" s="243"/>
      <c r="C63" s="243"/>
      <c r="D63" s="244"/>
      <c r="E63" s="245"/>
      <c r="F63" s="246"/>
      <c r="G63" s="246"/>
      <c r="H63" s="247"/>
      <c r="I63" s="248"/>
      <c r="J63" s="246"/>
      <c r="K63" s="246"/>
      <c r="M63" s="249"/>
      <c r="N63" s="250"/>
      <c r="O63" s="251"/>
      <c r="P63" s="252"/>
      <c r="Q63" s="253"/>
      <c r="R63" s="253"/>
      <c r="S63" s="205"/>
      <c r="T63" s="254"/>
      <c r="U63" s="239"/>
      <c r="V63" s="240"/>
      <c r="W63" s="255"/>
      <c r="X63" s="239"/>
      <c r="Y63" s="239"/>
      <c r="AA63" s="256"/>
      <c r="AB63" s="256"/>
      <c r="AC63" s="256"/>
      <c r="AD63" s="257"/>
      <c r="AE63" s="257"/>
      <c r="AF63" s="257"/>
      <c r="AG63" s="257"/>
    </row>
    <row r="64" spans="2:33" ht="11.1" customHeight="1" x14ac:dyDescent="0.15">
      <c r="B64" s="258">
        <v>1</v>
      </c>
      <c r="C64" s="259">
        <v>40616</v>
      </c>
      <c r="D64" s="260"/>
      <c r="E64" s="263">
        <v>40616</v>
      </c>
      <c r="F64" s="258"/>
      <c r="G64" s="258"/>
      <c r="H64" s="264"/>
      <c r="I64" s="265"/>
      <c r="J64" s="266"/>
      <c r="K64" s="266"/>
      <c r="L64" s="267"/>
      <c r="M64" s="268">
        <v>1200</v>
      </c>
      <c r="N64" s="269"/>
      <c r="O64" s="270"/>
      <c r="P64" s="271">
        <v>1200</v>
      </c>
      <c r="Q64" s="269"/>
      <c r="R64" s="272"/>
      <c r="S64" s="205"/>
      <c r="T64" s="254"/>
      <c r="U64" s="239"/>
      <c r="V64" s="240"/>
      <c r="W64" s="255"/>
      <c r="X64" s="239"/>
      <c r="Y64" s="239"/>
      <c r="AA64" s="269">
        <v>1</v>
      </c>
      <c r="AB64" s="269">
        <v>1</v>
      </c>
      <c r="AC64" s="269">
        <v>1</v>
      </c>
      <c r="AD64" s="269">
        <f>AB64+AC64</f>
        <v>2</v>
      </c>
      <c r="AE64" s="273"/>
      <c r="AF64" s="273">
        <v>500</v>
      </c>
      <c r="AG64" s="273">
        <v>500</v>
      </c>
    </row>
    <row r="65" spans="2:33" ht="11.1" customHeight="1" x14ac:dyDescent="0.15">
      <c r="B65" s="274">
        <v>2</v>
      </c>
      <c r="C65" s="275">
        <v>41012</v>
      </c>
      <c r="D65" s="276">
        <v>5693.7099343496038</v>
      </c>
      <c r="E65" s="277">
        <v>41000</v>
      </c>
      <c r="F65" s="274">
        <v>340</v>
      </c>
      <c r="G65" s="274">
        <v>510</v>
      </c>
      <c r="H65" s="278">
        <f>G65+F65</f>
        <v>850</v>
      </c>
      <c r="I65" s="279">
        <v>35</v>
      </c>
      <c r="J65" s="280">
        <v>42</v>
      </c>
      <c r="K65" s="281">
        <f>J65+I65</f>
        <v>77</v>
      </c>
      <c r="L65" s="267"/>
      <c r="M65" s="268">
        <v>429.96057295534786</v>
      </c>
      <c r="N65" s="281">
        <f t="shared" ref="N65:N96" si="0">下駄1-(F65-40999)/除数11</f>
        <v>20.329499999999999</v>
      </c>
      <c r="O65" s="278">
        <f t="shared" ref="O65:O96" si="1">(M65+N65)*(1-V65/除数12)</f>
        <v>411.19404766024519</v>
      </c>
      <c r="P65" s="271">
        <v>579.02443403557709</v>
      </c>
      <c r="Q65" s="281">
        <f t="shared" ref="Q65:Q96" si="2">下駄2-(G65-40999)/除数21</f>
        <v>101.14538461538461</v>
      </c>
      <c r="R65" s="268">
        <f t="shared" ref="R65:R96" si="3">(P65+Q65)*(1-V65/除数22)</f>
        <v>621.11469389456863</v>
      </c>
      <c r="S65" s="205"/>
      <c r="T65" s="282">
        <v>80</v>
      </c>
      <c r="U65" s="283">
        <f t="shared" ref="U65:U96" si="4">PI()/180*T65</f>
        <v>1.3962634015954636</v>
      </c>
      <c r="V65" s="284">
        <f t="shared" ref="V65:V96" si="5">COS(U65)</f>
        <v>0.17364817766693041</v>
      </c>
      <c r="W65" s="285">
        <v>80</v>
      </c>
      <c r="X65" s="283">
        <f t="shared" ref="X65:X96" si="6">PI()/180*W65</f>
        <v>1.3962634015954636</v>
      </c>
      <c r="Y65" s="283">
        <f t="shared" ref="Y65:Y96" si="7">COS(X65)</f>
        <v>0.17364817766693041</v>
      </c>
      <c r="AA65" s="286">
        <v>1.3739705876707099E-15</v>
      </c>
      <c r="AB65" s="287">
        <v>0.69457548573370353</v>
      </c>
      <c r="AC65" s="287">
        <v>0.97531785729637899</v>
      </c>
      <c r="AD65" s="287">
        <f>AB65+AC65</f>
        <v>1.6698933430300826</v>
      </c>
      <c r="AE65" s="273">
        <v>1000</v>
      </c>
      <c r="AF65" s="268">
        <v>347.28774286685177</v>
      </c>
      <c r="AG65" s="268">
        <v>487.65892864818949</v>
      </c>
    </row>
    <row r="66" spans="2:33" ht="11.1" customHeight="1" x14ac:dyDescent="0.15">
      <c r="B66" s="274">
        <v>3</v>
      </c>
      <c r="C66" s="275">
        <v>41045</v>
      </c>
      <c r="D66" s="276">
        <v>6461.0235251811728</v>
      </c>
      <c r="E66" s="277">
        <v>41030</v>
      </c>
      <c r="F66" s="274">
        <v>550</v>
      </c>
      <c r="G66" s="274">
        <v>850</v>
      </c>
      <c r="H66" s="278">
        <f>G66+F66</f>
        <v>1400</v>
      </c>
      <c r="I66" s="288">
        <v>41</v>
      </c>
      <c r="J66" s="274">
        <v>63</v>
      </c>
      <c r="K66" s="281">
        <f t="shared" ref="K66:K129" si="8">J66+I66</f>
        <v>104</v>
      </c>
      <c r="L66" s="267"/>
      <c r="M66" s="268">
        <v>396.8297377955073</v>
      </c>
      <c r="N66" s="281">
        <f t="shared" si="0"/>
        <v>20.224499999999999</v>
      </c>
      <c r="O66" s="278">
        <f t="shared" si="1"/>
        <v>576.79527846674182</v>
      </c>
      <c r="P66" s="271">
        <v>546.98013046011727</v>
      </c>
      <c r="Q66" s="281">
        <f t="shared" si="2"/>
        <v>100.88384615384615</v>
      </c>
      <c r="R66" s="268">
        <f t="shared" si="3"/>
        <v>896.01027620500838</v>
      </c>
      <c r="S66" s="205"/>
      <c r="T66" s="282">
        <v>140</v>
      </c>
      <c r="U66" s="283">
        <f t="shared" si="4"/>
        <v>2.4434609527920612</v>
      </c>
      <c r="V66" s="284">
        <f t="shared" si="5"/>
        <v>-0.7660444431189779</v>
      </c>
      <c r="W66" s="285">
        <v>110</v>
      </c>
      <c r="X66" s="283">
        <f t="shared" si="6"/>
        <v>1.9198621771937625</v>
      </c>
      <c r="Y66" s="283">
        <f t="shared" si="7"/>
        <v>-0.34202014332566871</v>
      </c>
      <c r="AA66" s="286">
        <v>7.9336960051412041E-17</v>
      </c>
      <c r="AB66" s="287">
        <v>0.67379751598409898</v>
      </c>
      <c r="AC66" s="287">
        <v>0.97328872093044583</v>
      </c>
      <c r="AD66" s="287">
        <f t="shared" ref="AD66:AD129" si="9">AB66+AC66</f>
        <v>1.6470862369145447</v>
      </c>
      <c r="AE66" s="268">
        <v>9840.024405930897</v>
      </c>
      <c r="AF66" s="268">
        <v>336.89875799204947</v>
      </c>
      <c r="AG66" s="268">
        <v>486.64436046522292</v>
      </c>
    </row>
    <row r="67" spans="2:33" ht="11.1" customHeight="1" x14ac:dyDescent="0.15">
      <c r="B67" s="274">
        <v>4</v>
      </c>
      <c r="C67" s="275">
        <v>41073</v>
      </c>
      <c r="D67" s="276">
        <v>6179.5927881937196</v>
      </c>
      <c r="E67" s="277">
        <v>41061</v>
      </c>
      <c r="F67" s="274">
        <v>550</v>
      </c>
      <c r="G67" s="274">
        <v>890</v>
      </c>
      <c r="H67" s="278">
        <f>G67+F67</f>
        <v>1440</v>
      </c>
      <c r="I67" s="288">
        <v>61</v>
      </c>
      <c r="J67" s="274">
        <v>87</v>
      </c>
      <c r="K67" s="281">
        <f t="shared" si="8"/>
        <v>148</v>
      </c>
      <c r="L67" s="267"/>
      <c r="M67" s="268">
        <v>365.274178794161</v>
      </c>
      <c r="N67" s="281">
        <f t="shared" si="0"/>
        <v>20.224499999999999</v>
      </c>
      <c r="O67" s="278">
        <f t="shared" si="1"/>
        <v>578.2480181912415</v>
      </c>
      <c r="P67" s="271">
        <v>515.72956914725592</v>
      </c>
      <c r="Q67" s="281">
        <f t="shared" si="2"/>
        <v>100.85307692307693</v>
      </c>
      <c r="R67" s="268">
        <f t="shared" si="3"/>
        <v>924.87396910549933</v>
      </c>
      <c r="S67" s="205"/>
      <c r="T67" s="282">
        <v>180</v>
      </c>
      <c r="U67" s="283">
        <f t="shared" si="4"/>
        <v>3.1415926535897931</v>
      </c>
      <c r="V67" s="284">
        <f t="shared" si="5"/>
        <v>-1</v>
      </c>
      <c r="W67" s="285">
        <v>140</v>
      </c>
      <c r="X67" s="283">
        <f t="shared" si="6"/>
        <v>2.4434609527920612</v>
      </c>
      <c r="Y67" s="283">
        <f t="shared" si="7"/>
        <v>-0.7660444431189779</v>
      </c>
      <c r="AA67" s="286">
        <v>7.0570870630048808E-18</v>
      </c>
      <c r="AB67" s="287">
        <v>0.65665590138526675</v>
      </c>
      <c r="AC67" s="287">
        <v>0.97157034041325652</v>
      </c>
      <c r="AD67" s="287">
        <f t="shared" si="9"/>
        <v>1.6282262417985232</v>
      </c>
      <c r="AE67" s="268">
        <v>9707.8187297706172</v>
      </c>
      <c r="AF67" s="268">
        <v>328.32795069263335</v>
      </c>
      <c r="AG67" s="268">
        <v>485.78517020662827</v>
      </c>
    </row>
    <row r="68" spans="2:33" ht="11.1" customHeight="1" x14ac:dyDescent="0.15">
      <c r="B68" s="274">
        <v>5</v>
      </c>
      <c r="C68" s="275">
        <v>41101</v>
      </c>
      <c r="D68" s="276">
        <v>6411.8394300434275</v>
      </c>
      <c r="E68" s="277">
        <v>41091</v>
      </c>
      <c r="F68" s="274">
        <v>460</v>
      </c>
      <c r="G68" s="274">
        <v>760</v>
      </c>
      <c r="H68" s="278">
        <f>G68+F68</f>
        <v>1220</v>
      </c>
      <c r="I68" s="288">
        <v>41</v>
      </c>
      <c r="J68" s="274">
        <v>55</v>
      </c>
      <c r="K68" s="281">
        <f t="shared" si="8"/>
        <v>96</v>
      </c>
      <c r="L68" s="267"/>
      <c r="M68" s="268">
        <v>337.12778731786102</v>
      </c>
      <c r="N68" s="281">
        <f t="shared" si="0"/>
        <v>20.269500000000001</v>
      </c>
      <c r="O68" s="278">
        <f t="shared" si="1"/>
        <v>512.15485234831783</v>
      </c>
      <c r="P68" s="271">
        <v>487.18812269841669</v>
      </c>
      <c r="Q68" s="281">
        <f t="shared" si="2"/>
        <v>100.95307692307692</v>
      </c>
      <c r="R68" s="268">
        <f t="shared" si="3"/>
        <v>842.81380956372755</v>
      </c>
      <c r="S68" s="205"/>
      <c r="T68" s="282">
        <v>210</v>
      </c>
      <c r="U68" s="283">
        <f t="shared" si="4"/>
        <v>3.6651914291880923</v>
      </c>
      <c r="V68" s="284">
        <f t="shared" si="5"/>
        <v>-0.8660254037844386</v>
      </c>
      <c r="W68" s="285">
        <v>170</v>
      </c>
      <c r="X68" s="283">
        <f t="shared" si="6"/>
        <v>2.9670597283903604</v>
      </c>
      <c r="Y68" s="283">
        <f t="shared" si="7"/>
        <v>-0.98480775301220802</v>
      </c>
      <c r="AA68" s="286">
        <v>6.2773362859577408E-19</v>
      </c>
      <c r="AB68" s="287">
        <v>0.63995037469724503</v>
      </c>
      <c r="AC68" s="287">
        <v>0.96985499376622131</v>
      </c>
      <c r="AD68" s="287">
        <f t="shared" si="9"/>
        <v>1.6098053684634663</v>
      </c>
      <c r="AE68" s="268">
        <v>9578.7678474331897</v>
      </c>
      <c r="AF68" s="268">
        <v>319.97518734862251</v>
      </c>
      <c r="AG68" s="268">
        <v>484.92749688311068</v>
      </c>
    </row>
    <row r="69" spans="2:33" ht="11.1" customHeight="1" x14ac:dyDescent="0.15">
      <c r="B69" s="274">
        <v>6</v>
      </c>
      <c r="C69" s="275">
        <v>41129</v>
      </c>
      <c r="D69" s="276">
        <v>6767.281654590066</v>
      </c>
      <c r="E69" s="277">
        <v>41122</v>
      </c>
      <c r="F69" s="274">
        <v>390</v>
      </c>
      <c r="G69" s="274">
        <v>660</v>
      </c>
      <c r="H69" s="278">
        <f t="shared" ref="H69:H132" si="10">G69+F69</f>
        <v>1050</v>
      </c>
      <c r="I69" s="288">
        <v>19</v>
      </c>
      <c r="J69" s="274">
        <v>38</v>
      </c>
      <c r="K69" s="281">
        <f t="shared" si="8"/>
        <v>57</v>
      </c>
      <c r="L69" s="267"/>
      <c r="M69" s="268">
        <v>310.31967600342068</v>
      </c>
      <c r="N69" s="281">
        <f t="shared" si="0"/>
        <v>20.304500000000001</v>
      </c>
      <c r="O69" s="278">
        <f t="shared" si="1"/>
        <v>413.28022000427598</v>
      </c>
      <c r="P69" s="271">
        <v>459.35365220955737</v>
      </c>
      <c r="Q69" s="281">
        <f t="shared" si="2"/>
        <v>101.03</v>
      </c>
      <c r="R69" s="268">
        <f t="shared" si="3"/>
        <v>700.47956526194685</v>
      </c>
      <c r="S69" s="205"/>
      <c r="T69" s="282">
        <v>240</v>
      </c>
      <c r="U69" s="283">
        <f t="shared" si="4"/>
        <v>4.1887902047863905</v>
      </c>
      <c r="V69" s="284">
        <f t="shared" si="5"/>
        <v>-0.50000000000000044</v>
      </c>
      <c r="W69" s="285">
        <v>200</v>
      </c>
      <c r="X69" s="283">
        <f t="shared" si="6"/>
        <v>3.4906585039886591</v>
      </c>
      <c r="Y69" s="283">
        <f t="shared" si="7"/>
        <v>-0.93969262078590843</v>
      </c>
      <c r="AA69" s="286">
        <v>5.5837416337928373E-20</v>
      </c>
      <c r="AB69" s="287">
        <v>0.62366984171039241</v>
      </c>
      <c r="AC69" s="287">
        <v>0.96814267563292022</v>
      </c>
      <c r="AD69" s="287">
        <f t="shared" si="9"/>
        <v>1.5918125173433126</v>
      </c>
      <c r="AE69" s="268">
        <v>9452.7918682194795</v>
      </c>
      <c r="AF69" s="268">
        <v>311.83492085519623</v>
      </c>
      <c r="AG69" s="268">
        <v>484.07133781646013</v>
      </c>
    </row>
    <row r="70" spans="2:33" ht="11.1" customHeight="1" x14ac:dyDescent="0.15">
      <c r="B70" s="274">
        <v>7</v>
      </c>
      <c r="C70" s="275">
        <v>41164</v>
      </c>
      <c r="D70" s="276">
        <v>6054.9434296986519</v>
      </c>
      <c r="E70" s="277">
        <v>41153</v>
      </c>
      <c r="F70" s="274">
        <v>300</v>
      </c>
      <c r="G70" s="274">
        <v>510</v>
      </c>
      <c r="H70" s="278">
        <f t="shared" si="10"/>
        <v>810</v>
      </c>
      <c r="I70" s="288">
        <v>17</v>
      </c>
      <c r="J70" s="274">
        <v>23</v>
      </c>
      <c r="K70" s="281">
        <f t="shared" si="8"/>
        <v>40</v>
      </c>
      <c r="L70" s="267"/>
      <c r="M70" s="268">
        <v>285.64332261366877</v>
      </c>
      <c r="N70" s="281">
        <f t="shared" si="0"/>
        <v>20.349499999999999</v>
      </c>
      <c r="O70" s="278">
        <f t="shared" si="1"/>
        <v>358.32067713714514</v>
      </c>
      <c r="P70" s="271">
        <v>433.10944575074848</v>
      </c>
      <c r="Q70" s="281">
        <f t="shared" si="2"/>
        <v>101.14538461538461</v>
      </c>
      <c r="R70" s="268">
        <f t="shared" si="3"/>
        <v>625.61778719326082</v>
      </c>
      <c r="S70" s="205"/>
      <c r="T70" s="282">
        <v>250</v>
      </c>
      <c r="U70" s="283">
        <f t="shared" si="4"/>
        <v>4.3633231299858242</v>
      </c>
      <c r="V70" s="284">
        <f t="shared" si="5"/>
        <v>-0.34202014332566855</v>
      </c>
      <c r="W70" s="285">
        <v>230</v>
      </c>
      <c r="X70" s="283">
        <f t="shared" si="6"/>
        <v>4.0142572795869578</v>
      </c>
      <c r="Y70" s="283">
        <f t="shared" si="7"/>
        <v>-0.64278760968653947</v>
      </c>
      <c r="AA70" s="286">
        <v>2.7124560773886395E-21</v>
      </c>
      <c r="AB70" s="287">
        <v>0.60390037779968619</v>
      </c>
      <c r="AC70" s="287">
        <v>0.96600652866886683</v>
      </c>
      <c r="AD70" s="287">
        <f t="shared" si="9"/>
        <v>1.5699069064685531</v>
      </c>
      <c r="AE70" s="268">
        <v>9299.5275528040438</v>
      </c>
      <c r="AF70" s="268">
        <v>301.95018889984311</v>
      </c>
      <c r="AG70" s="268">
        <v>483.00326433443342</v>
      </c>
    </row>
    <row r="71" spans="2:33" ht="11.1" customHeight="1" x14ac:dyDescent="0.15">
      <c r="B71" s="274">
        <v>8</v>
      </c>
      <c r="C71" s="275">
        <v>41199</v>
      </c>
      <c r="D71" s="276">
        <v>6164.2626032404287</v>
      </c>
      <c r="E71" s="277">
        <v>41183</v>
      </c>
      <c r="F71" s="274">
        <v>260</v>
      </c>
      <c r="G71" s="274">
        <v>450</v>
      </c>
      <c r="H71" s="278">
        <f t="shared" si="10"/>
        <v>710</v>
      </c>
      <c r="I71" s="288">
        <v>17</v>
      </c>
      <c r="J71" s="274">
        <v>24</v>
      </c>
      <c r="K71" s="281">
        <f t="shared" si="8"/>
        <v>41</v>
      </c>
      <c r="L71" s="267"/>
      <c r="M71" s="268">
        <v>263.63292810011075</v>
      </c>
      <c r="N71" s="281">
        <f t="shared" si="0"/>
        <v>20.369499999999999</v>
      </c>
      <c r="O71" s="278">
        <f t="shared" si="1"/>
        <v>308.66068014639461</v>
      </c>
      <c r="P71" s="271">
        <v>409.14035266031175</v>
      </c>
      <c r="Q71" s="281">
        <f t="shared" si="2"/>
        <v>101.19153846153846</v>
      </c>
      <c r="R71" s="268">
        <f t="shared" si="3"/>
        <v>554.64099257116402</v>
      </c>
      <c r="S71" s="205"/>
      <c r="T71" s="282">
        <v>260</v>
      </c>
      <c r="U71" s="283">
        <f t="shared" si="4"/>
        <v>4.5378560551852569</v>
      </c>
      <c r="V71" s="284">
        <f t="shared" si="5"/>
        <v>-0.17364817766693033</v>
      </c>
      <c r="W71" s="285">
        <v>260</v>
      </c>
      <c r="X71" s="283">
        <f t="shared" si="6"/>
        <v>4.5378560551852569</v>
      </c>
      <c r="Y71" s="283">
        <f t="shared" si="7"/>
        <v>-0.17364817766693033</v>
      </c>
      <c r="AA71" s="286">
        <v>1.3176501447049805E-22</v>
      </c>
      <c r="AB71" s="287">
        <v>0.58475757831489616</v>
      </c>
      <c r="AC71" s="287">
        <v>0.96387509498103519</v>
      </c>
      <c r="AD71" s="287">
        <f t="shared" si="9"/>
        <v>1.5486326732959315</v>
      </c>
      <c r="AE71" s="268">
        <v>9150.7985327769748</v>
      </c>
      <c r="AF71" s="268">
        <v>292.37878915744807</v>
      </c>
      <c r="AG71" s="268">
        <v>481.9375474905176</v>
      </c>
    </row>
    <row r="72" spans="2:33" ht="11.1" customHeight="1" x14ac:dyDescent="0.15">
      <c r="B72" s="274">
        <v>9</v>
      </c>
      <c r="C72" s="275">
        <v>41234</v>
      </c>
      <c r="D72" s="276">
        <v>5754.4110320193013</v>
      </c>
      <c r="E72" s="277">
        <v>41214</v>
      </c>
      <c r="F72" s="274">
        <v>250</v>
      </c>
      <c r="G72" s="274">
        <v>450</v>
      </c>
      <c r="H72" s="278">
        <f t="shared" si="10"/>
        <v>700</v>
      </c>
      <c r="I72" s="288">
        <v>11</v>
      </c>
      <c r="J72" s="274">
        <v>23</v>
      </c>
      <c r="K72" s="281">
        <f t="shared" si="8"/>
        <v>34</v>
      </c>
      <c r="L72" s="267"/>
      <c r="M72" s="268">
        <v>242.66906469719279</v>
      </c>
      <c r="N72" s="281">
        <f t="shared" si="0"/>
        <v>20.374500000000001</v>
      </c>
      <c r="O72" s="278">
        <f t="shared" si="1"/>
        <v>240.20504686885241</v>
      </c>
      <c r="P72" s="271">
        <v>385.76497764326814</v>
      </c>
      <c r="Q72" s="281">
        <f t="shared" si="2"/>
        <v>101.19153846153846</v>
      </c>
      <c r="R72" s="268">
        <f t="shared" si="3"/>
        <v>444.67696029248822</v>
      </c>
      <c r="S72" s="205"/>
      <c r="T72" s="282">
        <v>280</v>
      </c>
      <c r="U72" s="283">
        <f t="shared" si="4"/>
        <v>4.8869219055841224</v>
      </c>
      <c r="V72" s="284">
        <f t="shared" si="5"/>
        <v>0.17364817766692997</v>
      </c>
      <c r="W72" s="285">
        <v>290</v>
      </c>
      <c r="X72" s="283">
        <f t="shared" si="6"/>
        <v>5.0614548307835561</v>
      </c>
      <c r="Y72" s="283">
        <f t="shared" si="7"/>
        <v>0.34202014332566899</v>
      </c>
      <c r="AA72" s="286">
        <v>6.4008479927630679E-24</v>
      </c>
      <c r="AB72" s="287">
        <v>0.56622157886797009</v>
      </c>
      <c r="AC72" s="287">
        <v>0.96174836416987231</v>
      </c>
      <c r="AD72" s="287">
        <f t="shared" si="9"/>
        <v>1.5279699430378424</v>
      </c>
      <c r="AE72" s="268">
        <v>9006.4617582140236</v>
      </c>
      <c r="AF72" s="268">
        <v>283.11078943398502</v>
      </c>
      <c r="AG72" s="268">
        <v>480.87418208493614</v>
      </c>
    </row>
    <row r="73" spans="2:33" ht="11.1" customHeight="1" x14ac:dyDescent="0.15">
      <c r="B73" s="274">
        <v>10</v>
      </c>
      <c r="C73" s="275">
        <v>41262</v>
      </c>
      <c r="D73" s="276">
        <v>5830.9070462498912</v>
      </c>
      <c r="E73" s="277">
        <v>41244</v>
      </c>
      <c r="F73" s="274">
        <v>180</v>
      </c>
      <c r="G73" s="274">
        <v>330</v>
      </c>
      <c r="H73" s="278">
        <f t="shared" si="10"/>
        <v>510</v>
      </c>
      <c r="I73" s="289">
        <v>5.5</v>
      </c>
      <c r="J73" s="290">
        <v>11.5</v>
      </c>
      <c r="K73" s="281">
        <f t="shared" si="8"/>
        <v>17</v>
      </c>
      <c r="L73" s="267"/>
      <c r="M73" s="268">
        <v>223.97007393714856</v>
      </c>
      <c r="N73" s="281">
        <f t="shared" si="0"/>
        <v>20.409500000000001</v>
      </c>
      <c r="O73" s="278">
        <f t="shared" si="1"/>
        <v>165.83749284351126</v>
      </c>
      <c r="P73" s="271">
        <v>364.4160166568966</v>
      </c>
      <c r="Q73" s="281">
        <f t="shared" si="2"/>
        <v>101.28384615384616</v>
      </c>
      <c r="R73" s="268">
        <f t="shared" si="3"/>
        <v>316.02681198700947</v>
      </c>
      <c r="S73" s="205"/>
      <c r="T73" s="282">
        <v>310</v>
      </c>
      <c r="U73" s="283">
        <f t="shared" si="4"/>
        <v>5.4105206811824216</v>
      </c>
      <c r="V73" s="284">
        <f t="shared" si="5"/>
        <v>0.64278760968653925</v>
      </c>
      <c r="W73" s="285">
        <v>320</v>
      </c>
      <c r="X73" s="283">
        <f t="shared" si="6"/>
        <v>5.5850536063818543</v>
      </c>
      <c r="Y73" s="283">
        <f t="shared" si="7"/>
        <v>0.76604444311897779</v>
      </c>
      <c r="AA73" s="286">
        <v>5.6936063006089925E-25</v>
      </c>
      <c r="AB73" s="287">
        <v>0.55181672896536793</v>
      </c>
      <c r="AC73" s="287">
        <v>0.96005035861829413</v>
      </c>
      <c r="AD73" s="287">
        <f t="shared" si="9"/>
        <v>1.5118670875836622</v>
      </c>
      <c r="AE73" s="268">
        <v>8894.0615232515156</v>
      </c>
      <c r="AF73" s="268">
        <v>275.90836448268396</v>
      </c>
      <c r="AG73" s="268">
        <v>480.02517930914706</v>
      </c>
    </row>
    <row r="74" spans="2:33" ht="11.1" customHeight="1" x14ac:dyDescent="0.15">
      <c r="B74" s="274">
        <v>11</v>
      </c>
      <c r="C74" s="275">
        <v>41290</v>
      </c>
      <c r="D74" s="276">
        <v>5508.7884612072394</v>
      </c>
      <c r="E74" s="277">
        <v>41275</v>
      </c>
      <c r="F74" s="274">
        <v>160</v>
      </c>
      <c r="G74" s="274">
        <v>300</v>
      </c>
      <c r="H74" s="278">
        <f t="shared" si="10"/>
        <v>460</v>
      </c>
      <c r="I74" s="291">
        <v>4.2563140860967774</v>
      </c>
      <c r="J74" s="281">
        <v>11.301538550542444</v>
      </c>
      <c r="K74" s="281">
        <f t="shared" si="8"/>
        <v>15.557852636639222</v>
      </c>
      <c r="L74" s="267"/>
      <c r="M74" s="268">
        <v>206.16016653978119</v>
      </c>
      <c r="N74" s="281">
        <f t="shared" si="0"/>
        <v>20.419499999999999</v>
      </c>
      <c r="O74" s="278">
        <f t="shared" si="1"/>
        <v>139.794619301506</v>
      </c>
      <c r="P74" s="271">
        <v>343.59587267406971</v>
      </c>
      <c r="Q74" s="281">
        <f t="shared" si="2"/>
        <v>101.30692307692308</v>
      </c>
      <c r="R74" s="268">
        <f t="shared" si="3"/>
        <v>274.49513854442</v>
      </c>
      <c r="S74" s="205"/>
      <c r="T74" s="282">
        <v>320</v>
      </c>
      <c r="U74" s="283">
        <f t="shared" si="4"/>
        <v>5.5850536063818543</v>
      </c>
      <c r="V74" s="284">
        <f t="shared" si="5"/>
        <v>0.76604444311897779</v>
      </c>
      <c r="W74" s="285">
        <v>350</v>
      </c>
      <c r="X74" s="283">
        <f t="shared" si="6"/>
        <v>6.1086523819801535</v>
      </c>
      <c r="Y74" s="283">
        <f t="shared" si="7"/>
        <v>0.98480775301220802</v>
      </c>
      <c r="AA74" s="286">
        <v>5.0645090686400659E-26</v>
      </c>
      <c r="AB74" s="287">
        <v>0.53777834284383796</v>
      </c>
      <c r="AC74" s="287">
        <v>0.95835535096404623</v>
      </c>
      <c r="AD74" s="287">
        <f t="shared" si="9"/>
        <v>1.4961336938078842</v>
      </c>
      <c r="AE74" s="268">
        <v>8784.3146985378517</v>
      </c>
      <c r="AF74" s="268">
        <v>268.889171421919</v>
      </c>
      <c r="AG74" s="268">
        <v>479.17767548202312</v>
      </c>
    </row>
    <row r="75" spans="2:33" ht="11.1" customHeight="1" x14ac:dyDescent="0.15">
      <c r="B75" s="274">
        <v>12</v>
      </c>
      <c r="C75" s="275">
        <v>41318</v>
      </c>
      <c r="D75" s="276">
        <v>4728.3759929486159</v>
      </c>
      <c r="E75" s="277">
        <v>41306</v>
      </c>
      <c r="F75" s="274">
        <v>98</v>
      </c>
      <c r="G75" s="274">
        <v>180</v>
      </c>
      <c r="H75" s="278">
        <f t="shared" si="10"/>
        <v>278</v>
      </c>
      <c r="I75" s="291">
        <v>4.1480321557769662</v>
      </c>
      <c r="J75" s="281">
        <v>11.457859997308681</v>
      </c>
      <c r="K75" s="281">
        <f t="shared" si="8"/>
        <v>15.605892153085648</v>
      </c>
      <c r="L75" s="267"/>
      <c r="M75" s="268">
        <v>189.76648764083276</v>
      </c>
      <c r="N75" s="281">
        <f t="shared" si="0"/>
        <v>20.450500000000002</v>
      </c>
      <c r="O75" s="278">
        <f t="shared" si="1"/>
        <v>119.19036183883253</v>
      </c>
      <c r="P75" s="271">
        <v>323.96524390367057</v>
      </c>
      <c r="Q75" s="281">
        <f t="shared" si="2"/>
        <v>101.39923076923077</v>
      </c>
      <c r="R75" s="268">
        <f t="shared" si="3"/>
        <v>241.17625420582388</v>
      </c>
      <c r="S75" s="205"/>
      <c r="T75" s="282">
        <v>330</v>
      </c>
      <c r="U75" s="283">
        <f t="shared" si="4"/>
        <v>5.7595865315812871</v>
      </c>
      <c r="V75" s="284">
        <f t="shared" si="5"/>
        <v>0.86602540378443837</v>
      </c>
      <c r="W75" s="285">
        <v>380</v>
      </c>
      <c r="X75" s="283">
        <f t="shared" si="6"/>
        <v>6.6322511575784526</v>
      </c>
      <c r="Y75" s="283">
        <f t="shared" si="7"/>
        <v>0.93969262078590832</v>
      </c>
      <c r="AA75" s="286">
        <v>4.5049219689801227E-27</v>
      </c>
      <c r="AB75" s="287">
        <v>0.52409709755286349</v>
      </c>
      <c r="AC75" s="287">
        <v>0.9566633359142197</v>
      </c>
      <c r="AD75" s="287">
        <f t="shared" si="9"/>
        <v>1.4807604334670832</v>
      </c>
      <c r="AE75" s="268">
        <v>8677.1541443591486</v>
      </c>
      <c r="AF75" s="268">
        <v>262.04854877643174</v>
      </c>
      <c r="AG75" s="268">
        <v>478.33166795710986</v>
      </c>
    </row>
    <row r="76" spans="2:33" ht="11.1" customHeight="1" x14ac:dyDescent="0.15">
      <c r="B76" s="274">
        <v>13</v>
      </c>
      <c r="C76" s="275">
        <v>41346</v>
      </c>
      <c r="D76" s="276">
        <v>5774.2107831388548</v>
      </c>
      <c r="E76" s="277">
        <v>41334</v>
      </c>
      <c r="F76" s="274">
        <v>160</v>
      </c>
      <c r="G76" s="274">
        <v>320</v>
      </c>
      <c r="H76" s="278">
        <f t="shared" si="10"/>
        <v>480</v>
      </c>
      <c r="I76" s="291">
        <v>4.0425049508361122</v>
      </c>
      <c r="J76" s="281">
        <v>11.437630683062403</v>
      </c>
      <c r="K76" s="281">
        <f t="shared" si="8"/>
        <v>15.480135633898517</v>
      </c>
      <c r="L76" s="267"/>
      <c r="M76" s="268">
        <v>176.08271448801199</v>
      </c>
      <c r="N76" s="281">
        <f t="shared" si="0"/>
        <v>20.419499999999999</v>
      </c>
      <c r="O76" s="278">
        <f t="shared" si="1"/>
        <v>104.17637402677464</v>
      </c>
      <c r="P76" s="271">
        <v>307.20015880962615</v>
      </c>
      <c r="Q76" s="281">
        <f t="shared" si="2"/>
        <v>101.29153846153847</v>
      </c>
      <c r="R76" s="268">
        <f t="shared" si="3"/>
        <v>216.56338048215233</v>
      </c>
      <c r="S76" s="205"/>
      <c r="T76" s="282">
        <v>340</v>
      </c>
      <c r="U76" s="283">
        <f t="shared" si="4"/>
        <v>5.9341194567807207</v>
      </c>
      <c r="V76" s="284">
        <f t="shared" si="5"/>
        <v>0.93969262078590843</v>
      </c>
      <c r="W76" s="285">
        <v>410</v>
      </c>
      <c r="X76" s="283">
        <f t="shared" si="6"/>
        <v>7.1558499331767509</v>
      </c>
      <c r="Y76" s="283">
        <f t="shared" si="7"/>
        <v>0.64278760968653958</v>
      </c>
      <c r="AA76" s="286">
        <v>4.0071646968240839E-28</v>
      </c>
      <c r="AB76" s="287">
        <v>0.5107639073206367</v>
      </c>
      <c r="AC76" s="287">
        <v>0.95497430818525053</v>
      </c>
      <c r="AD76" s="287">
        <f t="shared" si="9"/>
        <v>1.4657382155058873</v>
      </c>
      <c r="AE76" s="268">
        <v>8572.5144284139478</v>
      </c>
      <c r="AF76" s="268">
        <v>255.38195366031835</v>
      </c>
      <c r="AG76" s="268">
        <v>477.48715409262525</v>
      </c>
    </row>
    <row r="77" spans="2:33" ht="11.1" customHeight="1" x14ac:dyDescent="0.15">
      <c r="B77" s="274">
        <v>14</v>
      </c>
      <c r="C77" s="275">
        <v>41376</v>
      </c>
      <c r="D77" s="276">
        <v>5482.3589469097042</v>
      </c>
      <c r="E77" s="277">
        <v>41365</v>
      </c>
      <c r="F77" s="274">
        <v>220</v>
      </c>
      <c r="G77" s="274">
        <v>460</v>
      </c>
      <c r="H77" s="278">
        <f t="shared" si="10"/>
        <v>680</v>
      </c>
      <c r="I77" s="291">
        <v>3.9324174064808517</v>
      </c>
      <c r="J77" s="274">
        <v>34</v>
      </c>
      <c r="K77" s="281">
        <f t="shared" si="8"/>
        <v>37.932417406480852</v>
      </c>
      <c r="L77" s="267"/>
      <c r="M77" s="268">
        <v>162.08076867364113</v>
      </c>
      <c r="N77" s="281">
        <f t="shared" si="0"/>
        <v>20.389500000000002</v>
      </c>
      <c r="O77" s="278">
        <f t="shared" si="1"/>
        <v>166.62745385685463</v>
      </c>
      <c r="P77" s="271">
        <v>289.64892273433162</v>
      </c>
      <c r="Q77" s="281">
        <f t="shared" si="2"/>
        <v>101.18384615384616</v>
      </c>
      <c r="R77" s="268">
        <f t="shared" si="3"/>
        <v>356.89906984320146</v>
      </c>
      <c r="S77" s="205"/>
      <c r="T77" s="254">
        <v>80</v>
      </c>
      <c r="U77" s="283">
        <f t="shared" si="4"/>
        <v>1.3962634015954636</v>
      </c>
      <c r="V77" s="284">
        <f t="shared" si="5"/>
        <v>0.17364817766693041</v>
      </c>
      <c r="W77" s="255">
        <v>440</v>
      </c>
      <c r="X77" s="283">
        <f t="shared" si="6"/>
        <v>7.67944870877505</v>
      </c>
      <c r="Y77" s="283">
        <f t="shared" si="7"/>
        <v>0.17364817766693044</v>
      </c>
      <c r="AA77" s="286">
        <v>2.9986542396966651E-29</v>
      </c>
      <c r="AB77" s="287">
        <v>0.49685452564119142</v>
      </c>
      <c r="AC77" s="287">
        <v>0.95316794463821375</v>
      </c>
      <c r="AD77" s="287">
        <f t="shared" si="9"/>
        <v>1.4500224702794051</v>
      </c>
      <c r="AE77" s="268">
        <v>8463.1253906936308</v>
      </c>
      <c r="AF77" s="268">
        <v>248.4272628205957</v>
      </c>
      <c r="AG77" s="268">
        <v>476.58397231910686</v>
      </c>
    </row>
    <row r="78" spans="2:33" ht="11.1" customHeight="1" x14ac:dyDescent="0.15">
      <c r="B78" s="274">
        <v>15</v>
      </c>
      <c r="C78" s="275">
        <v>41410</v>
      </c>
      <c r="D78" s="276">
        <v>6221.1897932797165</v>
      </c>
      <c r="E78" s="277">
        <v>41395</v>
      </c>
      <c r="F78" s="274">
        <v>250</v>
      </c>
      <c r="G78" s="274">
        <v>540</v>
      </c>
      <c r="H78" s="278">
        <f t="shared" si="10"/>
        <v>790</v>
      </c>
      <c r="I78" s="288">
        <v>17</v>
      </c>
      <c r="J78" s="274">
        <v>35</v>
      </c>
      <c r="K78" s="281">
        <f t="shared" si="8"/>
        <v>52</v>
      </c>
      <c r="L78" s="267"/>
      <c r="M78" s="268">
        <v>149.59155090049353</v>
      </c>
      <c r="N78" s="281">
        <f t="shared" si="0"/>
        <v>20.374500000000001</v>
      </c>
      <c r="O78" s="278">
        <f t="shared" si="1"/>
        <v>235.06682530609376</v>
      </c>
      <c r="P78" s="271">
        <v>273.61920539457333</v>
      </c>
      <c r="Q78" s="281">
        <f t="shared" si="2"/>
        <v>101.12230769230769</v>
      </c>
      <c r="R78" s="268">
        <f t="shared" si="3"/>
        <v>518.27583993998246</v>
      </c>
      <c r="S78" s="205"/>
      <c r="T78" s="254">
        <v>140</v>
      </c>
      <c r="U78" s="283">
        <f t="shared" si="4"/>
        <v>2.4434609527920612</v>
      </c>
      <c r="V78" s="284">
        <f t="shared" si="5"/>
        <v>-0.7660444431189779</v>
      </c>
      <c r="W78" s="255">
        <v>470</v>
      </c>
      <c r="X78" s="283">
        <f t="shared" si="6"/>
        <v>8.2030474843733483</v>
      </c>
      <c r="Y78" s="283">
        <f t="shared" si="7"/>
        <v>-0.34202014332566805</v>
      </c>
      <c r="AA78" s="286">
        <v>1.5881596284188708E-30</v>
      </c>
      <c r="AB78" s="287">
        <v>0.4815479140071342</v>
      </c>
      <c r="AC78" s="287">
        <v>0.95112486279360631</v>
      </c>
      <c r="AD78" s="287">
        <f t="shared" si="9"/>
        <v>1.4326727768007406</v>
      </c>
      <c r="AE78" s="268">
        <v>8342.4646509059985</v>
      </c>
      <c r="AF78" s="268">
        <v>240.77395700356709</v>
      </c>
      <c r="AG78" s="268">
        <v>475.56243139680316</v>
      </c>
    </row>
    <row r="79" spans="2:33" ht="11.1" customHeight="1" x14ac:dyDescent="0.15">
      <c r="B79" s="274">
        <v>16</v>
      </c>
      <c r="C79" s="275">
        <v>41437</v>
      </c>
      <c r="D79" s="276">
        <v>5950.2057887117353</v>
      </c>
      <c r="E79" s="277">
        <v>41426</v>
      </c>
      <c r="F79" s="274">
        <v>260</v>
      </c>
      <c r="G79" s="274">
        <v>560</v>
      </c>
      <c r="H79" s="278">
        <f t="shared" si="10"/>
        <v>820</v>
      </c>
      <c r="I79" s="288">
        <v>22</v>
      </c>
      <c r="J79" s="274">
        <v>48</v>
      </c>
      <c r="K79" s="281">
        <f t="shared" si="8"/>
        <v>70</v>
      </c>
      <c r="L79" s="267"/>
      <c r="M79" s="268">
        <v>137.69615960052013</v>
      </c>
      <c r="N79" s="281">
        <f t="shared" si="0"/>
        <v>20.369499999999999</v>
      </c>
      <c r="O79" s="278">
        <f t="shared" si="1"/>
        <v>237.09848940078018</v>
      </c>
      <c r="P79" s="271">
        <v>257.9865465859861</v>
      </c>
      <c r="Q79" s="281">
        <f t="shared" si="2"/>
        <v>101.10692307692308</v>
      </c>
      <c r="R79" s="268">
        <f t="shared" si="3"/>
        <v>538.64020449436373</v>
      </c>
      <c r="S79" s="205"/>
      <c r="T79" s="254">
        <v>180</v>
      </c>
      <c r="U79" s="283">
        <f t="shared" si="4"/>
        <v>3.1415926535897931</v>
      </c>
      <c r="V79" s="284">
        <f t="shared" si="5"/>
        <v>-1</v>
      </c>
      <c r="W79" s="255">
        <v>500</v>
      </c>
      <c r="X79" s="283">
        <f t="shared" si="6"/>
        <v>8.7266462599716483</v>
      </c>
      <c r="Y79" s="283">
        <f t="shared" si="7"/>
        <v>-0.76604444311897835</v>
      </c>
      <c r="AA79" s="286">
        <v>1.5401904692344053E-31</v>
      </c>
      <c r="AB79" s="287">
        <v>0.46972929954132148</v>
      </c>
      <c r="AC79" s="287">
        <v>0.94950553556996942</v>
      </c>
      <c r="AD79" s="287">
        <f t="shared" si="9"/>
        <v>1.4192348351112909</v>
      </c>
      <c r="AE79" s="268">
        <v>8249.0851451091476</v>
      </c>
      <c r="AF79" s="268">
        <v>234.86464977066075</v>
      </c>
      <c r="AG79" s="268">
        <v>474.75276778498471</v>
      </c>
    </row>
    <row r="80" spans="2:33" ht="11.1" customHeight="1" x14ac:dyDescent="0.15">
      <c r="B80" s="274">
        <v>17</v>
      </c>
      <c r="C80" s="275">
        <v>41465</v>
      </c>
      <c r="D80" s="276">
        <v>6173.8314158538951</v>
      </c>
      <c r="E80" s="277">
        <v>41456</v>
      </c>
      <c r="F80" s="274">
        <v>200</v>
      </c>
      <c r="G80" s="274">
        <v>430</v>
      </c>
      <c r="H80" s="278">
        <f t="shared" si="10"/>
        <v>630</v>
      </c>
      <c r="I80" s="288">
        <v>15</v>
      </c>
      <c r="J80" s="274">
        <v>33</v>
      </c>
      <c r="K80" s="281">
        <f t="shared" si="8"/>
        <v>48</v>
      </c>
      <c r="L80" s="267"/>
      <c r="M80" s="268">
        <v>127.08591053858643</v>
      </c>
      <c r="N80" s="281">
        <f t="shared" si="0"/>
        <v>20.3995</v>
      </c>
      <c r="O80" s="278">
        <f t="shared" si="1"/>
        <v>211.3484666455829</v>
      </c>
      <c r="P80" s="271">
        <v>243.70908482229493</v>
      </c>
      <c r="Q80" s="281">
        <f t="shared" si="2"/>
        <v>101.20692307692308</v>
      </c>
      <c r="R80" s="268">
        <f t="shared" si="3"/>
        <v>494.26902040553642</v>
      </c>
      <c r="S80" s="205"/>
      <c r="T80" s="254">
        <v>210</v>
      </c>
      <c r="U80" s="283">
        <f t="shared" si="4"/>
        <v>3.6651914291880923</v>
      </c>
      <c r="V80" s="284">
        <f t="shared" si="5"/>
        <v>-0.8660254037844386</v>
      </c>
      <c r="W80" s="255">
        <v>530</v>
      </c>
      <c r="X80" s="283">
        <f t="shared" si="6"/>
        <v>9.2502450355699466</v>
      </c>
      <c r="Y80" s="283">
        <f t="shared" si="7"/>
        <v>-0.98480775301220802</v>
      </c>
      <c r="AA80" s="286">
        <v>1.3700119374316871E-32</v>
      </c>
      <c r="AB80" s="292">
        <v>0.45777924269559872</v>
      </c>
      <c r="AC80" s="287">
        <v>0.94782914522638539</v>
      </c>
      <c r="AD80" s="287">
        <f t="shared" si="9"/>
        <v>1.4056083879219841</v>
      </c>
      <c r="AE80" s="268">
        <v>8154.4668967102007</v>
      </c>
      <c r="AF80" s="268">
        <v>228.88962134779936</v>
      </c>
      <c r="AG80" s="268">
        <v>473.91457261319272</v>
      </c>
    </row>
    <row r="81" spans="2:33" ht="11.1" customHeight="1" x14ac:dyDescent="0.15">
      <c r="B81" s="274">
        <v>18</v>
      </c>
      <c r="C81" s="275">
        <v>41493</v>
      </c>
      <c r="D81" s="276">
        <v>6516.079595392629</v>
      </c>
      <c r="E81" s="277">
        <v>41487</v>
      </c>
      <c r="F81" s="274">
        <v>190</v>
      </c>
      <c r="G81" s="274">
        <v>390</v>
      </c>
      <c r="H81" s="278">
        <f t="shared" si="10"/>
        <v>580</v>
      </c>
      <c r="I81" s="288">
        <v>11</v>
      </c>
      <c r="J81" s="274">
        <v>28</v>
      </c>
      <c r="K81" s="281">
        <f t="shared" si="8"/>
        <v>39</v>
      </c>
      <c r="L81" s="267"/>
      <c r="M81" s="268">
        <v>116.98014837842611</v>
      </c>
      <c r="N81" s="281">
        <f t="shared" si="0"/>
        <v>20.404499999999999</v>
      </c>
      <c r="O81" s="278">
        <f t="shared" si="1"/>
        <v>171.73081047303268</v>
      </c>
      <c r="P81" s="271">
        <v>229.78527795323402</v>
      </c>
      <c r="Q81" s="281">
        <f t="shared" si="2"/>
        <v>101.2376923076923</v>
      </c>
      <c r="R81" s="268">
        <f t="shared" si="3"/>
        <v>413.77871282615791</v>
      </c>
      <c r="S81" s="205"/>
      <c r="T81" s="254">
        <v>240</v>
      </c>
      <c r="U81" s="283">
        <f t="shared" si="4"/>
        <v>4.1887902047863905</v>
      </c>
      <c r="V81" s="284">
        <f t="shared" si="5"/>
        <v>-0.50000000000000044</v>
      </c>
      <c r="W81" s="255">
        <v>560</v>
      </c>
      <c r="X81" s="283">
        <f t="shared" si="6"/>
        <v>9.7738438111682449</v>
      </c>
      <c r="Y81" s="283">
        <f t="shared" si="7"/>
        <v>-0.93969262078590865</v>
      </c>
      <c r="AA81" s="286">
        <v>1.2186367505820758E-33</v>
      </c>
      <c r="AB81" s="292">
        <v>0.44613319894583453</v>
      </c>
      <c r="AC81" s="287">
        <v>0.94615571461760961</v>
      </c>
      <c r="AD81" s="287">
        <f t="shared" si="9"/>
        <v>1.3922889135634442</v>
      </c>
      <c r="AE81" s="268">
        <v>8062.0523028175676</v>
      </c>
      <c r="AF81" s="268">
        <v>223.06659947291726</v>
      </c>
      <c r="AG81" s="268">
        <v>473.07785730880482</v>
      </c>
    </row>
    <row r="82" spans="2:33" ht="11.1" customHeight="1" x14ac:dyDescent="0.15">
      <c r="B82" s="274">
        <v>19</v>
      </c>
      <c r="C82" s="275">
        <v>41521</v>
      </c>
      <c r="D82" s="276">
        <v>5830.1834247958523</v>
      </c>
      <c r="E82" s="277">
        <v>41518</v>
      </c>
      <c r="F82" s="274">
        <v>150</v>
      </c>
      <c r="G82" s="274">
        <v>360</v>
      </c>
      <c r="H82" s="278">
        <f t="shared" si="10"/>
        <v>510</v>
      </c>
      <c r="I82" s="288">
        <v>16</v>
      </c>
      <c r="J82" s="274">
        <v>28</v>
      </c>
      <c r="K82" s="281">
        <f t="shared" si="8"/>
        <v>44</v>
      </c>
      <c r="L82" s="267"/>
      <c r="M82" s="268">
        <v>107.67798772220063</v>
      </c>
      <c r="N82" s="281">
        <f t="shared" si="0"/>
        <v>20.424499999999998</v>
      </c>
      <c r="O82" s="278">
        <f t="shared" si="1"/>
        <v>150.0093033277615</v>
      </c>
      <c r="P82" s="271">
        <v>216.65697855517388</v>
      </c>
      <c r="Q82" s="281">
        <f t="shared" si="2"/>
        <v>101.26076923076923</v>
      </c>
      <c r="R82" s="268">
        <f t="shared" si="3"/>
        <v>372.28488461770411</v>
      </c>
      <c r="S82" s="205"/>
      <c r="T82" s="254">
        <v>250</v>
      </c>
      <c r="U82" s="283">
        <f t="shared" si="4"/>
        <v>4.3633231299858242</v>
      </c>
      <c r="V82" s="284">
        <f t="shared" si="5"/>
        <v>-0.34202014332566855</v>
      </c>
      <c r="W82" s="255">
        <v>590</v>
      </c>
      <c r="X82" s="283">
        <f t="shared" si="6"/>
        <v>10.297442586766545</v>
      </c>
      <c r="Y82" s="283">
        <f t="shared" si="7"/>
        <v>-0.64278760968653903</v>
      </c>
      <c r="AA82" s="286">
        <v>1.0839872918576909E-34</v>
      </c>
      <c r="AB82" s="287">
        <v>0.43478343410601561</v>
      </c>
      <c r="AC82" s="287">
        <v>0.94448523851811073</v>
      </c>
      <c r="AD82" s="287">
        <f t="shared" si="9"/>
        <v>1.3792686726241263</v>
      </c>
      <c r="AE82" s="268">
        <v>7971.7856610090548</v>
      </c>
      <c r="AF82" s="268">
        <v>217.3917170530078</v>
      </c>
      <c r="AG82" s="268">
        <v>472.24261925905535</v>
      </c>
    </row>
    <row r="83" spans="2:33" ht="11.1" customHeight="1" x14ac:dyDescent="0.15">
      <c r="B83" s="274">
        <v>20</v>
      </c>
      <c r="C83" s="275">
        <v>41557</v>
      </c>
      <c r="D83" s="276">
        <v>5935.444661501966</v>
      </c>
      <c r="E83" s="277">
        <v>41548</v>
      </c>
      <c r="F83" s="274">
        <v>130</v>
      </c>
      <c r="G83" s="274">
        <v>290</v>
      </c>
      <c r="H83" s="278">
        <f t="shared" si="10"/>
        <v>420</v>
      </c>
      <c r="I83" s="291">
        <v>3.329003160674477</v>
      </c>
      <c r="J83" s="274">
        <v>18</v>
      </c>
      <c r="K83" s="281">
        <f t="shared" si="8"/>
        <v>21.329003160674478</v>
      </c>
      <c r="L83" s="267"/>
      <c r="M83" s="268">
        <v>99.380804478056803</v>
      </c>
      <c r="N83" s="281">
        <f t="shared" si="0"/>
        <v>20.4345</v>
      </c>
      <c r="O83" s="278">
        <f t="shared" si="1"/>
        <v>130.21815911766831</v>
      </c>
      <c r="P83" s="271">
        <v>204.666772987895</v>
      </c>
      <c r="Q83" s="281">
        <f t="shared" si="2"/>
        <v>101.31461538461538</v>
      </c>
      <c r="R83" s="268">
        <f t="shared" si="3"/>
        <v>332.54794361795223</v>
      </c>
      <c r="S83" s="205"/>
      <c r="T83" s="254">
        <v>260</v>
      </c>
      <c r="U83" s="283">
        <f t="shared" si="4"/>
        <v>4.5378560551852569</v>
      </c>
      <c r="V83" s="284">
        <f t="shared" si="5"/>
        <v>-0.17364817766693033</v>
      </c>
      <c r="W83" s="255">
        <v>620</v>
      </c>
      <c r="X83" s="283">
        <f t="shared" si="6"/>
        <v>10.821041362364843</v>
      </c>
      <c r="Y83" s="283">
        <f t="shared" si="7"/>
        <v>-0.17364817766693058</v>
      </c>
      <c r="AA83" s="286">
        <v>4.829823167777362E-36</v>
      </c>
      <c r="AB83" s="287">
        <v>0.42061411983605973</v>
      </c>
      <c r="AC83" s="287">
        <v>0.9423418164590992</v>
      </c>
      <c r="AD83" s="287">
        <f t="shared" si="9"/>
        <v>1.3629559362951589</v>
      </c>
      <c r="AE83" s="268">
        <v>7858.7975198565946</v>
      </c>
      <c r="AF83" s="268">
        <v>210.30705991802986</v>
      </c>
      <c r="AG83" s="268">
        <v>471.17090822954958</v>
      </c>
    </row>
    <row r="84" spans="2:33" ht="11.1" customHeight="1" x14ac:dyDescent="0.15">
      <c r="B84" s="274">
        <v>21</v>
      </c>
      <c r="C84" s="275">
        <v>41591</v>
      </c>
      <c r="D84" s="276">
        <v>5540.8068147733347</v>
      </c>
      <c r="E84" s="277">
        <v>41579</v>
      </c>
      <c r="F84" s="274">
        <v>120</v>
      </c>
      <c r="G84" s="274">
        <v>300</v>
      </c>
      <c r="H84" s="278">
        <f t="shared" si="10"/>
        <v>420</v>
      </c>
      <c r="I84" s="288">
        <v>11</v>
      </c>
      <c r="J84" s="274">
        <v>19</v>
      </c>
      <c r="K84" s="281">
        <f t="shared" si="8"/>
        <v>30</v>
      </c>
      <c r="L84" s="267"/>
      <c r="M84" s="268">
        <v>91.47812849230543</v>
      </c>
      <c r="N84" s="281">
        <f t="shared" si="0"/>
        <v>20.439499999999999</v>
      </c>
      <c r="O84" s="278">
        <f t="shared" si="1"/>
        <v>102.20048237405877</v>
      </c>
      <c r="P84" s="271">
        <v>192.97356663214782</v>
      </c>
      <c r="Q84" s="281">
        <f t="shared" si="2"/>
        <v>101.30692307692308</v>
      </c>
      <c r="R84" s="268">
        <f t="shared" si="3"/>
        <v>268.72985432861498</v>
      </c>
      <c r="S84" s="205"/>
      <c r="T84" s="254">
        <v>280</v>
      </c>
      <c r="U84" s="283">
        <f t="shared" si="4"/>
        <v>4.8869219055841224</v>
      </c>
      <c r="V84" s="284">
        <f t="shared" si="5"/>
        <v>0.17364817766692997</v>
      </c>
      <c r="W84" s="255">
        <v>650</v>
      </c>
      <c r="X84" s="283">
        <f t="shared" si="6"/>
        <v>11.344640137963141</v>
      </c>
      <c r="Y84" s="283">
        <f t="shared" si="7"/>
        <v>0.34202014332566794</v>
      </c>
      <c r="AA84" s="286">
        <v>2.5579908700117316E-37</v>
      </c>
      <c r="AB84" s="287">
        <v>0.40765624857218646</v>
      </c>
      <c r="AC84" s="287">
        <v>0.94032194003810532</v>
      </c>
      <c r="AD84" s="287">
        <f t="shared" si="9"/>
        <v>1.3479781886102917</v>
      </c>
      <c r="AE84" s="268">
        <v>7755.1634836423273</v>
      </c>
      <c r="AF84" s="268">
        <v>203.82812428609324</v>
      </c>
      <c r="AG84" s="268">
        <v>470.16097001905268</v>
      </c>
    </row>
    <row r="85" spans="2:33" ht="11.1" customHeight="1" x14ac:dyDescent="0.15">
      <c r="B85" s="274">
        <v>22</v>
      </c>
      <c r="C85" s="275">
        <v>41619</v>
      </c>
      <c r="D85" s="276">
        <v>5614.4632905783164</v>
      </c>
      <c r="E85" s="277">
        <v>41609</v>
      </c>
      <c r="F85" s="274">
        <v>110</v>
      </c>
      <c r="G85" s="274">
        <v>280</v>
      </c>
      <c r="H85" s="278">
        <f t="shared" si="10"/>
        <v>390</v>
      </c>
      <c r="I85" s="291">
        <v>3.1443646812528252</v>
      </c>
      <c r="J85" s="274">
        <v>13</v>
      </c>
      <c r="K85" s="281">
        <f t="shared" si="8"/>
        <v>16.144364681252824</v>
      </c>
      <c r="L85" s="267"/>
      <c r="M85" s="268">
        <v>84.429233811155129</v>
      </c>
      <c r="N85" s="281">
        <f t="shared" si="0"/>
        <v>20.444500000000001</v>
      </c>
      <c r="O85" s="278">
        <f t="shared" si="1"/>
        <v>71.167965473467731</v>
      </c>
      <c r="P85" s="271">
        <v>182.29404572125679</v>
      </c>
      <c r="Q85" s="281">
        <f t="shared" si="2"/>
        <v>101.32230769230769</v>
      </c>
      <c r="R85" s="268">
        <f t="shared" si="3"/>
        <v>192.46381447420555</v>
      </c>
      <c r="S85" s="205"/>
      <c r="T85" s="254">
        <v>310</v>
      </c>
      <c r="U85" s="283">
        <f t="shared" si="4"/>
        <v>5.4105206811824216</v>
      </c>
      <c r="V85" s="284">
        <f t="shared" si="5"/>
        <v>0.64278760968653925</v>
      </c>
      <c r="W85" s="255">
        <v>680</v>
      </c>
      <c r="X85" s="283">
        <f t="shared" si="6"/>
        <v>11.868238913561441</v>
      </c>
      <c r="Y85" s="283">
        <f t="shared" si="7"/>
        <v>0.76604444311897824</v>
      </c>
      <c r="AA85" s="286">
        <v>2.2753536642122504E-38</v>
      </c>
      <c r="AB85" s="287">
        <v>0.39728534910155816</v>
      </c>
      <c r="AC85" s="287">
        <v>0.9386617637030682</v>
      </c>
      <c r="AD85" s="287">
        <f t="shared" si="9"/>
        <v>1.3359471128046263</v>
      </c>
      <c r="AE85" s="268">
        <v>7671.9961449121356</v>
      </c>
      <c r="AF85" s="268">
        <v>198.64267455077908</v>
      </c>
      <c r="AG85" s="268">
        <v>469.33088185153412</v>
      </c>
    </row>
    <row r="86" spans="2:33" ht="11.1" customHeight="1" x14ac:dyDescent="0.15">
      <c r="B86" s="274">
        <v>23</v>
      </c>
      <c r="C86" s="275">
        <v>41647</v>
      </c>
      <c r="D86" s="276">
        <v>5304.3017742670354</v>
      </c>
      <c r="E86" s="277">
        <v>41640</v>
      </c>
      <c r="F86" s="274">
        <v>76</v>
      </c>
      <c r="G86" s="274">
        <v>190</v>
      </c>
      <c r="H86" s="278">
        <f t="shared" si="10"/>
        <v>266</v>
      </c>
      <c r="I86" s="291">
        <v>3.0643710834054159</v>
      </c>
      <c r="J86" s="290">
        <v>6.5</v>
      </c>
      <c r="K86" s="281">
        <f t="shared" si="8"/>
        <v>9.5643710834054154</v>
      </c>
      <c r="L86" s="267"/>
      <c r="M86" s="268">
        <v>77.715493848604027</v>
      </c>
      <c r="N86" s="281">
        <f t="shared" si="0"/>
        <v>20.461500000000001</v>
      </c>
      <c r="O86" s="278">
        <f t="shared" si="1"/>
        <v>60.573023558679431</v>
      </c>
      <c r="P86" s="271">
        <v>171.87905816404964</v>
      </c>
      <c r="Q86" s="281">
        <f t="shared" si="2"/>
        <v>101.39153846153846</v>
      </c>
      <c r="R86" s="268">
        <f t="shared" si="3"/>
        <v>168.60188561916837</v>
      </c>
      <c r="S86" s="205"/>
      <c r="T86" s="254">
        <v>320</v>
      </c>
      <c r="U86" s="283">
        <f t="shared" si="4"/>
        <v>5.5850536063818543</v>
      </c>
      <c r="V86" s="284">
        <f t="shared" si="5"/>
        <v>0.76604444311897779</v>
      </c>
      <c r="W86" s="255">
        <v>710</v>
      </c>
      <c r="X86" s="283">
        <f t="shared" si="6"/>
        <v>12.39183768915974</v>
      </c>
      <c r="Y86" s="283">
        <f t="shared" si="7"/>
        <v>0.98480775301220802</v>
      </c>
      <c r="AA86" s="286">
        <v>2.0239455730428462E-39</v>
      </c>
      <c r="AB86" s="287">
        <v>0.38717828848095737</v>
      </c>
      <c r="AC86" s="287">
        <v>0.93700451847635291</v>
      </c>
      <c r="AD86" s="287">
        <f t="shared" si="9"/>
        <v>1.3241828069573103</v>
      </c>
      <c r="AE86" s="268">
        <v>7590.7431139347864</v>
      </c>
      <c r="AF86" s="268">
        <v>193.58914424047867</v>
      </c>
      <c r="AG86" s="268">
        <v>468.50225923817646</v>
      </c>
    </row>
    <row r="87" spans="2:33" ht="11.1" customHeight="1" x14ac:dyDescent="0.15">
      <c r="B87" s="274">
        <v>24</v>
      </c>
      <c r="C87" s="275">
        <v>41675</v>
      </c>
      <c r="D87" s="276">
        <v>4552.8582818920968</v>
      </c>
      <c r="E87" s="277">
        <v>41671</v>
      </c>
      <c r="F87" s="274">
        <v>46</v>
      </c>
      <c r="G87" s="274">
        <v>120</v>
      </c>
      <c r="H87" s="278">
        <f t="shared" si="10"/>
        <v>166</v>
      </c>
      <c r="I87" s="291">
        <v>2.9864125471190008</v>
      </c>
      <c r="J87" s="281">
        <v>6.2344874934176557</v>
      </c>
      <c r="K87" s="281">
        <f t="shared" si="8"/>
        <v>9.220900040536657</v>
      </c>
      <c r="L87" s="267"/>
      <c r="M87" s="268">
        <v>71.535624706029509</v>
      </c>
      <c r="N87" s="281">
        <f t="shared" si="0"/>
        <v>20.476500000000001</v>
      </c>
      <c r="O87" s="278">
        <f t="shared" si="1"/>
        <v>52.16970598022786</v>
      </c>
      <c r="P87" s="271">
        <v>162.05910905358715</v>
      </c>
      <c r="Q87" s="281">
        <f t="shared" si="2"/>
        <v>101.44538461538461</v>
      </c>
      <c r="R87" s="268">
        <f t="shared" si="3"/>
        <v>149.40370090462912</v>
      </c>
      <c r="S87" s="205"/>
      <c r="T87" s="254">
        <v>330</v>
      </c>
      <c r="U87" s="283">
        <f t="shared" si="4"/>
        <v>5.7595865315812871</v>
      </c>
      <c r="V87" s="284">
        <f t="shared" si="5"/>
        <v>0.86602540378443837</v>
      </c>
      <c r="W87" s="255">
        <v>740</v>
      </c>
      <c r="X87" s="283">
        <f t="shared" si="6"/>
        <v>12.915436464758038</v>
      </c>
      <c r="Y87" s="283">
        <f t="shared" si="7"/>
        <v>0.93969262078590865</v>
      </c>
      <c r="AA87" s="286">
        <v>1.8003160330936139E-40</v>
      </c>
      <c r="AB87" s="287">
        <v>0.37732835456945768</v>
      </c>
      <c r="AC87" s="287">
        <v>0.93535019918296891</v>
      </c>
      <c r="AD87" s="287">
        <f t="shared" si="9"/>
        <v>1.3126785537524266</v>
      </c>
      <c r="AE87" s="268">
        <v>7511.3560458834854</v>
      </c>
      <c r="AF87" s="268">
        <v>188.66417728472885</v>
      </c>
      <c r="AG87" s="268">
        <v>467.67509959148447</v>
      </c>
    </row>
    <row r="88" spans="2:33" ht="11.1" customHeight="1" x14ac:dyDescent="0.15">
      <c r="B88" s="274">
        <v>25</v>
      </c>
      <c r="C88" s="275">
        <v>41703</v>
      </c>
      <c r="D88" s="276">
        <v>5559.8715974806528</v>
      </c>
      <c r="E88" s="277">
        <v>41699</v>
      </c>
      <c r="F88" s="274">
        <v>49</v>
      </c>
      <c r="G88" s="274">
        <v>130</v>
      </c>
      <c r="H88" s="278">
        <f t="shared" si="10"/>
        <v>179</v>
      </c>
      <c r="I88" s="291">
        <v>2.9104372998059214</v>
      </c>
      <c r="J88" s="281">
        <v>6.2234802541340155</v>
      </c>
      <c r="K88" s="281">
        <f t="shared" si="8"/>
        <v>9.1339175539399378</v>
      </c>
      <c r="L88" s="267"/>
      <c r="M88" s="268">
        <v>66.377299476996811</v>
      </c>
      <c r="N88" s="281">
        <f t="shared" si="0"/>
        <v>20.475000000000001</v>
      </c>
      <c r="O88" s="278">
        <f t="shared" si="1"/>
        <v>46.045067018585954</v>
      </c>
      <c r="P88" s="271">
        <v>153.67260832650209</v>
      </c>
      <c r="Q88" s="281">
        <f t="shared" si="2"/>
        <v>101.43769230769232</v>
      </c>
      <c r="R88" s="268">
        <f t="shared" si="3"/>
        <v>135.24766713798084</v>
      </c>
      <c r="S88" s="205"/>
      <c r="T88" s="254">
        <v>340</v>
      </c>
      <c r="U88" s="283">
        <f t="shared" si="4"/>
        <v>5.9341194567807207</v>
      </c>
      <c r="V88" s="284">
        <f t="shared" si="5"/>
        <v>0.93969262078590843</v>
      </c>
      <c r="W88" s="255">
        <v>770</v>
      </c>
      <c r="X88" s="283">
        <f t="shared" si="6"/>
        <v>13.439035240356338</v>
      </c>
      <c r="Y88" s="283">
        <f t="shared" si="7"/>
        <v>0.64278760968653914</v>
      </c>
      <c r="AA88" s="286">
        <v>1.6013957401735719E-41</v>
      </c>
      <c r="AB88" s="287">
        <v>0.36772900598504726</v>
      </c>
      <c r="AC88" s="287">
        <v>0.93369880065706312</v>
      </c>
      <c r="AD88" s="287">
        <f t="shared" si="9"/>
        <v>1.3014278066421103</v>
      </c>
      <c r="AE88" s="268">
        <v>7433.7878252105038</v>
      </c>
      <c r="AF88" s="268">
        <v>183.86450299252363</v>
      </c>
      <c r="AG88" s="268">
        <v>466.84940032853154</v>
      </c>
    </row>
    <row r="89" spans="2:33" ht="11.1" customHeight="1" x14ac:dyDescent="0.15">
      <c r="B89" s="274">
        <v>26</v>
      </c>
      <c r="C89" s="275">
        <v>41739</v>
      </c>
      <c r="D89" s="276">
        <v>5397.9493997803338</v>
      </c>
      <c r="E89" s="277">
        <v>41730</v>
      </c>
      <c r="F89" s="274">
        <v>74</v>
      </c>
      <c r="G89" s="274">
        <v>210</v>
      </c>
      <c r="H89" s="278">
        <f t="shared" si="10"/>
        <v>284</v>
      </c>
      <c r="I89" s="291">
        <v>2.8155880081148852</v>
      </c>
      <c r="J89" s="281">
        <v>6.2093566402155362</v>
      </c>
      <c r="K89" s="281">
        <f t="shared" si="8"/>
        <v>9.0249446483304219</v>
      </c>
      <c r="L89" s="267"/>
      <c r="M89" s="268">
        <v>61.099033786445759</v>
      </c>
      <c r="N89" s="281">
        <f t="shared" si="0"/>
        <v>20.462499999999999</v>
      </c>
      <c r="O89" s="278">
        <f t="shared" si="1"/>
        <v>74.480027931577709</v>
      </c>
      <c r="P89" s="271">
        <v>144.892846501196</v>
      </c>
      <c r="Q89" s="281">
        <f t="shared" si="2"/>
        <v>101.37615384615384</v>
      </c>
      <c r="R89" s="268">
        <f t="shared" si="3"/>
        <v>224.88691878426286</v>
      </c>
      <c r="S89" s="205"/>
      <c r="T89" s="282">
        <v>80</v>
      </c>
      <c r="U89" s="283">
        <f t="shared" si="4"/>
        <v>1.3962634015954636</v>
      </c>
      <c r="V89" s="284">
        <f t="shared" si="5"/>
        <v>0.17364817766693041</v>
      </c>
      <c r="W89" s="285">
        <v>800</v>
      </c>
      <c r="X89" s="283">
        <f t="shared" si="6"/>
        <v>13.962634015954636</v>
      </c>
      <c r="Y89" s="283">
        <f t="shared" si="7"/>
        <v>0.17364817766693069</v>
      </c>
      <c r="AA89" s="286">
        <v>7.1351927322093519E-43</v>
      </c>
      <c r="AB89" s="287">
        <v>0.35574495267654405</v>
      </c>
      <c r="AC89" s="287">
        <v>0.9315798574230314</v>
      </c>
      <c r="AD89" s="287">
        <f t="shared" si="9"/>
        <v>1.2873248100995753</v>
      </c>
      <c r="AE89" s="268">
        <v>7336.6560860908576</v>
      </c>
      <c r="AF89" s="268">
        <v>177.87247633827204</v>
      </c>
      <c r="AG89" s="268">
        <v>465.7899287115157</v>
      </c>
    </row>
    <row r="90" spans="2:33" ht="11.1" customHeight="1" x14ac:dyDescent="0.15">
      <c r="B90" s="274">
        <v>27</v>
      </c>
      <c r="C90" s="275">
        <v>41773</v>
      </c>
      <c r="D90" s="276">
        <v>6125.4047820935002</v>
      </c>
      <c r="E90" s="277">
        <v>41760</v>
      </c>
      <c r="F90" s="274">
        <v>120</v>
      </c>
      <c r="G90" s="274">
        <v>320</v>
      </c>
      <c r="H90" s="278">
        <f t="shared" si="10"/>
        <v>440</v>
      </c>
      <c r="I90" s="291">
        <v>2.728848107525057</v>
      </c>
      <c r="J90" s="274">
        <v>21</v>
      </c>
      <c r="K90" s="281">
        <f t="shared" si="8"/>
        <v>23.728848107525057</v>
      </c>
      <c r="L90" s="267"/>
      <c r="M90" s="268">
        <v>56.391016018931779</v>
      </c>
      <c r="N90" s="281">
        <f t="shared" si="0"/>
        <v>20.439499999999999</v>
      </c>
      <c r="O90" s="278">
        <f t="shared" si="1"/>
        <v>106.25831094806493</v>
      </c>
      <c r="P90" s="271">
        <v>136.87420326910137</v>
      </c>
      <c r="Q90" s="281">
        <f t="shared" si="2"/>
        <v>101.29153846153847</v>
      </c>
      <c r="R90" s="268">
        <f t="shared" si="3"/>
        <v>329.388513227673</v>
      </c>
      <c r="S90" s="205"/>
      <c r="T90" s="282">
        <v>140</v>
      </c>
      <c r="U90" s="283">
        <f t="shared" si="4"/>
        <v>2.4434609527920612</v>
      </c>
      <c r="V90" s="284">
        <f t="shared" si="5"/>
        <v>-0.7660444431189779</v>
      </c>
      <c r="W90" s="285">
        <v>830</v>
      </c>
      <c r="X90" s="283">
        <f t="shared" si="6"/>
        <v>14.486232791552935</v>
      </c>
      <c r="Y90" s="283">
        <f t="shared" si="7"/>
        <v>-0.34202014332566782</v>
      </c>
      <c r="AA90" s="286">
        <v>3.7789702087923162E-44</v>
      </c>
      <c r="AB90" s="287">
        <v>0.34478550770747829</v>
      </c>
      <c r="AC90" s="287">
        <v>0.9295830488813579</v>
      </c>
      <c r="AD90" s="287">
        <f t="shared" si="9"/>
        <v>1.2743685565888363</v>
      </c>
      <c r="AE90" s="268">
        <v>7247.5262628413184</v>
      </c>
      <c r="AF90" s="268">
        <v>172.39275385373915</v>
      </c>
      <c r="AG90" s="268">
        <v>464.79152444067893</v>
      </c>
    </row>
    <row r="91" spans="2:33" ht="11.1" customHeight="1" x14ac:dyDescent="0.15">
      <c r="B91" s="274">
        <v>28</v>
      </c>
      <c r="C91" s="275">
        <v>41801</v>
      </c>
      <c r="D91" s="276">
        <v>5858.5930028990097</v>
      </c>
      <c r="E91" s="277">
        <v>41791</v>
      </c>
      <c r="F91" s="274">
        <v>110</v>
      </c>
      <c r="G91" s="274">
        <v>330</v>
      </c>
      <c r="H91" s="278">
        <f t="shared" si="10"/>
        <v>440</v>
      </c>
      <c r="I91" s="291">
        <v>2.659425378220944</v>
      </c>
      <c r="J91" s="274">
        <v>26</v>
      </c>
      <c r="K91" s="281">
        <f t="shared" si="8"/>
        <v>28.659425378220945</v>
      </c>
      <c r="L91" s="267"/>
      <c r="M91" s="268">
        <v>51.906850988819428</v>
      </c>
      <c r="N91" s="281">
        <f t="shared" si="0"/>
        <v>20.444500000000001</v>
      </c>
      <c r="O91" s="278">
        <f t="shared" si="1"/>
        <v>108.52702648322915</v>
      </c>
      <c r="P91" s="271">
        <v>129.05418304677269</v>
      </c>
      <c r="Q91" s="281">
        <f t="shared" si="2"/>
        <v>101.28384615384616</v>
      </c>
      <c r="R91" s="268">
        <f t="shared" si="3"/>
        <v>345.50704380092827</v>
      </c>
      <c r="S91" s="205"/>
      <c r="T91" s="282">
        <v>180</v>
      </c>
      <c r="U91" s="283">
        <f t="shared" si="4"/>
        <v>3.1415926535897931</v>
      </c>
      <c r="V91" s="284">
        <f t="shared" si="5"/>
        <v>-1</v>
      </c>
      <c r="W91" s="285">
        <v>860</v>
      </c>
      <c r="X91" s="283">
        <f t="shared" si="6"/>
        <v>15.009831567151235</v>
      </c>
      <c r="Y91" s="283">
        <f t="shared" si="7"/>
        <v>-0.76604444311897812</v>
      </c>
      <c r="AA91" s="286">
        <v>3.3614247073075828E-45</v>
      </c>
      <c r="AB91" s="287">
        <v>0.33601405908651921</v>
      </c>
      <c r="AC91" s="287">
        <v>0.92794183249206275</v>
      </c>
      <c r="AD91" s="287">
        <f t="shared" si="9"/>
        <v>1.263955891578582</v>
      </c>
      <c r="AE91" s="268">
        <v>7175.969996370528</v>
      </c>
      <c r="AF91" s="268">
        <v>168.00702954325962</v>
      </c>
      <c r="AG91" s="268">
        <v>463.97091624603138</v>
      </c>
    </row>
    <row r="92" spans="2:33" ht="11.1" customHeight="1" x14ac:dyDescent="0.15">
      <c r="B92" s="274">
        <v>29</v>
      </c>
      <c r="C92" s="275">
        <v>41829</v>
      </c>
      <c r="D92" s="276">
        <v>6078.7755614467223</v>
      </c>
      <c r="E92" s="277">
        <v>41821</v>
      </c>
      <c r="F92" s="274">
        <v>91</v>
      </c>
      <c r="G92" s="274">
        <v>290</v>
      </c>
      <c r="H92" s="278">
        <f t="shared" si="10"/>
        <v>381</v>
      </c>
      <c r="I92" s="291">
        <v>2.5917687843535173</v>
      </c>
      <c r="J92" s="274">
        <v>22</v>
      </c>
      <c r="K92" s="281">
        <f t="shared" si="8"/>
        <v>24.591768784353519</v>
      </c>
      <c r="L92" s="267"/>
      <c r="M92" s="268">
        <v>47.90714163882847</v>
      </c>
      <c r="N92" s="281">
        <f t="shared" si="0"/>
        <v>20.454000000000001</v>
      </c>
      <c r="O92" s="278">
        <f t="shared" si="1"/>
        <v>97.962384284294274</v>
      </c>
      <c r="P92" s="271">
        <v>121.91208130434494</v>
      </c>
      <c r="Q92" s="281">
        <f t="shared" si="2"/>
        <v>101.31461538461538</v>
      </c>
      <c r="R92" s="268">
        <f t="shared" si="3"/>
        <v>319.88669175672192</v>
      </c>
      <c r="S92" s="205"/>
      <c r="T92" s="282">
        <v>210</v>
      </c>
      <c r="U92" s="283">
        <f t="shared" si="4"/>
        <v>3.6651914291880923</v>
      </c>
      <c r="V92" s="284">
        <f t="shared" si="5"/>
        <v>-0.8660254037844386</v>
      </c>
      <c r="W92" s="285">
        <v>890</v>
      </c>
      <c r="X92" s="283">
        <f t="shared" si="6"/>
        <v>15.533430342749533</v>
      </c>
      <c r="Y92" s="283">
        <f t="shared" si="7"/>
        <v>-0.98480775301220802</v>
      </c>
      <c r="AA92" s="286">
        <v>2.9900145909085798E-46</v>
      </c>
      <c r="AB92" s="287">
        <v>0.3274657587974657</v>
      </c>
      <c r="AC92" s="287">
        <v>0.92630351373653963</v>
      </c>
      <c r="AD92" s="287">
        <f t="shared" si="9"/>
        <v>1.2537692725340053</v>
      </c>
      <c r="AE92" s="268">
        <v>7106.0349495868677</v>
      </c>
      <c r="AF92" s="268">
        <v>163.73287939873285</v>
      </c>
      <c r="AG92" s="268">
        <v>463.15175686826984</v>
      </c>
    </row>
    <row r="93" spans="2:33" ht="11.1" customHeight="1" x14ac:dyDescent="0.15">
      <c r="B93" s="274">
        <v>30</v>
      </c>
      <c r="C93" s="275">
        <v>41857</v>
      </c>
      <c r="D93" s="276">
        <v>6415.7542914436672</v>
      </c>
      <c r="E93" s="277">
        <v>41852</v>
      </c>
      <c r="F93" s="274">
        <v>74</v>
      </c>
      <c r="G93" s="274">
        <v>220</v>
      </c>
      <c r="H93" s="278">
        <f t="shared" si="10"/>
        <v>294</v>
      </c>
      <c r="I93" s="291">
        <v>2.5258333948978513</v>
      </c>
      <c r="J93" s="274">
        <v>21</v>
      </c>
      <c r="K93" s="281">
        <f t="shared" si="8"/>
        <v>23.525833394897852</v>
      </c>
      <c r="L93" s="267"/>
      <c r="M93" s="268">
        <v>44.097606993143899</v>
      </c>
      <c r="N93" s="281">
        <f t="shared" si="0"/>
        <v>20.462499999999999</v>
      </c>
      <c r="O93" s="278">
        <f t="shared" si="1"/>
        <v>80.700133741429894</v>
      </c>
      <c r="P93" s="271">
        <v>114.94689050596043</v>
      </c>
      <c r="Q93" s="281">
        <f t="shared" si="2"/>
        <v>101.36846153846153</v>
      </c>
      <c r="R93" s="268">
        <f t="shared" si="3"/>
        <v>270.39419005552747</v>
      </c>
      <c r="S93" s="205"/>
      <c r="T93" s="282">
        <v>240</v>
      </c>
      <c r="U93" s="283">
        <f t="shared" si="4"/>
        <v>4.1887902047863905</v>
      </c>
      <c r="V93" s="284">
        <f t="shared" si="5"/>
        <v>-0.50000000000000044</v>
      </c>
      <c r="W93" s="285">
        <v>920</v>
      </c>
      <c r="X93" s="283">
        <f t="shared" si="6"/>
        <v>16.057029118347831</v>
      </c>
      <c r="Y93" s="283">
        <f t="shared" si="7"/>
        <v>-0.93969262078590876</v>
      </c>
      <c r="AA93" s="286">
        <v>2.659642274423258E-47</v>
      </c>
      <c r="AB93" s="287">
        <v>0.31913492987859987</v>
      </c>
      <c r="AC93" s="287">
        <v>0.9246680874988995</v>
      </c>
      <c r="AD93" s="287">
        <f t="shared" si="9"/>
        <v>1.2438030173774994</v>
      </c>
      <c r="AE93" s="268">
        <v>7037.6802298506591</v>
      </c>
      <c r="AF93" s="268">
        <v>159.56746493929992</v>
      </c>
      <c r="AG93" s="268">
        <v>462.33404374944973</v>
      </c>
    </row>
    <row r="94" spans="2:33" ht="11.1" customHeight="1" x14ac:dyDescent="0.15">
      <c r="B94" s="274">
        <v>31</v>
      </c>
      <c r="C94" s="275">
        <v>41892</v>
      </c>
      <c r="D94" s="276">
        <v>5740.4185722325992</v>
      </c>
      <c r="E94" s="277">
        <v>41883</v>
      </c>
      <c r="F94" s="274">
        <v>72</v>
      </c>
      <c r="G94" s="274">
        <v>230</v>
      </c>
      <c r="H94" s="278">
        <f t="shared" si="10"/>
        <v>302</v>
      </c>
      <c r="I94" s="291">
        <v>2.4457680000281132</v>
      </c>
      <c r="J94" s="274">
        <v>22</v>
      </c>
      <c r="K94" s="281">
        <f t="shared" si="8"/>
        <v>24.445768000028114</v>
      </c>
      <c r="L94" s="267"/>
      <c r="M94" s="268">
        <v>40.591003261728481</v>
      </c>
      <c r="N94" s="281">
        <f t="shared" si="0"/>
        <v>20.4635</v>
      </c>
      <c r="O94" s="278">
        <f t="shared" si="1"/>
        <v>71.495438239855417</v>
      </c>
      <c r="P94" s="271">
        <v>108.379641259708</v>
      </c>
      <c r="Q94" s="281">
        <f t="shared" si="2"/>
        <v>101.36076923076924</v>
      </c>
      <c r="R94" s="268">
        <f t="shared" si="3"/>
        <v>245.60813311904602</v>
      </c>
      <c r="S94" s="205"/>
      <c r="T94" s="282">
        <v>250</v>
      </c>
      <c r="U94" s="283">
        <f t="shared" si="4"/>
        <v>4.3633231299858242</v>
      </c>
      <c r="V94" s="284">
        <f t="shared" si="5"/>
        <v>-0.34202014332566855</v>
      </c>
      <c r="W94" s="285">
        <v>950</v>
      </c>
      <c r="X94" s="283">
        <f t="shared" si="6"/>
        <v>16.580627893946129</v>
      </c>
      <c r="Y94" s="283">
        <f t="shared" si="7"/>
        <v>-0.64278760968654058</v>
      </c>
      <c r="AA94" s="286">
        <v>1.2919943872901999E-48</v>
      </c>
      <c r="AB94" s="287">
        <v>0.30901879782132707</v>
      </c>
      <c r="AC94" s="287">
        <v>0.92262786452600309</v>
      </c>
      <c r="AD94" s="287">
        <f t="shared" si="9"/>
        <v>1.2316466623473301</v>
      </c>
      <c r="AE94" s="268">
        <v>6954.3985484760378</v>
      </c>
      <c r="AF94" s="268">
        <v>154.50939891066355</v>
      </c>
      <c r="AG94" s="268">
        <v>461.31393226300156</v>
      </c>
    </row>
    <row r="95" spans="2:33" ht="11.1" customHeight="1" x14ac:dyDescent="0.15">
      <c r="B95" s="274">
        <v>32</v>
      </c>
      <c r="C95" s="275">
        <v>41920</v>
      </c>
      <c r="D95" s="276">
        <v>5844.0591464817899</v>
      </c>
      <c r="E95" s="277">
        <v>41913</v>
      </c>
      <c r="F95" s="274">
        <v>63</v>
      </c>
      <c r="G95" s="274">
        <v>200</v>
      </c>
      <c r="H95" s="278">
        <f t="shared" si="10"/>
        <v>263</v>
      </c>
      <c r="I95" s="291">
        <v>2.3835469151174533</v>
      </c>
      <c r="J95" s="274">
        <v>14</v>
      </c>
      <c r="K95" s="281">
        <f t="shared" si="8"/>
        <v>16.383546915117453</v>
      </c>
      <c r="L95" s="267"/>
      <c r="M95" s="268">
        <v>37.463242432884911</v>
      </c>
      <c r="N95" s="281">
        <f t="shared" si="0"/>
        <v>20.468</v>
      </c>
      <c r="O95" s="278">
        <f t="shared" si="1"/>
        <v>62.961069772110726</v>
      </c>
      <c r="P95" s="271">
        <v>102.38170762896225</v>
      </c>
      <c r="Q95" s="281">
        <f t="shared" si="2"/>
        <v>101.38384615384615</v>
      </c>
      <c r="R95" s="268">
        <f t="shared" si="3"/>
        <v>221.45731232564722</v>
      </c>
      <c r="S95" s="205"/>
      <c r="T95" s="282">
        <v>260</v>
      </c>
      <c r="U95" s="283">
        <f t="shared" si="4"/>
        <v>4.5378560551852569</v>
      </c>
      <c r="V95" s="284">
        <f t="shared" si="5"/>
        <v>-0.17364817766693033</v>
      </c>
      <c r="W95" s="285">
        <v>980</v>
      </c>
      <c r="X95" s="283">
        <f t="shared" si="6"/>
        <v>17.104226669544431</v>
      </c>
      <c r="Y95" s="283">
        <f t="shared" si="7"/>
        <v>-0.17364817766692905</v>
      </c>
      <c r="AA95" s="286">
        <v>1.1492395057879849E-49</v>
      </c>
      <c r="AB95" s="287">
        <v>0.30115726522379133</v>
      </c>
      <c r="AC95" s="287">
        <v>0.92099892779538739</v>
      </c>
      <c r="AD95" s="287">
        <f t="shared" si="9"/>
        <v>1.2221561930191787</v>
      </c>
      <c r="AE95" s="268">
        <v>6889.4553934481455</v>
      </c>
      <c r="AF95" s="268">
        <v>150.57863261189567</v>
      </c>
      <c r="AG95" s="268">
        <v>460.49946389769372</v>
      </c>
    </row>
    <row r="96" spans="2:33" ht="11.1" customHeight="1" x14ac:dyDescent="0.15">
      <c r="B96" s="274">
        <v>33</v>
      </c>
      <c r="C96" s="275">
        <v>41948</v>
      </c>
      <c r="D96" s="276">
        <v>5455.4973707009112</v>
      </c>
      <c r="E96" s="277">
        <v>41944</v>
      </c>
      <c r="F96" s="274">
        <v>60</v>
      </c>
      <c r="G96" s="274">
        <v>190</v>
      </c>
      <c r="H96" s="278">
        <f t="shared" si="10"/>
        <v>250</v>
      </c>
      <c r="I96" s="291">
        <v>2.3229087536105717</v>
      </c>
      <c r="J96" s="274">
        <v>13</v>
      </c>
      <c r="K96" s="281">
        <f t="shared" si="8"/>
        <v>15.322908753610571</v>
      </c>
      <c r="L96" s="267"/>
      <c r="M96" s="268">
        <v>34.484197657813567</v>
      </c>
      <c r="N96" s="281">
        <f t="shared" si="0"/>
        <v>20.4695</v>
      </c>
      <c r="O96" s="278">
        <f t="shared" si="1"/>
        <v>50.182392930644177</v>
      </c>
      <c r="P96" s="271">
        <v>96.532343724494723</v>
      </c>
      <c r="Q96" s="281">
        <f t="shared" si="2"/>
        <v>101.39153846153846</v>
      </c>
      <c r="R96" s="268">
        <f t="shared" si="3"/>
        <v>180.73932145684876</v>
      </c>
      <c r="S96" s="205"/>
      <c r="T96" s="282">
        <v>280</v>
      </c>
      <c r="U96" s="283">
        <f t="shared" si="4"/>
        <v>4.8869219055841224</v>
      </c>
      <c r="V96" s="284">
        <f t="shared" si="5"/>
        <v>0.17364817766692997</v>
      </c>
      <c r="W96" s="285">
        <v>1010</v>
      </c>
      <c r="X96" s="283">
        <f t="shared" si="6"/>
        <v>17.627825445142729</v>
      </c>
      <c r="Y96" s="283">
        <f t="shared" si="7"/>
        <v>0.34202014332566938</v>
      </c>
      <c r="AA96" s="286">
        <v>1.022257878715669E-50</v>
      </c>
      <c r="AB96" s="287">
        <v>0.29349573241661725</v>
      </c>
      <c r="AC96" s="287">
        <v>0.91937286701831111</v>
      </c>
      <c r="AD96" s="287">
        <f t="shared" si="9"/>
        <v>1.2128685994349284</v>
      </c>
      <c r="AE96" s="268">
        <v>6825.9667089083323</v>
      </c>
      <c r="AF96" s="268">
        <v>146.74786620830864</v>
      </c>
      <c r="AG96" s="268">
        <v>459.68643350915556</v>
      </c>
    </row>
    <row r="97" spans="2:33" ht="11.1" customHeight="1" x14ac:dyDescent="0.15">
      <c r="B97" s="274">
        <v>34</v>
      </c>
      <c r="C97" s="275">
        <v>41984</v>
      </c>
      <c r="D97" s="276">
        <v>5528.019789099938</v>
      </c>
      <c r="E97" s="277">
        <v>41974</v>
      </c>
      <c r="F97" s="274">
        <v>60</v>
      </c>
      <c r="G97" s="274">
        <v>180</v>
      </c>
      <c r="H97" s="278">
        <f t="shared" si="10"/>
        <v>240</v>
      </c>
      <c r="I97" s="291">
        <v>2.2472066417809988</v>
      </c>
      <c r="J97" s="281">
        <v>6.1140851981782607</v>
      </c>
      <c r="K97" s="281">
        <f t="shared" si="8"/>
        <v>8.3612918399592591</v>
      </c>
      <c r="L97" s="267"/>
      <c r="M97" s="268">
        <v>31.82699990508139</v>
      </c>
      <c r="N97" s="281">
        <f t="shared" ref="N97:N128" si="11">下駄1-(F97-40999)/除数11</f>
        <v>20.4695</v>
      </c>
      <c r="O97" s="278">
        <f t="shared" ref="O97:O128" si="12">(M97+N97)*(1-V97/除数12)</f>
        <v>35.488728820601594</v>
      </c>
      <c r="P97" s="271">
        <v>91.190061870170936</v>
      </c>
      <c r="Q97" s="281">
        <f t="shared" ref="Q97:Q128" si="13">下駄2-(G97-40999)/除数21</f>
        <v>101.39923076923077</v>
      </c>
      <c r="R97" s="268">
        <f t="shared" ref="R97:R128" si="14">(P97+Q97)*(1-V97/除数22)</f>
        <v>130.6922871059505</v>
      </c>
      <c r="S97" s="205"/>
      <c r="T97" s="282">
        <v>310</v>
      </c>
      <c r="U97" s="283">
        <f t="shared" ref="U97:U128" si="15">PI()/180*T97</f>
        <v>5.4105206811824216</v>
      </c>
      <c r="V97" s="284">
        <f t="shared" ref="V97:V128" si="16">COS(U97)</f>
        <v>0.64278760968653925</v>
      </c>
      <c r="W97" s="285">
        <v>1040</v>
      </c>
      <c r="X97" s="283">
        <f t="shared" ref="X97:X128" si="17">PI()/180*W97</f>
        <v>18.151424220741028</v>
      </c>
      <c r="Y97" s="283">
        <f t="shared" ref="Y97:Y128" si="18">COS(X97)</f>
        <v>0.76604444311897812</v>
      </c>
      <c r="AA97" s="286">
        <v>4.5547810598428996E-52</v>
      </c>
      <c r="AB97" s="287">
        <v>0.28393089405507138</v>
      </c>
      <c r="AC97" s="287">
        <v>0.91728643516817909</v>
      </c>
      <c r="AD97" s="287">
        <f t="shared" si="9"/>
        <v>1.2012173292232504</v>
      </c>
      <c r="AE97" s="268">
        <v>6746.4167019038969</v>
      </c>
      <c r="AF97" s="268">
        <v>141.9654470275357</v>
      </c>
      <c r="AG97" s="268">
        <v>458.64321758408954</v>
      </c>
    </row>
    <row r="98" spans="2:33" ht="11.1" customHeight="1" x14ac:dyDescent="0.15">
      <c r="B98" s="274">
        <v>35</v>
      </c>
      <c r="C98" s="275">
        <v>42012</v>
      </c>
      <c r="D98" s="276">
        <v>5222.633697634481</v>
      </c>
      <c r="E98" s="277">
        <v>42005</v>
      </c>
      <c r="F98" s="274">
        <v>33</v>
      </c>
      <c r="G98" s="274">
        <v>110</v>
      </c>
      <c r="H98" s="278">
        <f t="shared" si="10"/>
        <v>143</v>
      </c>
      <c r="I98" s="291">
        <v>2.1900370184690368</v>
      </c>
      <c r="J98" s="281">
        <v>6.1032905340061108</v>
      </c>
      <c r="K98" s="281">
        <f t="shared" si="8"/>
        <v>8.293327552475148</v>
      </c>
      <c r="L98" s="267"/>
      <c r="M98" s="268">
        <v>29.296144281911886</v>
      </c>
      <c r="N98" s="281">
        <f t="shared" si="11"/>
        <v>20.483000000000001</v>
      </c>
      <c r="O98" s="278">
        <f t="shared" si="12"/>
        <v>30.712625851723661</v>
      </c>
      <c r="P98" s="271">
        <v>85.980109148121969</v>
      </c>
      <c r="Q98" s="281">
        <f t="shared" si="13"/>
        <v>101.45307692307692</v>
      </c>
      <c r="R98" s="268">
        <f t="shared" si="14"/>
        <v>115.64211074823523</v>
      </c>
      <c r="S98" s="205"/>
      <c r="T98" s="282">
        <v>320</v>
      </c>
      <c r="U98" s="283">
        <f t="shared" si="15"/>
        <v>5.5850536063818543</v>
      </c>
      <c r="V98" s="284">
        <f t="shared" si="16"/>
        <v>0.76604444311897779</v>
      </c>
      <c r="W98" s="285">
        <v>1070</v>
      </c>
      <c r="X98" s="283">
        <f t="shared" si="17"/>
        <v>18.675022996339326</v>
      </c>
      <c r="Y98" s="283">
        <f t="shared" si="18"/>
        <v>0.98480775301220802</v>
      </c>
      <c r="AA98" s="286">
        <v>4.0515147632840138E-53</v>
      </c>
      <c r="AB98" s="287">
        <v>0.27670760539173228</v>
      </c>
      <c r="AC98" s="287">
        <v>0.91566692894666635</v>
      </c>
      <c r="AD98" s="287">
        <f t="shared" si="9"/>
        <v>1.1923745343383987</v>
      </c>
      <c r="AE98" s="268">
        <v>6686.1163820486199</v>
      </c>
      <c r="AF98" s="268">
        <v>138.35380269586614</v>
      </c>
      <c r="AG98" s="268">
        <v>457.83346447333315</v>
      </c>
    </row>
    <row r="99" spans="2:33" ht="11.1" customHeight="1" x14ac:dyDescent="0.15">
      <c r="B99" s="274">
        <v>36</v>
      </c>
      <c r="C99" s="275">
        <v>42039</v>
      </c>
      <c r="D99" s="276">
        <v>4482.7598608583294</v>
      </c>
      <c r="E99" s="277">
        <v>42036</v>
      </c>
      <c r="F99" s="274">
        <v>20</v>
      </c>
      <c r="G99" s="274">
        <v>71</v>
      </c>
      <c r="H99" s="278">
        <f t="shared" si="10"/>
        <v>91</v>
      </c>
      <c r="I99" s="291">
        <v>2.1362870126352251</v>
      </c>
      <c r="J99" s="281">
        <v>6.092899443517263</v>
      </c>
      <c r="K99" s="281">
        <f t="shared" si="8"/>
        <v>8.2291864561524886</v>
      </c>
      <c r="L99" s="267"/>
      <c r="M99" s="268">
        <v>26.966540118334276</v>
      </c>
      <c r="N99" s="281">
        <f t="shared" si="11"/>
        <v>20.4895</v>
      </c>
      <c r="O99" s="278">
        <f t="shared" si="12"/>
        <v>26.906971965588799</v>
      </c>
      <c r="P99" s="271">
        <v>81.067816136016361</v>
      </c>
      <c r="Q99" s="281">
        <f t="shared" si="13"/>
        <v>101.48307692307692</v>
      </c>
      <c r="R99" s="268">
        <f t="shared" si="14"/>
        <v>103.50403762273774</v>
      </c>
      <c r="S99" s="205"/>
      <c r="T99" s="282">
        <v>330</v>
      </c>
      <c r="U99" s="283">
        <f t="shared" si="15"/>
        <v>5.7595865315812871</v>
      </c>
      <c r="V99" s="284">
        <f t="shared" si="16"/>
        <v>0.86602540378443837</v>
      </c>
      <c r="W99" s="285">
        <v>1100</v>
      </c>
      <c r="X99" s="283">
        <f t="shared" si="17"/>
        <v>19.198621771937624</v>
      </c>
      <c r="Y99" s="283">
        <f t="shared" si="18"/>
        <v>0.93969262078590876</v>
      </c>
      <c r="AA99" s="286">
        <v>3.9291418272513365E-54</v>
      </c>
      <c r="AB99" s="287">
        <v>0.26991637981945277</v>
      </c>
      <c r="AC99" s="287">
        <v>0.91410797024015922</v>
      </c>
      <c r="AD99" s="287">
        <f t="shared" si="9"/>
        <v>1.1840243500596119</v>
      </c>
      <c r="AE99" s="268">
        <v>6629.236728427808</v>
      </c>
      <c r="AF99" s="268">
        <v>134.95818990972637</v>
      </c>
      <c r="AG99" s="268">
        <v>457.05398512007963</v>
      </c>
    </row>
    <row r="100" spans="2:33" ht="11.1" customHeight="1" x14ac:dyDescent="0.15">
      <c r="B100" s="274">
        <v>37</v>
      </c>
      <c r="C100" s="275">
        <v>42067</v>
      </c>
      <c r="D100" s="276">
        <v>5474.268621063844</v>
      </c>
      <c r="E100" s="277">
        <v>42064</v>
      </c>
      <c r="F100" s="274">
        <v>26</v>
      </c>
      <c r="G100" s="274">
        <v>100</v>
      </c>
      <c r="H100" s="278">
        <f t="shared" si="10"/>
        <v>126</v>
      </c>
      <c r="I100" s="291">
        <v>2.0819392185659642</v>
      </c>
      <c r="J100" s="281">
        <v>6.0821421836499896</v>
      </c>
      <c r="K100" s="281">
        <f t="shared" si="8"/>
        <v>8.1640814022159542</v>
      </c>
      <c r="L100" s="267"/>
      <c r="M100" s="268">
        <v>25.02202387480169</v>
      </c>
      <c r="N100" s="281">
        <f t="shared" si="11"/>
        <v>20.486499999999999</v>
      </c>
      <c r="O100" s="278">
        <f t="shared" si="12"/>
        <v>24.126511840796447</v>
      </c>
      <c r="P100" s="271">
        <v>76.872585747929449</v>
      </c>
      <c r="Q100" s="281">
        <f t="shared" si="13"/>
        <v>101.46076923076923</v>
      </c>
      <c r="R100" s="268">
        <f t="shared" si="14"/>
        <v>94.544086121960135</v>
      </c>
      <c r="S100" s="205"/>
      <c r="T100" s="282">
        <v>340</v>
      </c>
      <c r="U100" s="283">
        <f t="shared" si="15"/>
        <v>5.9341194567807207</v>
      </c>
      <c r="V100" s="284">
        <f t="shared" si="16"/>
        <v>0.93969262078590843</v>
      </c>
      <c r="W100" s="285">
        <v>1130</v>
      </c>
      <c r="X100" s="283">
        <f t="shared" si="17"/>
        <v>19.722220547535922</v>
      </c>
      <c r="Y100" s="283">
        <f t="shared" si="18"/>
        <v>0.6427876096865407</v>
      </c>
      <c r="AA100" s="286">
        <v>3.4950035821687943E-55</v>
      </c>
      <c r="AB100" s="287">
        <v>0.26304962467860082</v>
      </c>
      <c r="AC100" s="287">
        <v>0.91249407572675478</v>
      </c>
      <c r="AD100" s="287">
        <f t="shared" si="9"/>
        <v>1.1755437004053557</v>
      </c>
      <c r="AE100" s="268">
        <v>6571.531734238034</v>
      </c>
      <c r="AF100" s="268">
        <v>131.52481233930041</v>
      </c>
      <c r="AG100" s="268">
        <v>456.24703786337739</v>
      </c>
    </row>
    <row r="101" spans="2:33" ht="11.1" customHeight="1" x14ac:dyDescent="0.15">
      <c r="B101" s="274">
        <v>38</v>
      </c>
      <c r="C101" s="275">
        <v>42095</v>
      </c>
      <c r="D101" s="276">
        <v>4911.22</v>
      </c>
      <c r="E101" s="277">
        <v>42095</v>
      </c>
      <c r="F101" s="274">
        <v>47</v>
      </c>
      <c r="G101" s="274">
        <v>170</v>
      </c>
      <c r="H101" s="278">
        <f t="shared" si="10"/>
        <v>217</v>
      </c>
      <c r="I101" s="291">
        <v>2.0289740489768047</v>
      </c>
      <c r="J101" s="281">
        <v>6.0714039161591602</v>
      </c>
      <c r="K101" s="281">
        <f t="shared" si="8"/>
        <v>8.1003779651359658</v>
      </c>
      <c r="L101" s="267"/>
      <c r="M101" s="268">
        <v>23.032294085142407</v>
      </c>
      <c r="N101" s="281">
        <f t="shared" si="11"/>
        <v>20.475999999999999</v>
      </c>
      <c r="O101" s="278">
        <f t="shared" si="12"/>
        <v>39.730726094501478</v>
      </c>
      <c r="P101" s="271">
        <v>72.480631963112728</v>
      </c>
      <c r="Q101" s="281">
        <f t="shared" si="13"/>
        <v>101.40692307692308</v>
      </c>
      <c r="R101" s="268">
        <f t="shared" si="14"/>
        <v>158.78992651420566</v>
      </c>
      <c r="S101" s="205"/>
      <c r="T101" s="254">
        <v>80</v>
      </c>
      <c r="U101" s="283">
        <f t="shared" si="15"/>
        <v>1.3962634015954636</v>
      </c>
      <c r="V101" s="284">
        <f t="shared" si="16"/>
        <v>0.17364817766693041</v>
      </c>
      <c r="W101" s="255">
        <v>1160</v>
      </c>
      <c r="X101" s="283">
        <f t="shared" si="17"/>
        <v>20.245819323134224</v>
      </c>
      <c r="Y101" s="283">
        <f t="shared" si="18"/>
        <v>0.17364817766692919</v>
      </c>
      <c r="AA101" s="286">
        <v>3.1088340855127248E-56</v>
      </c>
      <c r="AB101" s="287">
        <v>0.25635756188578623</v>
      </c>
      <c r="AC101" s="287">
        <v>0.91088303060924769</v>
      </c>
      <c r="AD101" s="287">
        <f t="shared" si="9"/>
        <v>1.167240592495034</v>
      </c>
      <c r="AE101" s="268">
        <v>6515.09889518007</v>
      </c>
      <c r="AF101" s="268">
        <v>128.17878094289313</v>
      </c>
      <c r="AG101" s="268">
        <v>455.44151530462386</v>
      </c>
    </row>
    <row r="102" spans="2:33" ht="11.1" customHeight="1" x14ac:dyDescent="0.15">
      <c r="B102" s="274">
        <v>39</v>
      </c>
      <c r="C102" s="275">
        <v>42131</v>
      </c>
      <c r="D102" s="276">
        <v>5017.6899999999996</v>
      </c>
      <c r="E102" s="277">
        <v>42125</v>
      </c>
      <c r="F102" s="274">
        <v>67</v>
      </c>
      <c r="G102" s="274">
        <v>230</v>
      </c>
      <c r="H102" s="278">
        <f t="shared" si="10"/>
        <v>297</v>
      </c>
      <c r="I102" s="291">
        <v>1.9628510813328102</v>
      </c>
      <c r="J102" s="281">
        <v>6.0576254254508433</v>
      </c>
      <c r="K102" s="281">
        <f t="shared" si="8"/>
        <v>8.0204765067836536</v>
      </c>
      <c r="L102" s="267"/>
      <c r="M102" s="268">
        <v>21.257528707371208</v>
      </c>
      <c r="N102" s="281">
        <f t="shared" si="11"/>
        <v>20.466000000000001</v>
      </c>
      <c r="O102" s="278">
        <f t="shared" si="12"/>
        <v>57.704567364169641</v>
      </c>
      <c r="P102" s="271">
        <v>68.469417172435229</v>
      </c>
      <c r="Q102" s="281">
        <f t="shared" si="13"/>
        <v>101.36076923076924</v>
      </c>
      <c r="R102" s="268">
        <f t="shared" si="14"/>
        <v>234.87892168722195</v>
      </c>
      <c r="S102" s="205"/>
      <c r="T102" s="254">
        <v>140</v>
      </c>
      <c r="U102" s="283">
        <f t="shared" si="15"/>
        <v>2.4434609527920612</v>
      </c>
      <c r="V102" s="284">
        <f t="shared" si="16"/>
        <v>-0.7660444431189779</v>
      </c>
      <c r="W102" s="255">
        <v>1190</v>
      </c>
      <c r="X102" s="283">
        <f t="shared" si="17"/>
        <v>20.769418098732523</v>
      </c>
      <c r="Y102" s="283">
        <f t="shared" si="18"/>
        <v>-0.34202014332566927</v>
      </c>
      <c r="AA102" s="286">
        <v>1.3851748082076719E-57</v>
      </c>
      <c r="AB102" s="287">
        <v>0.24800303276876004</v>
      </c>
      <c r="AC102" s="287">
        <v>0.9088158656591101</v>
      </c>
      <c r="AD102" s="287">
        <f t="shared" si="9"/>
        <v>1.1568188984278702</v>
      </c>
      <c r="AE102" s="268">
        <v>6444.3602430914034</v>
      </c>
      <c r="AF102" s="268">
        <v>124.00151638438003</v>
      </c>
      <c r="AG102" s="268">
        <v>454.40793282955502</v>
      </c>
    </row>
    <row r="103" spans="2:33" ht="11.1" customHeight="1" x14ac:dyDescent="0.15">
      <c r="B103" s="274">
        <v>40</v>
      </c>
      <c r="C103" s="275">
        <v>42158</v>
      </c>
      <c r="D103" s="276">
        <v>5245.7</v>
      </c>
      <c r="E103" s="277">
        <v>42156</v>
      </c>
      <c r="F103" s="274">
        <v>58</v>
      </c>
      <c r="G103" s="274">
        <v>240</v>
      </c>
      <c r="H103" s="278">
        <f t="shared" si="10"/>
        <v>298</v>
      </c>
      <c r="I103" s="291">
        <v>1.9146768924114306</v>
      </c>
      <c r="J103" s="274">
        <v>18</v>
      </c>
      <c r="K103" s="281">
        <f t="shared" si="8"/>
        <v>19.914676892411432</v>
      </c>
      <c r="L103" s="267"/>
      <c r="M103" s="268">
        <v>19.56714833145811</v>
      </c>
      <c r="N103" s="281">
        <f t="shared" si="11"/>
        <v>20.470500000000001</v>
      </c>
      <c r="O103" s="278">
        <f t="shared" si="12"/>
        <v>60.056472497187173</v>
      </c>
      <c r="P103" s="271">
        <v>64.557560780863653</v>
      </c>
      <c r="Q103" s="281">
        <f t="shared" si="13"/>
        <v>101.35307692307693</v>
      </c>
      <c r="R103" s="268">
        <f t="shared" si="14"/>
        <v>248.86595655591088</v>
      </c>
      <c r="S103" s="205"/>
      <c r="T103" s="254">
        <v>180</v>
      </c>
      <c r="U103" s="283">
        <f t="shared" si="15"/>
        <v>3.1415926535897931</v>
      </c>
      <c r="V103" s="284">
        <f t="shared" si="16"/>
        <v>-1</v>
      </c>
      <c r="W103" s="255">
        <v>1220</v>
      </c>
      <c r="X103" s="283">
        <f t="shared" si="17"/>
        <v>21.293016874330821</v>
      </c>
      <c r="Y103" s="283">
        <f t="shared" si="18"/>
        <v>-0.76604444311897801</v>
      </c>
      <c r="AA103" s="286">
        <v>1.3433366518383738E-58</v>
      </c>
      <c r="AB103" s="287">
        <v>0.24191630256935798</v>
      </c>
      <c r="AC103" s="287">
        <v>0.90726857115540793</v>
      </c>
      <c r="AD103" s="287">
        <f t="shared" si="9"/>
        <v>1.1491848737247659</v>
      </c>
      <c r="AE103" s="268">
        <v>6392.611796113446</v>
      </c>
      <c r="AF103" s="268">
        <v>120.95815128467899</v>
      </c>
      <c r="AG103" s="268">
        <v>453.63428557770396</v>
      </c>
    </row>
    <row r="104" spans="2:33" ht="11.1" customHeight="1" x14ac:dyDescent="0.15">
      <c r="B104" s="274">
        <v>41</v>
      </c>
      <c r="C104" s="275">
        <v>42193</v>
      </c>
      <c r="D104" s="276">
        <v>5444.63</v>
      </c>
      <c r="E104" s="277">
        <v>42186</v>
      </c>
      <c r="F104" s="274">
        <v>56</v>
      </c>
      <c r="G104" s="274">
        <v>230</v>
      </c>
      <c r="H104" s="278">
        <f t="shared" si="10"/>
        <v>286</v>
      </c>
      <c r="I104" s="291">
        <v>1.8539843060561512</v>
      </c>
      <c r="J104" s="281">
        <v>6.033969061324183</v>
      </c>
      <c r="K104" s="281">
        <f t="shared" si="8"/>
        <v>7.8879533673803337</v>
      </c>
      <c r="L104" s="267"/>
      <c r="M104" s="268">
        <v>18.059391558641138</v>
      </c>
      <c r="N104" s="281">
        <f t="shared" si="11"/>
        <v>20.471499999999999</v>
      </c>
      <c r="O104" s="278">
        <f t="shared" si="12"/>
        <v>55.21525701876444</v>
      </c>
      <c r="P104" s="271">
        <v>60.984823683509859</v>
      </c>
      <c r="Q104" s="281">
        <f t="shared" si="13"/>
        <v>101.36076923076924</v>
      </c>
      <c r="R104" s="268">
        <f t="shared" si="14"/>
        <v>232.64329674238542</v>
      </c>
      <c r="S104" s="205"/>
      <c r="T104" s="254">
        <v>210</v>
      </c>
      <c r="U104" s="283">
        <f t="shared" si="15"/>
        <v>3.6651914291880923</v>
      </c>
      <c r="V104" s="284">
        <f t="shared" si="16"/>
        <v>-0.8660254037844386</v>
      </c>
      <c r="W104" s="255">
        <v>1250</v>
      </c>
      <c r="X104" s="283">
        <f t="shared" si="17"/>
        <v>21.816615649929119</v>
      </c>
      <c r="Y104" s="283">
        <f t="shared" si="18"/>
        <v>-0.98480775301220791</v>
      </c>
      <c r="AA104" s="286">
        <v>6.525627266143427E-60</v>
      </c>
      <c r="AB104" s="287">
        <v>0.23424789327135445</v>
      </c>
      <c r="AC104" s="287">
        <v>0.90526673913970079</v>
      </c>
      <c r="AD104" s="287">
        <f t="shared" si="9"/>
        <v>1.1395146324110552</v>
      </c>
      <c r="AE104" s="268">
        <v>6327.1472062096764</v>
      </c>
      <c r="AF104" s="268">
        <v>117.12394663567723</v>
      </c>
      <c r="AG104" s="268">
        <v>452.6333695698504</v>
      </c>
    </row>
    <row r="105" spans="2:33" ht="11.1" customHeight="1" x14ac:dyDescent="0.15">
      <c r="B105" s="274">
        <v>42</v>
      </c>
      <c r="C105" s="275">
        <v>42221</v>
      </c>
      <c r="D105" s="276">
        <v>5507.05</v>
      </c>
      <c r="E105" s="277">
        <v>42217</v>
      </c>
      <c r="F105" s="274">
        <v>39</v>
      </c>
      <c r="G105" s="274">
        <v>170</v>
      </c>
      <c r="H105" s="278">
        <f t="shared" si="10"/>
        <v>209</v>
      </c>
      <c r="I105" s="291">
        <v>1.8068183790635559</v>
      </c>
      <c r="J105" s="274">
        <v>17</v>
      </c>
      <c r="K105" s="281">
        <f t="shared" si="8"/>
        <v>18.806818379063557</v>
      </c>
      <c r="L105" s="267"/>
      <c r="M105" s="268">
        <v>16.623324294572381</v>
      </c>
      <c r="N105" s="281">
        <f t="shared" si="11"/>
        <v>20.48</v>
      </c>
      <c r="O105" s="278">
        <f t="shared" si="12"/>
        <v>46.379155368215486</v>
      </c>
      <c r="P105" s="271">
        <v>57.500583826255081</v>
      </c>
      <c r="Q105" s="281">
        <f t="shared" si="13"/>
        <v>101.40692307692308</v>
      </c>
      <c r="R105" s="268">
        <f t="shared" si="14"/>
        <v>198.63438362897273</v>
      </c>
      <c r="S105" s="205"/>
      <c r="T105" s="254">
        <v>240</v>
      </c>
      <c r="U105" s="283">
        <f t="shared" si="15"/>
        <v>4.1887902047863905</v>
      </c>
      <c r="V105" s="284">
        <f t="shared" si="16"/>
        <v>-0.50000000000000044</v>
      </c>
      <c r="W105" s="255">
        <v>1280</v>
      </c>
      <c r="X105" s="283">
        <f t="shared" si="17"/>
        <v>22.340214425527417</v>
      </c>
      <c r="Y105" s="283">
        <f t="shared" si="18"/>
        <v>-0.93969262078590887</v>
      </c>
      <c r="AA105" s="286">
        <v>5.8045984781933596E-61</v>
      </c>
      <c r="AB105" s="287">
        <v>0.22828855532220599</v>
      </c>
      <c r="AC105" s="287">
        <v>0.903668454176622</v>
      </c>
      <c r="AD105" s="287">
        <f t="shared" si="9"/>
        <v>1.131957009498828</v>
      </c>
      <c r="AE105" s="268">
        <v>6276.054406070989</v>
      </c>
      <c r="AF105" s="268">
        <v>114.14427766110299</v>
      </c>
      <c r="AG105" s="268">
        <v>451.83422708831102</v>
      </c>
    </row>
    <row r="106" spans="2:33" ht="11.1" customHeight="1" x14ac:dyDescent="0.15">
      <c r="B106" s="274">
        <v>43</v>
      </c>
      <c r="C106" s="275">
        <v>42249</v>
      </c>
      <c r="D106" s="276">
        <v>5124.37</v>
      </c>
      <c r="E106" s="277">
        <v>42248</v>
      </c>
      <c r="F106" s="274">
        <v>35</v>
      </c>
      <c r="G106" s="274">
        <v>160</v>
      </c>
      <c r="H106" s="278">
        <f t="shared" si="10"/>
        <v>195</v>
      </c>
      <c r="I106" s="291">
        <v>1.760852367659137</v>
      </c>
      <c r="J106" s="281">
        <v>6.0126814382084532</v>
      </c>
      <c r="K106" s="281">
        <f t="shared" si="8"/>
        <v>7.77353380586759</v>
      </c>
      <c r="L106" s="267"/>
      <c r="M106" s="268">
        <v>15.301451862607109</v>
      </c>
      <c r="N106" s="281">
        <f t="shared" si="11"/>
        <v>20.481999999999999</v>
      </c>
      <c r="O106" s="278">
        <f t="shared" si="12"/>
        <v>41.902782529975127</v>
      </c>
      <c r="P106" s="271">
        <v>54.215408697725017</v>
      </c>
      <c r="Q106" s="281">
        <f t="shared" si="13"/>
        <v>101.41461538461539</v>
      </c>
      <c r="R106" s="268">
        <f t="shared" si="14"/>
        <v>182.24432565355005</v>
      </c>
      <c r="S106" s="205"/>
      <c r="T106" s="254">
        <v>250</v>
      </c>
      <c r="U106" s="283">
        <f t="shared" si="15"/>
        <v>4.3633231299858242</v>
      </c>
      <c r="V106" s="284">
        <f t="shared" si="16"/>
        <v>-0.34202014332566855</v>
      </c>
      <c r="W106" s="255">
        <v>1310</v>
      </c>
      <c r="X106" s="283">
        <f t="shared" si="17"/>
        <v>22.863813201125716</v>
      </c>
      <c r="Y106" s="283">
        <f t="shared" si="18"/>
        <v>-0.64278760968654081</v>
      </c>
      <c r="AA106" s="286">
        <v>5.1632375124848392E-62</v>
      </c>
      <c r="AB106" s="287">
        <v>0.22248082475059341</v>
      </c>
      <c r="AC106" s="287">
        <v>0.90207299105014993</v>
      </c>
      <c r="AD106" s="287">
        <f t="shared" si="9"/>
        <v>1.1245538158007433</v>
      </c>
      <c r="AE106" s="268">
        <v>6226.0674393510199</v>
      </c>
      <c r="AF106" s="268">
        <v>111.24041237529671</v>
      </c>
      <c r="AG106" s="268">
        <v>451.03649552507494</v>
      </c>
    </row>
    <row r="107" spans="2:33" ht="11.1" customHeight="1" x14ac:dyDescent="0.15">
      <c r="B107" s="274">
        <v>44</v>
      </c>
      <c r="C107" s="275">
        <v>42284</v>
      </c>
      <c r="D107" s="276">
        <v>5005.3</v>
      </c>
      <c r="E107" s="277">
        <v>42278</v>
      </c>
      <c r="F107" s="274">
        <v>34</v>
      </c>
      <c r="G107" s="274">
        <v>160</v>
      </c>
      <c r="H107" s="278">
        <f t="shared" si="10"/>
        <v>194</v>
      </c>
      <c r="I107" s="291">
        <v>1.7050358041404479</v>
      </c>
      <c r="J107" s="274">
        <v>11</v>
      </c>
      <c r="K107" s="281">
        <f t="shared" si="8"/>
        <v>12.705035804140447</v>
      </c>
      <c r="L107" s="267"/>
      <c r="M107" s="268">
        <v>14.122390545701395</v>
      </c>
      <c r="N107" s="281">
        <f t="shared" si="11"/>
        <v>20.482500000000002</v>
      </c>
      <c r="O107" s="278">
        <f t="shared" si="12"/>
        <v>37.609428636513712</v>
      </c>
      <c r="P107" s="271">
        <v>51.215025790445544</v>
      </c>
      <c r="Q107" s="281">
        <f t="shared" si="13"/>
        <v>101.41461538461539</v>
      </c>
      <c r="R107" s="268">
        <f t="shared" si="14"/>
        <v>165.88157069906435</v>
      </c>
      <c r="S107" s="205"/>
      <c r="T107" s="254">
        <v>260</v>
      </c>
      <c r="U107" s="283">
        <f t="shared" si="15"/>
        <v>4.5378560551852569</v>
      </c>
      <c r="V107" s="284">
        <f t="shared" si="16"/>
        <v>-0.17364817766693033</v>
      </c>
      <c r="W107" s="255">
        <v>1340</v>
      </c>
      <c r="X107" s="283">
        <f t="shared" si="17"/>
        <v>23.387411976724017</v>
      </c>
      <c r="Y107" s="283">
        <f t="shared" si="18"/>
        <v>-0.1736481776669293</v>
      </c>
      <c r="AA107" s="286">
        <v>2.5081846346510251E-63</v>
      </c>
      <c r="AB107" s="287">
        <v>0.21542849298532998</v>
      </c>
      <c r="AC107" s="287">
        <v>0.90008262276075857</v>
      </c>
      <c r="AD107" s="287">
        <f t="shared" si="9"/>
        <v>1.1155111157460886</v>
      </c>
      <c r="AE107" s="268">
        <v>6165.096539996619</v>
      </c>
      <c r="AF107" s="268">
        <v>107.714246492665</v>
      </c>
      <c r="AG107" s="268">
        <v>450.04131138037928</v>
      </c>
    </row>
    <row r="108" spans="2:33" ht="11.1" customHeight="1" x14ac:dyDescent="0.15">
      <c r="B108" s="274">
        <v>45</v>
      </c>
      <c r="C108" s="275">
        <v>42312</v>
      </c>
      <c r="D108" s="276">
        <v>4810.2299999999996</v>
      </c>
      <c r="E108" s="277">
        <v>42309</v>
      </c>
      <c r="F108" s="274">
        <v>39</v>
      </c>
      <c r="G108" s="274">
        <v>170</v>
      </c>
      <c r="H108" s="278">
        <f t="shared" si="10"/>
        <v>209</v>
      </c>
      <c r="I108" s="291">
        <v>1.6616591725286518</v>
      </c>
      <c r="J108" s="274">
        <v>10</v>
      </c>
      <c r="K108" s="281">
        <f t="shared" si="8"/>
        <v>11.661659172528651</v>
      </c>
      <c r="L108" s="267"/>
      <c r="M108" s="268">
        <v>12.999390211652385</v>
      </c>
      <c r="N108" s="281">
        <f t="shared" si="11"/>
        <v>20.48</v>
      </c>
      <c r="O108" s="278">
        <f t="shared" si="12"/>
        <v>30.572572661825639</v>
      </c>
      <c r="P108" s="271">
        <v>48.288962823116613</v>
      </c>
      <c r="Q108" s="281">
        <f t="shared" si="13"/>
        <v>101.40692307692308</v>
      </c>
      <c r="R108" s="268">
        <f t="shared" si="14"/>
        <v>136.69867700465039</v>
      </c>
      <c r="S108" s="205"/>
      <c r="T108" s="254">
        <v>280</v>
      </c>
      <c r="U108" s="283">
        <f t="shared" si="15"/>
        <v>4.8869219055841224</v>
      </c>
      <c r="V108" s="284">
        <f t="shared" si="16"/>
        <v>0.17364817766692997</v>
      </c>
      <c r="W108" s="255">
        <v>1370</v>
      </c>
      <c r="X108" s="283">
        <f t="shared" si="17"/>
        <v>23.911010752322316</v>
      </c>
      <c r="Y108" s="283">
        <f t="shared" si="18"/>
        <v>0.34202014332566916</v>
      </c>
      <c r="AA108" s="286">
        <v>2.2310506131509309E-64</v>
      </c>
      <c r="AB108" s="287">
        <v>0.20994792632730608</v>
      </c>
      <c r="AC108" s="287">
        <v>0.89849349056436967</v>
      </c>
      <c r="AD108" s="287">
        <f t="shared" si="9"/>
        <v>1.1084414168916759</v>
      </c>
      <c r="AE108" s="268">
        <v>6117.4971647689581</v>
      </c>
      <c r="AF108" s="268">
        <v>104.97396316365304</v>
      </c>
      <c r="AG108" s="268">
        <v>449.24674528218486</v>
      </c>
    </row>
    <row r="109" spans="2:33" ht="11.1" customHeight="1" x14ac:dyDescent="0.15">
      <c r="B109" s="274">
        <v>46</v>
      </c>
      <c r="C109" s="275">
        <v>42340</v>
      </c>
      <c r="D109" s="276">
        <v>5090.9399999999996</v>
      </c>
      <c r="E109" s="277">
        <v>42339</v>
      </c>
      <c r="F109" s="274">
        <v>33</v>
      </c>
      <c r="G109" s="274">
        <v>140</v>
      </c>
      <c r="H109" s="278">
        <f t="shared" si="10"/>
        <v>173</v>
      </c>
      <c r="I109" s="291">
        <v>1.6193860556732116</v>
      </c>
      <c r="J109" s="281">
        <v>5</v>
      </c>
      <c r="K109" s="281">
        <f t="shared" si="8"/>
        <v>6.6193860556732114</v>
      </c>
      <c r="L109" s="267"/>
      <c r="M109" s="268">
        <v>11.997715450358793</v>
      </c>
      <c r="N109" s="281">
        <f t="shared" si="11"/>
        <v>20.483000000000001</v>
      </c>
      <c r="O109" s="278">
        <f t="shared" si="12"/>
        <v>22.041614727736405</v>
      </c>
      <c r="P109" s="271">
        <v>45.616560601221842</v>
      </c>
      <c r="Q109" s="281">
        <f t="shared" si="13"/>
        <v>101.43</v>
      </c>
      <c r="R109" s="268">
        <f t="shared" si="14"/>
        <v>99.786707000478728</v>
      </c>
      <c r="S109" s="205"/>
      <c r="T109" s="254">
        <v>310</v>
      </c>
      <c r="U109" s="283">
        <f t="shared" si="15"/>
        <v>5.4105206811824216</v>
      </c>
      <c r="V109" s="284">
        <f t="shared" si="16"/>
        <v>0.64278760968653925</v>
      </c>
      <c r="W109" s="255">
        <v>1400</v>
      </c>
      <c r="X109" s="283">
        <f t="shared" si="17"/>
        <v>24.434609527920614</v>
      </c>
      <c r="Y109" s="283">
        <f t="shared" si="18"/>
        <v>0.7660444431189779</v>
      </c>
      <c r="AA109" s="286">
        <v>1.9845376491327153E-65</v>
      </c>
      <c r="AB109" s="287">
        <v>0.20460678695894485</v>
      </c>
      <c r="AC109" s="287">
        <v>0.89690716404500836</v>
      </c>
      <c r="AD109" s="287">
        <f t="shared" si="9"/>
        <v>1.1015139510039531</v>
      </c>
      <c r="AE109" s="268">
        <v>6070.9158600298852</v>
      </c>
      <c r="AF109" s="268">
        <v>102.30339347947243</v>
      </c>
      <c r="AG109" s="268">
        <v>448.45358202250418</v>
      </c>
    </row>
    <row r="110" spans="2:33" ht="11.1" customHeight="1" x14ac:dyDescent="0.15">
      <c r="B110" s="274">
        <v>47</v>
      </c>
      <c r="C110" s="275">
        <v>42375</v>
      </c>
      <c r="D110" s="276">
        <v>4515.71</v>
      </c>
      <c r="E110" s="277">
        <v>42370</v>
      </c>
      <c r="F110" s="274">
        <v>23</v>
      </c>
      <c r="G110" s="274">
        <v>110</v>
      </c>
      <c r="H110" s="278">
        <f t="shared" si="10"/>
        <v>133</v>
      </c>
      <c r="I110" s="291">
        <v>1.5680537768871574</v>
      </c>
      <c r="J110" s="281">
        <v>4.5885065185998704</v>
      </c>
      <c r="K110" s="281">
        <f t="shared" si="8"/>
        <v>6.1565602954870275</v>
      </c>
      <c r="L110" s="267"/>
      <c r="M110" s="268">
        <v>11.043667450129895</v>
      </c>
      <c r="N110" s="281">
        <f t="shared" si="11"/>
        <v>20.488</v>
      </c>
      <c r="O110" s="278">
        <f t="shared" si="12"/>
        <v>19.454338133906116</v>
      </c>
      <c r="P110" s="271">
        <v>43.010354187926396</v>
      </c>
      <c r="Q110" s="281">
        <f t="shared" si="13"/>
        <v>101.45307692307692</v>
      </c>
      <c r="R110" s="268">
        <f t="shared" si="14"/>
        <v>89.13072679276064</v>
      </c>
      <c r="S110" s="205"/>
      <c r="T110" s="254">
        <v>320</v>
      </c>
      <c r="U110" s="283">
        <f t="shared" si="15"/>
        <v>5.5850536063818543</v>
      </c>
      <c r="V110" s="284">
        <f t="shared" si="16"/>
        <v>0.76604444311897779</v>
      </c>
      <c r="W110" s="255">
        <v>1430</v>
      </c>
      <c r="X110" s="283">
        <f t="shared" si="17"/>
        <v>24.958208303518912</v>
      </c>
      <c r="Y110" s="283">
        <f t="shared" si="18"/>
        <v>0.98480775301220791</v>
      </c>
      <c r="AA110" s="286">
        <v>9.6404374704922466E-67</v>
      </c>
      <c r="AB110" s="287">
        <v>0.19812103725590127</v>
      </c>
      <c r="AC110" s="287">
        <v>0.89492819383355693</v>
      </c>
      <c r="AD110" s="287">
        <f t="shared" si="9"/>
        <v>1.0930492310894582</v>
      </c>
      <c r="AE110" s="268">
        <v>6014.082014522126</v>
      </c>
      <c r="AF110" s="268">
        <v>99.060518627950643</v>
      </c>
      <c r="AG110" s="268">
        <v>447.46409691677849</v>
      </c>
    </row>
    <row r="111" spans="2:33" ht="11.1" customHeight="1" x14ac:dyDescent="0.15">
      <c r="B111" s="274">
        <v>48</v>
      </c>
      <c r="C111" s="275">
        <v>42403</v>
      </c>
      <c r="D111" s="276">
        <v>4193.24</v>
      </c>
      <c r="E111" s="277">
        <v>42401</v>
      </c>
      <c r="F111" s="274">
        <v>24</v>
      </c>
      <c r="G111" s="274">
        <v>120</v>
      </c>
      <c r="H111" s="278">
        <f t="shared" si="10"/>
        <v>144</v>
      </c>
      <c r="I111" s="291">
        <v>1.5281620098859308</v>
      </c>
      <c r="J111" s="281">
        <v>4.5804053251564492</v>
      </c>
      <c r="K111" s="281">
        <f t="shared" si="8"/>
        <v>6.1085673350423804</v>
      </c>
      <c r="L111" s="267"/>
      <c r="M111" s="268">
        <v>10.165484525256952</v>
      </c>
      <c r="N111" s="281">
        <f t="shared" si="11"/>
        <v>20.487500000000001</v>
      </c>
      <c r="O111" s="278">
        <f t="shared" si="12"/>
        <v>17.379852874915056</v>
      </c>
      <c r="P111" s="271">
        <v>40.553047906056491</v>
      </c>
      <c r="Q111" s="281">
        <f t="shared" si="13"/>
        <v>101.44538461538461</v>
      </c>
      <c r="R111" s="268">
        <f t="shared" si="14"/>
        <v>80.511307590871922</v>
      </c>
      <c r="S111" s="205"/>
      <c r="T111" s="254">
        <v>330</v>
      </c>
      <c r="U111" s="283">
        <f t="shared" si="15"/>
        <v>5.7595865315812871</v>
      </c>
      <c r="V111" s="284">
        <f t="shared" si="16"/>
        <v>0.86602540378443837</v>
      </c>
      <c r="W111" s="255">
        <v>1460</v>
      </c>
      <c r="X111" s="283">
        <f t="shared" si="17"/>
        <v>25.48180707911721</v>
      </c>
      <c r="Y111" s="283">
        <f t="shared" si="18"/>
        <v>0.93969262078590887</v>
      </c>
      <c r="AA111" s="286">
        <v>8.5752474648173096E-68</v>
      </c>
      <c r="AB111" s="287">
        <v>0.19308077755770178</v>
      </c>
      <c r="AC111" s="287">
        <v>0.89334816198946354</v>
      </c>
      <c r="AD111" s="287">
        <f t="shared" si="9"/>
        <v>1.0864289395471654</v>
      </c>
      <c r="AE111" s="268">
        <v>5969.6989045651371</v>
      </c>
      <c r="AF111" s="268">
        <v>96.540388778850897</v>
      </c>
      <c r="AG111" s="268">
        <v>446.67408099473175</v>
      </c>
    </row>
    <row r="112" spans="2:33" ht="11.1" customHeight="1" x14ac:dyDescent="0.15">
      <c r="B112" s="274">
        <v>49</v>
      </c>
      <c r="C112" s="275">
        <v>42431</v>
      </c>
      <c r="D112" s="276">
        <v>4900.29</v>
      </c>
      <c r="E112" s="277">
        <v>42430</v>
      </c>
      <c r="F112" s="274">
        <v>17</v>
      </c>
      <c r="G112" s="274">
        <v>75</v>
      </c>
      <c r="H112" s="278">
        <f t="shared" si="10"/>
        <v>92</v>
      </c>
      <c r="I112" s="291">
        <v>1.489285101621016</v>
      </c>
      <c r="J112" s="281">
        <v>4.5723184346970021</v>
      </c>
      <c r="K112" s="281">
        <f t="shared" si="8"/>
        <v>6.0616035363180183</v>
      </c>
      <c r="L112" s="267"/>
      <c r="M112" s="268">
        <v>9.4072887540524057</v>
      </c>
      <c r="N112" s="281">
        <f t="shared" si="11"/>
        <v>20.491</v>
      </c>
      <c r="O112" s="278">
        <f t="shared" si="12"/>
        <v>15.850688095897727</v>
      </c>
      <c r="P112" s="271">
        <v>38.381534900653818</v>
      </c>
      <c r="Q112" s="281">
        <f t="shared" si="13"/>
        <v>101.48</v>
      </c>
      <c r="R112" s="268">
        <f t="shared" si="14"/>
        <v>74.148108761686231</v>
      </c>
      <c r="S112" s="205"/>
      <c r="T112" s="254">
        <v>340</v>
      </c>
      <c r="U112" s="283">
        <f t="shared" si="15"/>
        <v>5.9341194567807207</v>
      </c>
      <c r="V112" s="284">
        <f t="shared" si="16"/>
        <v>0.93969262078590843</v>
      </c>
      <c r="W112" s="255">
        <v>1490</v>
      </c>
      <c r="X112" s="283">
        <f t="shared" si="17"/>
        <v>26.005405854715509</v>
      </c>
      <c r="Y112" s="283">
        <f t="shared" si="18"/>
        <v>0.64278760968654081</v>
      </c>
      <c r="AA112" s="286">
        <v>7.6277522994089775E-69</v>
      </c>
      <c r="AB112" s="287">
        <v>0.18816874360562783</v>
      </c>
      <c r="AC112" s="287">
        <v>0.89177091975535849</v>
      </c>
      <c r="AD112" s="287">
        <f t="shared" si="9"/>
        <v>1.0799396633609863</v>
      </c>
      <c r="AE112" s="268">
        <v>5926.2531468309971</v>
      </c>
      <c r="AF112" s="268">
        <v>94.084371802813919</v>
      </c>
      <c r="AG112" s="268">
        <v>445.88545987767924</v>
      </c>
    </row>
    <row r="113" spans="2:33" ht="11.1" customHeight="1" x14ac:dyDescent="0.15">
      <c r="B113" s="274">
        <v>50</v>
      </c>
      <c r="C113" s="275">
        <v>42461</v>
      </c>
      <c r="D113" s="276">
        <v>4802.12</v>
      </c>
      <c r="E113" s="277">
        <v>42461</v>
      </c>
      <c r="F113" s="274">
        <v>22</v>
      </c>
      <c r="G113" s="274">
        <v>120</v>
      </c>
      <c r="H113" s="278">
        <f t="shared" si="10"/>
        <v>142</v>
      </c>
      <c r="I113" s="291">
        <v>1.44872813467199</v>
      </c>
      <c r="J113" s="281">
        <v>4.5636697524496483</v>
      </c>
      <c r="K113" s="281">
        <f t="shared" si="8"/>
        <v>6.0123978871216384</v>
      </c>
      <c r="L113" s="267"/>
      <c r="M113" s="268">
        <v>8.6592292538488902</v>
      </c>
      <c r="N113" s="281">
        <f t="shared" si="11"/>
        <v>20.488499999999998</v>
      </c>
      <c r="O113" s="278">
        <f t="shared" si="12"/>
        <v>26.617004219818917</v>
      </c>
      <c r="P113" s="271">
        <v>36.188686490080592</v>
      </c>
      <c r="Q113" s="281">
        <f t="shared" si="13"/>
        <v>101.44538461538461</v>
      </c>
      <c r="R113" s="268">
        <f t="shared" si="14"/>
        <v>125.68411828929283</v>
      </c>
      <c r="S113" s="205"/>
      <c r="T113" s="282">
        <v>80</v>
      </c>
      <c r="U113" s="283">
        <f t="shared" si="15"/>
        <v>1.3962634015954636</v>
      </c>
      <c r="V113" s="284">
        <f t="shared" si="16"/>
        <v>0.17364817766693041</v>
      </c>
      <c r="W113" s="285">
        <v>1520</v>
      </c>
      <c r="X113" s="283">
        <f t="shared" si="17"/>
        <v>26.529004630313811</v>
      </c>
      <c r="Y113" s="283">
        <f t="shared" si="18"/>
        <v>0.17364817766692942</v>
      </c>
      <c r="AA113" s="286">
        <v>5.7080238778573489E-70</v>
      </c>
      <c r="AB113" s="287">
        <v>0.1830444369789474</v>
      </c>
      <c r="AC113" s="287">
        <v>0.89008410737941646</v>
      </c>
      <c r="AD113" s="287">
        <f t="shared" si="9"/>
        <v>1.0731285443583638</v>
      </c>
      <c r="AE113" s="268">
        <v>5880.7175991466356</v>
      </c>
      <c r="AF113" s="268">
        <v>91.522218489473701</v>
      </c>
      <c r="AG113" s="268">
        <v>445.04205368970821</v>
      </c>
    </row>
    <row r="114" spans="2:33" ht="11.1" customHeight="1" x14ac:dyDescent="0.15">
      <c r="B114" s="274">
        <v>51</v>
      </c>
      <c r="C114" s="275">
        <v>42492</v>
      </c>
      <c r="D114" s="276">
        <v>5502.55</v>
      </c>
      <c r="E114" s="277">
        <v>42491</v>
      </c>
      <c r="F114" s="274">
        <v>33</v>
      </c>
      <c r="G114" s="274">
        <v>180</v>
      </c>
      <c r="H114" s="278">
        <f t="shared" si="10"/>
        <v>213</v>
      </c>
      <c r="I114" s="291">
        <v>1.4079792202737438</v>
      </c>
      <c r="J114" s="281">
        <v>4.5547499667346312</v>
      </c>
      <c r="K114" s="281">
        <f t="shared" si="8"/>
        <v>5.9627291870083745</v>
      </c>
      <c r="L114" s="267"/>
      <c r="M114" s="268">
        <v>7.9919878483204458</v>
      </c>
      <c r="N114" s="281">
        <f t="shared" si="11"/>
        <v>20.483000000000001</v>
      </c>
      <c r="O114" s="278">
        <f t="shared" si="12"/>
        <v>39.381540952863595</v>
      </c>
      <c r="P114" s="271">
        <v>34.185936368115911</v>
      </c>
      <c r="Q114" s="281">
        <f t="shared" si="13"/>
        <v>101.39923076923077</v>
      </c>
      <c r="R114" s="268">
        <f t="shared" si="14"/>
        <v>187.51729906480782</v>
      </c>
      <c r="S114" s="205"/>
      <c r="T114" s="282">
        <v>140</v>
      </c>
      <c r="U114" s="283">
        <f t="shared" si="15"/>
        <v>2.4434609527920612</v>
      </c>
      <c r="V114" s="284">
        <f t="shared" si="16"/>
        <v>-0.7660444431189779</v>
      </c>
      <c r="W114" s="285">
        <v>1550</v>
      </c>
      <c r="X114" s="283">
        <f t="shared" si="17"/>
        <v>27.052603405912109</v>
      </c>
      <c r="Y114" s="283">
        <f t="shared" si="18"/>
        <v>-0.34202014332566905</v>
      </c>
      <c r="AA114" s="286">
        <v>3.9178212805284191E-71</v>
      </c>
      <c r="AB114" s="287">
        <v>0.17789587810511887</v>
      </c>
      <c r="AC114" s="287">
        <v>0.8883444198172511</v>
      </c>
      <c r="AD114" s="287">
        <f t="shared" si="9"/>
        <v>1.06624029792237</v>
      </c>
      <c r="AE114" s="268">
        <v>5834.7364017951095</v>
      </c>
      <c r="AF114" s="268">
        <v>88.947939052559434</v>
      </c>
      <c r="AG114" s="268">
        <v>444.17220990862558</v>
      </c>
    </row>
    <row r="115" spans="2:33" ht="11.1" customHeight="1" x14ac:dyDescent="0.15">
      <c r="B115" s="274">
        <v>52</v>
      </c>
      <c r="C115" s="275">
        <v>42522</v>
      </c>
      <c r="D115" s="276">
        <v>4991.43</v>
      </c>
      <c r="E115" s="277">
        <v>42522</v>
      </c>
      <c r="F115" s="274">
        <v>42</v>
      </c>
      <c r="G115" s="274">
        <v>210</v>
      </c>
      <c r="H115" s="278">
        <f t="shared" si="10"/>
        <v>252</v>
      </c>
      <c r="I115" s="291">
        <v>1.3696364163073285</v>
      </c>
      <c r="J115" s="274">
        <v>14</v>
      </c>
      <c r="K115" s="281">
        <f t="shared" si="8"/>
        <v>15.369636416307328</v>
      </c>
      <c r="L115" s="267"/>
      <c r="M115" s="268">
        <v>7.356471857289363</v>
      </c>
      <c r="N115" s="281">
        <f t="shared" si="11"/>
        <v>20.4785</v>
      </c>
      <c r="O115" s="278">
        <f t="shared" si="12"/>
        <v>41.752457785934048</v>
      </c>
      <c r="P115" s="271">
        <v>32.232794670609067</v>
      </c>
      <c r="Q115" s="281">
        <f t="shared" si="13"/>
        <v>101.37615384615384</v>
      </c>
      <c r="R115" s="268">
        <f t="shared" si="14"/>
        <v>200.41342277514434</v>
      </c>
      <c r="S115" s="205"/>
      <c r="T115" s="282">
        <v>180</v>
      </c>
      <c r="U115" s="283">
        <f t="shared" si="15"/>
        <v>3.1415926535897931</v>
      </c>
      <c r="V115" s="284">
        <f t="shared" si="16"/>
        <v>-1</v>
      </c>
      <c r="W115" s="285">
        <v>1580</v>
      </c>
      <c r="X115" s="283">
        <f t="shared" si="17"/>
        <v>27.576202181510407</v>
      </c>
      <c r="Y115" s="283">
        <f t="shared" si="18"/>
        <v>-0.7660444431189779</v>
      </c>
      <c r="AA115" s="286">
        <v>2.9317964900573999E-72</v>
      </c>
      <c r="AB115" s="287">
        <v>0.17305132736005066</v>
      </c>
      <c r="AC115" s="287">
        <v>0.88666408877230318</v>
      </c>
      <c r="AD115" s="287">
        <f t="shared" si="9"/>
        <v>1.0597154161323539</v>
      </c>
      <c r="AE115" s="268">
        <v>5791.2479432062964</v>
      </c>
      <c r="AF115" s="268">
        <v>86.525663680025332</v>
      </c>
      <c r="AG115" s="268">
        <v>443.33204438615161</v>
      </c>
    </row>
    <row r="116" spans="2:33" ht="11.1" customHeight="1" x14ac:dyDescent="0.15">
      <c r="B116" s="274">
        <v>53</v>
      </c>
      <c r="C116" s="275">
        <v>42552</v>
      </c>
      <c r="D116" s="276">
        <v>5226.55</v>
      </c>
      <c r="E116" s="277">
        <v>42552</v>
      </c>
      <c r="F116" s="274">
        <v>33</v>
      </c>
      <c r="G116" s="274">
        <v>180</v>
      </c>
      <c r="H116" s="278">
        <f t="shared" si="10"/>
        <v>213</v>
      </c>
      <c r="I116" s="291">
        <v>1.3323377830181777</v>
      </c>
      <c r="J116" s="274">
        <v>11</v>
      </c>
      <c r="K116" s="281">
        <f t="shared" si="8"/>
        <v>12.332337783018177</v>
      </c>
      <c r="L116" s="267"/>
      <c r="M116" s="268">
        <v>6.7896150992694295</v>
      </c>
      <c r="N116" s="281">
        <f t="shared" si="11"/>
        <v>20.483000000000001</v>
      </c>
      <c r="O116" s="278">
        <f t="shared" si="12"/>
        <v>39.082003851070617</v>
      </c>
      <c r="P116" s="271">
        <v>30.448971058345069</v>
      </c>
      <c r="Q116" s="281">
        <f t="shared" si="13"/>
        <v>101.39923076923077</v>
      </c>
      <c r="R116" s="268">
        <f t="shared" si="14"/>
        <v>188.94014794056511</v>
      </c>
      <c r="S116" s="205"/>
      <c r="T116" s="282">
        <v>210</v>
      </c>
      <c r="U116" s="283">
        <f t="shared" si="15"/>
        <v>3.6651914291880923</v>
      </c>
      <c r="V116" s="284">
        <f t="shared" si="16"/>
        <v>-0.8660254037844386</v>
      </c>
      <c r="W116" s="285">
        <v>1610</v>
      </c>
      <c r="X116" s="283">
        <f t="shared" si="17"/>
        <v>28.099800957108705</v>
      </c>
      <c r="Y116" s="283">
        <f t="shared" si="18"/>
        <v>-0.98480775301220791</v>
      </c>
      <c r="AA116" s="286">
        <v>2.1939312805901085E-73</v>
      </c>
      <c r="AB116" s="287">
        <v>0.16833870587704022</v>
      </c>
      <c r="AC116" s="287">
        <v>0.88498693612568557</v>
      </c>
      <c r="AD116" s="287">
        <f t="shared" si="9"/>
        <v>1.0533256420027257</v>
      </c>
      <c r="AE116" s="268">
        <v>5748.7254902608574</v>
      </c>
      <c r="AF116" s="268">
        <v>84.169352938520106</v>
      </c>
      <c r="AG116" s="268">
        <v>442.49346806284279</v>
      </c>
    </row>
    <row r="117" spans="2:33" ht="11.1" customHeight="1" x14ac:dyDescent="0.15">
      <c r="B117" s="274">
        <v>54</v>
      </c>
      <c r="C117" s="275">
        <v>42585</v>
      </c>
      <c r="D117" s="276">
        <v>5805.25</v>
      </c>
      <c r="E117" s="277">
        <v>42583</v>
      </c>
      <c r="F117" s="274">
        <v>24</v>
      </c>
      <c r="G117" s="274">
        <v>150</v>
      </c>
      <c r="H117" s="278">
        <f t="shared" si="10"/>
        <v>174</v>
      </c>
      <c r="I117" s="291">
        <v>1.2924813891194442</v>
      </c>
      <c r="J117" s="274">
        <v>14</v>
      </c>
      <c r="K117" s="281">
        <f t="shared" si="8"/>
        <v>15.292481389119445</v>
      </c>
      <c r="L117" s="267"/>
      <c r="M117" s="268">
        <v>6.2497107537643739</v>
      </c>
      <c r="N117" s="281">
        <f t="shared" si="11"/>
        <v>20.487500000000001</v>
      </c>
      <c r="O117" s="278">
        <f t="shared" si="12"/>
        <v>33.421513442205473</v>
      </c>
      <c r="P117" s="271">
        <v>28.709333027669416</v>
      </c>
      <c r="Q117" s="281">
        <f t="shared" si="13"/>
        <v>101.4223076923077</v>
      </c>
      <c r="R117" s="268">
        <f t="shared" si="14"/>
        <v>162.6645508999714</v>
      </c>
      <c r="S117" s="205"/>
      <c r="T117" s="282">
        <v>240</v>
      </c>
      <c r="U117" s="283">
        <f t="shared" si="15"/>
        <v>4.1887902047863905</v>
      </c>
      <c r="V117" s="284">
        <f t="shared" si="16"/>
        <v>-0.50000000000000044</v>
      </c>
      <c r="W117" s="285">
        <v>1640</v>
      </c>
      <c r="X117" s="283">
        <f t="shared" si="17"/>
        <v>28.623399732707004</v>
      </c>
      <c r="Y117" s="283">
        <f t="shared" si="18"/>
        <v>-0.93969262078590887</v>
      </c>
      <c r="AA117" s="286">
        <v>1.2668381690673443E-74</v>
      </c>
      <c r="AB117" s="287">
        <v>0.16330291551264819</v>
      </c>
      <c r="AC117" s="287">
        <v>0.88314573208944813</v>
      </c>
      <c r="AD117" s="287">
        <f t="shared" si="9"/>
        <v>1.0464486476020962</v>
      </c>
      <c r="AE117" s="268">
        <v>5703.0356453551849</v>
      </c>
      <c r="AF117" s="268">
        <v>81.651457756324092</v>
      </c>
      <c r="AG117" s="268">
        <v>441.57286604472409</v>
      </c>
    </row>
    <row r="118" spans="2:33" ht="11.1" customHeight="1" x14ac:dyDescent="0.15">
      <c r="B118" s="274">
        <v>55</v>
      </c>
      <c r="C118" s="275">
        <v>42614</v>
      </c>
      <c r="D118" s="276">
        <v>5310.79</v>
      </c>
      <c r="E118" s="277">
        <v>42614</v>
      </c>
      <c r="F118" s="274">
        <v>19</v>
      </c>
      <c r="G118" s="274">
        <v>110</v>
      </c>
      <c r="H118" s="278">
        <f t="shared" si="10"/>
        <v>129</v>
      </c>
      <c r="I118" s="291">
        <v>1.2584415412727514</v>
      </c>
      <c r="J118" s="274">
        <v>12</v>
      </c>
      <c r="K118" s="281">
        <f t="shared" si="8"/>
        <v>13.258441541272752</v>
      </c>
      <c r="L118" s="267"/>
      <c r="M118" s="268">
        <v>5.7527391368504537</v>
      </c>
      <c r="N118" s="281">
        <f t="shared" si="11"/>
        <v>20.49</v>
      </c>
      <c r="O118" s="278">
        <f t="shared" si="12"/>
        <v>30.730511837272314</v>
      </c>
      <c r="P118" s="271">
        <v>27.069085563327651</v>
      </c>
      <c r="Q118" s="281">
        <f t="shared" si="13"/>
        <v>101.45307692307692</v>
      </c>
      <c r="R118" s="268">
        <f t="shared" si="14"/>
        <v>150.50074670346703</v>
      </c>
      <c r="S118" s="205"/>
      <c r="T118" s="282">
        <v>250</v>
      </c>
      <c r="U118" s="283">
        <f t="shared" si="15"/>
        <v>4.3633231299858242</v>
      </c>
      <c r="V118" s="284">
        <f t="shared" si="16"/>
        <v>-0.34202014332566855</v>
      </c>
      <c r="W118" s="285">
        <v>1670</v>
      </c>
      <c r="X118" s="283">
        <f t="shared" si="17"/>
        <v>29.146998508305302</v>
      </c>
      <c r="Y118" s="283">
        <f t="shared" si="18"/>
        <v>-0.64278760968654092</v>
      </c>
      <c r="AA118" s="286">
        <v>1.0335719145216021E-75</v>
      </c>
      <c r="AB118" s="287">
        <v>0.15900203625530041</v>
      </c>
      <c r="AC118" s="287">
        <v>0.8815308668348435</v>
      </c>
      <c r="AD118" s="287">
        <f t="shared" si="9"/>
        <v>1.0405329030901438</v>
      </c>
      <c r="AE118" s="268">
        <v>5663.7964955551579</v>
      </c>
      <c r="AF118" s="268">
        <v>79.501018127650198</v>
      </c>
      <c r="AG118" s="268">
        <v>440.76543341742178</v>
      </c>
    </row>
    <row r="119" spans="2:33" ht="11.1" customHeight="1" x14ac:dyDescent="0.15">
      <c r="B119" s="274">
        <v>56</v>
      </c>
      <c r="C119" s="275">
        <v>42647</v>
      </c>
      <c r="D119" s="276">
        <v>4948.62</v>
      </c>
      <c r="E119" s="277">
        <v>42644</v>
      </c>
      <c r="F119" s="274">
        <v>21</v>
      </c>
      <c r="G119" s="274">
        <v>120</v>
      </c>
      <c r="H119" s="278">
        <f t="shared" si="10"/>
        <v>141</v>
      </c>
      <c r="I119" s="291">
        <v>1.220795726219849</v>
      </c>
      <c r="J119" s="281">
        <v>4.5104118662090134</v>
      </c>
      <c r="K119" s="281">
        <f t="shared" si="8"/>
        <v>5.7312075924288628</v>
      </c>
      <c r="L119" s="267"/>
      <c r="M119" s="268">
        <v>5.309458836169604</v>
      </c>
      <c r="N119" s="281">
        <f t="shared" si="11"/>
        <v>20.489000000000001</v>
      </c>
      <c r="O119" s="278">
        <f t="shared" si="12"/>
        <v>28.038386517927691</v>
      </c>
      <c r="P119" s="271">
        <v>25.571031346071461</v>
      </c>
      <c r="Q119" s="281">
        <f t="shared" si="13"/>
        <v>101.44538461538461</v>
      </c>
      <c r="R119" s="268">
        <f t="shared" si="14"/>
        <v>138.04450054420192</v>
      </c>
      <c r="S119" s="205"/>
      <c r="T119" s="282">
        <v>260</v>
      </c>
      <c r="U119" s="283">
        <f t="shared" si="15"/>
        <v>4.5378560551852569</v>
      </c>
      <c r="V119" s="284">
        <f t="shared" si="16"/>
        <v>-0.17364817766693033</v>
      </c>
      <c r="W119" s="285">
        <v>1700</v>
      </c>
      <c r="X119" s="283">
        <f t="shared" si="17"/>
        <v>29.670597283903604</v>
      </c>
      <c r="Y119" s="283">
        <f t="shared" si="18"/>
        <v>-0.17364817766692955</v>
      </c>
      <c r="AA119" s="286">
        <v>5.9681374862382449E-77</v>
      </c>
      <c r="AB119" s="287">
        <v>0.15424554892268413</v>
      </c>
      <c r="AC119" s="287">
        <v>0.87969685310669776</v>
      </c>
      <c r="AD119" s="287">
        <f t="shared" si="9"/>
        <v>1.0339424020293819</v>
      </c>
      <c r="AE119" s="268">
        <v>5620.1541144364355</v>
      </c>
      <c r="AF119" s="268">
        <v>77.122774461342061</v>
      </c>
      <c r="AG119" s="268">
        <v>439.84842655334887</v>
      </c>
    </row>
    <row r="120" spans="2:33" ht="11.1" customHeight="1" x14ac:dyDescent="0.15">
      <c r="B120" s="274">
        <v>57</v>
      </c>
      <c r="C120" s="275">
        <v>42678</v>
      </c>
      <c r="D120" s="276">
        <v>4702.2700000000004</v>
      </c>
      <c r="E120" s="277">
        <v>42675</v>
      </c>
      <c r="F120" s="274">
        <v>21</v>
      </c>
      <c r="G120" s="274">
        <v>110</v>
      </c>
      <c r="H120" s="278">
        <f t="shared" si="10"/>
        <v>131</v>
      </c>
      <c r="I120" s="291">
        <v>1.1864579513434461</v>
      </c>
      <c r="J120" s="274">
        <v>10</v>
      </c>
      <c r="K120" s="281">
        <f t="shared" si="8"/>
        <v>11.186457951343446</v>
      </c>
      <c r="L120" s="267"/>
      <c r="M120" s="268">
        <v>4.8872552420017019</v>
      </c>
      <c r="N120" s="281">
        <f t="shared" si="11"/>
        <v>20.489000000000001</v>
      </c>
      <c r="O120" s="278">
        <f t="shared" si="12"/>
        <v>23.172985002609465</v>
      </c>
      <c r="P120" s="271">
        <v>24.110084159121001</v>
      </c>
      <c r="Q120" s="281">
        <f t="shared" si="13"/>
        <v>101.45307692307692</v>
      </c>
      <c r="R120" s="268">
        <f t="shared" si="14"/>
        <v>114.66125403018648</v>
      </c>
      <c r="S120" s="205"/>
      <c r="T120" s="282">
        <v>280</v>
      </c>
      <c r="U120" s="283">
        <f t="shared" si="15"/>
        <v>4.8869219055841224</v>
      </c>
      <c r="V120" s="284">
        <f t="shared" si="16"/>
        <v>0.17364817766692997</v>
      </c>
      <c r="W120" s="285">
        <v>1730</v>
      </c>
      <c r="X120" s="283">
        <f t="shared" si="17"/>
        <v>30.194196059501902</v>
      </c>
      <c r="Y120" s="283">
        <f t="shared" si="18"/>
        <v>0.34202014332566893</v>
      </c>
      <c r="AA120" s="286">
        <v>4.0963556826397349E-78</v>
      </c>
      <c r="AB120" s="287">
        <v>0.14990702707104347</v>
      </c>
      <c r="AC120" s="287">
        <v>0.87797746764510198</v>
      </c>
      <c r="AD120" s="287">
        <f t="shared" si="9"/>
        <v>1.0278844947161454</v>
      </c>
      <c r="AE120" s="268">
        <v>5580.108162712354</v>
      </c>
      <c r="AF120" s="268">
        <v>74.953513535521736</v>
      </c>
      <c r="AG120" s="268">
        <v>438.98873382255101</v>
      </c>
    </row>
    <row r="121" spans="2:33" ht="11.1" customHeight="1" x14ac:dyDescent="0.15">
      <c r="B121" s="274">
        <v>58</v>
      </c>
      <c r="C121" s="275">
        <v>42705</v>
      </c>
      <c r="D121" s="276">
        <v>5076.05</v>
      </c>
      <c r="E121" s="277">
        <v>42705</v>
      </c>
      <c r="F121" s="274">
        <v>18</v>
      </c>
      <c r="G121" s="274">
        <v>120</v>
      </c>
      <c r="H121" s="278">
        <f t="shared" si="10"/>
        <v>138</v>
      </c>
      <c r="I121" s="291">
        <v>1.1573387532347019</v>
      </c>
      <c r="J121" s="281">
        <v>4.4939320308306936</v>
      </c>
      <c r="K121" s="281">
        <f t="shared" si="8"/>
        <v>5.651270784065396</v>
      </c>
      <c r="L121" s="267"/>
      <c r="M121" s="268">
        <v>4.5106652521478168</v>
      </c>
      <c r="N121" s="281">
        <f t="shared" si="11"/>
        <v>20.490500000000001</v>
      </c>
      <c r="O121" s="278">
        <f t="shared" si="12"/>
        <v>16.965945626244689</v>
      </c>
      <c r="P121" s="271">
        <v>22.775786656958445</v>
      </c>
      <c r="Q121" s="281">
        <f t="shared" si="13"/>
        <v>101.44538461538461</v>
      </c>
      <c r="R121" s="268">
        <f t="shared" si="14"/>
        <v>84.297256395037266</v>
      </c>
      <c r="S121" s="205"/>
      <c r="T121" s="282">
        <v>310</v>
      </c>
      <c r="U121" s="283">
        <f t="shared" si="15"/>
        <v>5.4105206811824216</v>
      </c>
      <c r="V121" s="284">
        <f t="shared" si="16"/>
        <v>0.64278760968653925</v>
      </c>
      <c r="W121" s="285">
        <v>1760</v>
      </c>
      <c r="X121" s="283">
        <f t="shared" si="17"/>
        <v>30.7177948351002</v>
      </c>
      <c r="Y121" s="283">
        <f t="shared" si="18"/>
        <v>0.76604444311897779</v>
      </c>
      <c r="AA121" s="286">
        <v>3.9726283605868161E-79</v>
      </c>
      <c r="AB121" s="287">
        <v>0.14622786388263734</v>
      </c>
      <c r="AC121" s="287">
        <v>0.87648267671836511</v>
      </c>
      <c r="AD121" s="287">
        <f t="shared" si="9"/>
        <v>1.0227105406010024</v>
      </c>
      <c r="AE121" s="268">
        <v>5545.9600891872888</v>
      </c>
      <c r="AF121" s="268">
        <v>73.113931941318668</v>
      </c>
      <c r="AG121" s="268">
        <v>438.24133835918258</v>
      </c>
    </row>
    <row r="122" spans="2:33" ht="11.1" customHeight="1" x14ac:dyDescent="0.15">
      <c r="B122" s="274">
        <v>59</v>
      </c>
      <c r="C122" s="275">
        <v>42741</v>
      </c>
      <c r="D122" s="276">
        <v>4597.87</v>
      </c>
      <c r="E122" s="277">
        <v>42736</v>
      </c>
      <c r="F122" s="274">
        <v>15</v>
      </c>
      <c r="G122" s="274">
        <v>93</v>
      </c>
      <c r="H122" s="278">
        <f t="shared" si="10"/>
        <v>108</v>
      </c>
      <c r="I122" s="291">
        <v>1.119621822861999</v>
      </c>
      <c r="J122" s="281">
        <v>4.4837334669423967</v>
      </c>
      <c r="K122" s="281">
        <f t="shared" si="8"/>
        <v>5.6033552898043961</v>
      </c>
      <c r="L122" s="267"/>
      <c r="M122" s="268">
        <v>4.1519810358635496</v>
      </c>
      <c r="N122" s="281">
        <f t="shared" si="11"/>
        <v>20.492000000000001</v>
      </c>
      <c r="O122" s="278">
        <f t="shared" si="12"/>
        <v>15.204788671437178</v>
      </c>
      <c r="P122" s="271">
        <v>21.474539906417068</v>
      </c>
      <c r="Q122" s="281">
        <f t="shared" si="13"/>
        <v>101.46615384615384</v>
      </c>
      <c r="R122" s="268">
        <f t="shared" si="14"/>
        <v>75.851676111396415</v>
      </c>
      <c r="S122" s="205"/>
      <c r="T122" s="282">
        <v>320</v>
      </c>
      <c r="U122" s="283">
        <f t="shared" si="15"/>
        <v>5.5850536063818543</v>
      </c>
      <c r="V122" s="284">
        <f t="shared" si="16"/>
        <v>0.76604444311897779</v>
      </c>
      <c r="W122" s="285">
        <v>1790</v>
      </c>
      <c r="X122" s="283">
        <f t="shared" si="17"/>
        <v>31.241393610698498</v>
      </c>
      <c r="Y122" s="283">
        <f t="shared" si="18"/>
        <v>0.98480775301220791</v>
      </c>
      <c r="AA122" s="286">
        <v>1.7700477336823373E-80</v>
      </c>
      <c r="AB122" s="287">
        <v>0.14146239124535151</v>
      </c>
      <c r="AC122" s="287">
        <v>0.87449358019572687</v>
      </c>
      <c r="AD122" s="287">
        <f t="shared" si="9"/>
        <v>1.0159559714410784</v>
      </c>
      <c r="AE122" s="268">
        <v>5501.4579888864637</v>
      </c>
      <c r="AF122" s="268">
        <v>70.731195622675756</v>
      </c>
      <c r="AG122" s="268">
        <v>437.24679009786342</v>
      </c>
    </row>
    <row r="123" spans="2:33" ht="11.1" customHeight="1" x14ac:dyDescent="0.15">
      <c r="B123" s="274">
        <v>60</v>
      </c>
      <c r="C123" s="275">
        <v>42767</v>
      </c>
      <c r="D123" s="276">
        <v>3936.52</v>
      </c>
      <c r="E123" s="277">
        <v>42767</v>
      </c>
      <c r="F123" s="274">
        <v>11</v>
      </c>
      <c r="G123" s="274">
        <v>70</v>
      </c>
      <c r="H123" s="278">
        <f t="shared" si="10"/>
        <v>81</v>
      </c>
      <c r="I123" s="291">
        <v>1.093148586611457</v>
      </c>
      <c r="J123" s="281">
        <v>4.4763822344971125</v>
      </c>
      <c r="K123" s="281">
        <f t="shared" si="8"/>
        <v>5.5695308211085699</v>
      </c>
      <c r="L123" s="267"/>
      <c r="M123" s="268">
        <v>3.8218190795608216</v>
      </c>
      <c r="N123" s="281">
        <f t="shared" si="11"/>
        <v>20.494</v>
      </c>
      <c r="O123" s="278">
        <f t="shared" si="12"/>
        <v>13.786760561197816</v>
      </c>
      <c r="P123" s="271">
        <v>20.247637156866631</v>
      </c>
      <c r="Q123" s="281">
        <f t="shared" si="13"/>
        <v>101.48384615384616</v>
      </c>
      <c r="R123" s="268">
        <f t="shared" si="14"/>
        <v>69.020204816993456</v>
      </c>
      <c r="S123" s="205"/>
      <c r="T123" s="282">
        <v>330</v>
      </c>
      <c r="U123" s="283">
        <f t="shared" si="15"/>
        <v>5.7595865315812871</v>
      </c>
      <c r="V123" s="284">
        <f t="shared" si="16"/>
        <v>0.86602540378443837</v>
      </c>
      <c r="W123" s="285">
        <v>1820</v>
      </c>
      <c r="X123" s="283">
        <f t="shared" si="17"/>
        <v>31.764992386296797</v>
      </c>
      <c r="Y123" s="283">
        <f t="shared" si="18"/>
        <v>0.93969262078590898</v>
      </c>
      <c r="AA123" s="286">
        <v>1.8715249363828036E-81</v>
      </c>
      <c r="AB123" s="287">
        <v>0.13811754102223606</v>
      </c>
      <c r="AC123" s="287">
        <v>0.87305981843728964</v>
      </c>
      <c r="AD123" s="287">
        <f t="shared" si="9"/>
        <v>1.0111773594595257</v>
      </c>
      <c r="AE123" s="268">
        <v>5470.029382684027</v>
      </c>
      <c r="AF123" s="268">
        <v>69.058770511118027</v>
      </c>
      <c r="AG123" s="268">
        <v>436.52990921864483</v>
      </c>
    </row>
    <row r="124" spans="2:33" ht="11.1" customHeight="1" x14ac:dyDescent="0.15">
      <c r="B124" s="274">
        <v>61</v>
      </c>
      <c r="C124" s="275">
        <v>42797</v>
      </c>
      <c r="D124" s="276">
        <v>4818.8599999999997</v>
      </c>
      <c r="E124" s="277">
        <v>42795</v>
      </c>
      <c r="F124" s="274">
        <v>12</v>
      </c>
      <c r="G124" s="274">
        <v>72</v>
      </c>
      <c r="H124" s="278">
        <f t="shared" si="10"/>
        <v>84</v>
      </c>
      <c r="I124" s="291">
        <v>1.0633794100788247</v>
      </c>
      <c r="J124" s="281">
        <v>4.467915018550368</v>
      </c>
      <c r="K124" s="281">
        <f t="shared" si="8"/>
        <v>5.5312944286291925</v>
      </c>
      <c r="L124" s="267"/>
      <c r="M124" s="268">
        <v>3.5462335113923613</v>
      </c>
      <c r="N124" s="281">
        <f t="shared" si="11"/>
        <v>20.493500000000001</v>
      </c>
      <c r="O124" s="278">
        <f t="shared" si="12"/>
        <v>12.744753418234804</v>
      </c>
      <c r="P124" s="271">
        <v>19.199829201303537</v>
      </c>
      <c r="Q124" s="281">
        <f t="shared" si="13"/>
        <v>101.4823076923077</v>
      </c>
      <c r="R124" s="268">
        <f t="shared" si="14"/>
        <v>63.980080143810582</v>
      </c>
      <c r="S124" s="205"/>
      <c r="T124" s="282">
        <v>340</v>
      </c>
      <c r="U124" s="283">
        <f t="shared" si="15"/>
        <v>5.9341194567807207</v>
      </c>
      <c r="V124" s="284">
        <f t="shared" si="16"/>
        <v>0.93969262078590843</v>
      </c>
      <c r="W124" s="285">
        <v>1850</v>
      </c>
      <c r="X124" s="283">
        <f t="shared" si="17"/>
        <v>32.288591161895098</v>
      </c>
      <c r="Y124" s="283">
        <f t="shared" si="18"/>
        <v>0.64278760968653836</v>
      </c>
      <c r="AA124" s="286">
        <v>1.4005054969741002E-82</v>
      </c>
      <c r="AB124" s="287">
        <v>0.13435625412006913</v>
      </c>
      <c r="AC124" s="287">
        <v>0.87140839869029707</v>
      </c>
      <c r="AD124" s="287">
        <f t="shared" si="9"/>
        <v>1.0057646528103663</v>
      </c>
      <c r="AE124" s="268">
        <v>5434.4871670277453</v>
      </c>
      <c r="AF124" s="268">
        <v>67.178127060034569</v>
      </c>
      <c r="AG124" s="268">
        <v>435.70419934514854</v>
      </c>
    </row>
    <row r="125" spans="2:33" ht="11.1" customHeight="1" x14ac:dyDescent="0.15">
      <c r="B125" s="274">
        <v>62</v>
      </c>
      <c r="C125" s="275">
        <v>42828</v>
      </c>
      <c r="D125" s="276">
        <v>4574.25</v>
      </c>
      <c r="E125" s="277">
        <v>42826</v>
      </c>
      <c r="F125" s="274">
        <v>17</v>
      </c>
      <c r="G125" s="274">
        <v>120</v>
      </c>
      <c r="H125" s="278">
        <f t="shared" si="10"/>
        <v>137</v>
      </c>
      <c r="I125" s="291">
        <v>1.0334693424014472</v>
      </c>
      <c r="J125" s="281">
        <v>4.4591823874179362</v>
      </c>
      <c r="K125" s="281">
        <f t="shared" si="8"/>
        <v>5.4926517298193831</v>
      </c>
      <c r="L125" s="267"/>
      <c r="M125" s="268">
        <v>3.2642400765682833</v>
      </c>
      <c r="N125" s="281">
        <f t="shared" si="11"/>
        <v>20.491</v>
      </c>
      <c r="O125" s="278">
        <f t="shared" si="12"/>
        <v>21.692713001900024</v>
      </c>
      <c r="P125" s="271">
        <v>18.102887271900947</v>
      </c>
      <c r="Q125" s="281">
        <f t="shared" si="13"/>
        <v>101.44538461538461</v>
      </c>
      <c r="R125" s="268">
        <f t="shared" si="14"/>
        <v>109.16860210905661</v>
      </c>
      <c r="S125" s="205"/>
      <c r="T125" s="254">
        <v>80</v>
      </c>
      <c r="U125" s="283">
        <f t="shared" si="15"/>
        <v>1.3962634015954636</v>
      </c>
      <c r="V125" s="284">
        <f t="shared" si="16"/>
        <v>0.17364817766693041</v>
      </c>
      <c r="W125" s="255">
        <v>1880</v>
      </c>
      <c r="X125" s="283">
        <f t="shared" si="17"/>
        <v>32.812189937493393</v>
      </c>
      <c r="Y125" s="283">
        <f t="shared" si="18"/>
        <v>0.17364817766693316</v>
      </c>
      <c r="AA125" s="286">
        <v>9.6126616793367468E-84</v>
      </c>
      <c r="AB125" s="287">
        <v>0.13057716585155327</v>
      </c>
      <c r="AC125" s="287">
        <v>0.86970521318209693</v>
      </c>
      <c r="AD125" s="287">
        <f t="shared" si="9"/>
        <v>1.0002823790336501</v>
      </c>
      <c r="AE125" s="268">
        <v>5398.5514267881908</v>
      </c>
      <c r="AF125" s="268">
        <v>65.288582925776637</v>
      </c>
      <c r="AG125" s="268">
        <v>434.85260659104847</v>
      </c>
    </row>
    <row r="126" spans="2:33" ht="11.1" customHeight="1" x14ac:dyDescent="0.15">
      <c r="B126" s="274">
        <v>63</v>
      </c>
      <c r="C126" s="275">
        <v>42857</v>
      </c>
      <c r="D126" s="276">
        <v>5535.09</v>
      </c>
      <c r="E126" s="277">
        <v>42856</v>
      </c>
      <c r="F126" s="274">
        <v>25</v>
      </c>
      <c r="G126" s="274">
        <v>170</v>
      </c>
      <c r="H126" s="278">
        <f t="shared" si="10"/>
        <v>195</v>
      </c>
      <c r="I126" s="291">
        <v>1.0062510478358797</v>
      </c>
      <c r="J126" s="274">
        <v>12</v>
      </c>
      <c r="K126" s="281">
        <f t="shared" si="8"/>
        <v>13.00625104783588</v>
      </c>
      <c r="L126" s="267"/>
      <c r="M126" s="268">
        <v>3.0127123628628638</v>
      </c>
      <c r="N126" s="281">
        <f t="shared" si="11"/>
        <v>20.486999999999998</v>
      </c>
      <c r="O126" s="278">
        <f t="shared" si="12"/>
        <v>32.500624398095582</v>
      </c>
      <c r="P126" s="271">
        <v>17.101039368367609</v>
      </c>
      <c r="Q126" s="281">
        <f t="shared" si="13"/>
        <v>101.40692307692308</v>
      </c>
      <c r="R126" s="268">
        <f t="shared" si="14"/>
        <v>163.89914549357442</v>
      </c>
      <c r="S126" s="205"/>
      <c r="T126" s="254">
        <v>140</v>
      </c>
      <c r="U126" s="283">
        <f t="shared" si="15"/>
        <v>2.4434609527920612</v>
      </c>
      <c r="V126" s="284">
        <f t="shared" si="16"/>
        <v>-0.7660444431189779</v>
      </c>
      <c r="W126" s="255">
        <v>1910</v>
      </c>
      <c r="X126" s="283">
        <f t="shared" si="17"/>
        <v>33.335788713091695</v>
      </c>
      <c r="Y126" s="283">
        <f t="shared" si="18"/>
        <v>-0.34202014332566882</v>
      </c>
      <c r="AA126" s="286">
        <v>7.8426569218979379E-85</v>
      </c>
      <c r="AB126" s="287">
        <v>0.12713817872550462</v>
      </c>
      <c r="AC126" s="287">
        <v>0.86811492442285254</v>
      </c>
      <c r="AD126" s="287">
        <f t="shared" si="9"/>
        <v>0.99525310314835713</v>
      </c>
      <c r="AE126" s="268">
        <v>5365.642721791819</v>
      </c>
      <c r="AF126" s="268">
        <v>63.569089362752308</v>
      </c>
      <c r="AG126" s="268">
        <v>434.0574622114263</v>
      </c>
    </row>
    <row r="127" spans="2:33" ht="11.1" customHeight="1" x14ac:dyDescent="0.15">
      <c r="B127" s="274">
        <v>64</v>
      </c>
      <c r="C127" s="275">
        <v>42887</v>
      </c>
      <c r="D127" s="276">
        <v>5442.01</v>
      </c>
      <c r="E127" s="277">
        <v>42887</v>
      </c>
      <c r="F127" s="274">
        <v>22</v>
      </c>
      <c r="G127" s="274">
        <v>150</v>
      </c>
      <c r="H127" s="278">
        <f t="shared" si="10"/>
        <v>172</v>
      </c>
      <c r="I127" s="291">
        <v>0.97884830913589449</v>
      </c>
      <c r="J127" s="281">
        <v>4.442609345599128</v>
      </c>
      <c r="K127" s="281">
        <f t="shared" si="8"/>
        <v>5.4214576547350228</v>
      </c>
      <c r="L127" s="267"/>
      <c r="M127" s="268">
        <v>2.7731440703036161</v>
      </c>
      <c r="N127" s="281">
        <f t="shared" si="11"/>
        <v>20.488499999999998</v>
      </c>
      <c r="O127" s="278">
        <f t="shared" si="12"/>
        <v>34.892466105455419</v>
      </c>
      <c r="P127" s="271">
        <v>16.124007389444941</v>
      </c>
      <c r="Q127" s="281">
        <f t="shared" si="13"/>
        <v>101.4223076923077</v>
      </c>
      <c r="R127" s="268">
        <f t="shared" si="14"/>
        <v>176.31947262262895</v>
      </c>
      <c r="S127" s="205"/>
      <c r="T127" s="254">
        <v>180</v>
      </c>
      <c r="U127" s="283">
        <f t="shared" si="15"/>
        <v>3.1415926535897931</v>
      </c>
      <c r="V127" s="284">
        <f t="shared" si="16"/>
        <v>-1</v>
      </c>
      <c r="W127" s="255">
        <v>1940</v>
      </c>
      <c r="X127" s="283">
        <f t="shared" si="17"/>
        <v>33.85938748868999</v>
      </c>
      <c r="Y127" s="283">
        <f t="shared" si="18"/>
        <v>-0.76604444311897546</v>
      </c>
      <c r="AA127" s="286">
        <v>5.8688419889444773E-86</v>
      </c>
      <c r="AB127" s="287">
        <v>0.12367588738389575</v>
      </c>
      <c r="AC127" s="287">
        <v>0.86647285809638153</v>
      </c>
      <c r="AD127" s="287">
        <f t="shared" si="9"/>
        <v>0.99014874548027731</v>
      </c>
      <c r="AE127" s="268">
        <v>5332.3008186488569</v>
      </c>
      <c r="AF127" s="268">
        <v>61.837943691947871</v>
      </c>
      <c r="AG127" s="268">
        <v>433.23642904819076</v>
      </c>
    </row>
    <row r="128" spans="2:33" ht="11.1" customHeight="1" x14ac:dyDescent="0.15">
      <c r="B128" s="274">
        <v>65</v>
      </c>
      <c r="C128" s="275">
        <v>42919</v>
      </c>
      <c r="D128" s="276">
        <v>5365.97</v>
      </c>
      <c r="E128" s="277">
        <v>42917</v>
      </c>
      <c r="F128" s="274">
        <v>20</v>
      </c>
      <c r="G128" s="274">
        <v>140</v>
      </c>
      <c r="H128" s="278">
        <f t="shared" si="10"/>
        <v>160</v>
      </c>
      <c r="I128" s="291">
        <v>0.95044074834934622</v>
      </c>
      <c r="J128" s="281">
        <v>4.4336463553824812</v>
      </c>
      <c r="K128" s="281">
        <f t="shared" si="8"/>
        <v>5.3840871037318276</v>
      </c>
      <c r="L128" s="267"/>
      <c r="M128" s="268">
        <v>2.5594580143096848</v>
      </c>
      <c r="N128" s="281">
        <f t="shared" si="11"/>
        <v>20.4895</v>
      </c>
      <c r="O128" s="278">
        <f t="shared" si="12"/>
        <v>33.029449599886242</v>
      </c>
      <c r="P128" s="271">
        <v>15.231674428572715</v>
      </c>
      <c r="Q128" s="281">
        <f t="shared" si="13"/>
        <v>101.43</v>
      </c>
      <c r="R128" s="268">
        <f t="shared" si="14"/>
        <v>167.17766128015941</v>
      </c>
      <c r="S128" s="205"/>
      <c r="T128" s="254">
        <v>210</v>
      </c>
      <c r="U128" s="283">
        <f t="shared" si="15"/>
        <v>3.6651914291880923</v>
      </c>
      <c r="V128" s="284">
        <f t="shared" si="16"/>
        <v>-0.8660254037844386</v>
      </c>
      <c r="W128" s="255">
        <v>1970</v>
      </c>
      <c r="X128" s="283">
        <f t="shared" si="17"/>
        <v>34.382986264288292</v>
      </c>
      <c r="Y128" s="283">
        <f t="shared" si="18"/>
        <v>-0.98480775301220791</v>
      </c>
      <c r="AA128" s="286">
        <v>3.6947145981357063E-87</v>
      </c>
      <c r="AB128" s="287">
        <v>0.12008663841048757</v>
      </c>
      <c r="AC128" s="287">
        <v>0.86472474406114674</v>
      </c>
      <c r="AD128" s="287">
        <f t="shared" si="9"/>
        <v>0.98481138247163436</v>
      </c>
      <c r="AE128" s="268">
        <v>5297.5013358460055</v>
      </c>
      <c r="AF128" s="268">
        <v>60.043319205243783</v>
      </c>
      <c r="AG128" s="268">
        <v>432.3623720305734</v>
      </c>
    </row>
    <row r="129" spans="2:33" ht="11.1" customHeight="1" x14ac:dyDescent="0.15">
      <c r="B129" s="274">
        <v>66</v>
      </c>
      <c r="C129" s="293">
        <v>42948</v>
      </c>
      <c r="D129" s="294">
        <v>5947.22</v>
      </c>
      <c r="E129" s="277">
        <v>42948</v>
      </c>
      <c r="F129" s="274">
        <v>14</v>
      </c>
      <c r="G129" s="274">
        <v>120</v>
      </c>
      <c r="H129" s="278">
        <f t="shared" si="10"/>
        <v>134</v>
      </c>
      <c r="I129" s="291">
        <v>0.92540916280121643</v>
      </c>
      <c r="J129" s="281">
        <v>4.4255392659289967</v>
      </c>
      <c r="K129" s="281">
        <f t="shared" si="8"/>
        <v>5.3509484287302129</v>
      </c>
      <c r="L129" s="267"/>
      <c r="M129" s="268">
        <v>2.3559321172065868</v>
      </c>
      <c r="N129" s="281">
        <f t="shared" ref="N129:N148" si="19">下駄1-(F129-40999)/除数11</f>
        <v>20.4925</v>
      </c>
      <c r="O129" s="278">
        <f t="shared" ref="O129:O148" si="20">(M129+N129)*(1-V129/除数12)</f>
        <v>28.560540146508234</v>
      </c>
      <c r="P129" s="271">
        <v>14.361444690561491</v>
      </c>
      <c r="Q129" s="281">
        <f t="shared" ref="Q129:Q148" si="21">下駄2-(G129-40999)/除数21</f>
        <v>101.44538461538461</v>
      </c>
      <c r="R129" s="268">
        <f t="shared" ref="R129:R148" si="22">(P129+Q129)*(1-V129/除数22)</f>
        <v>144.75853663243265</v>
      </c>
      <c r="S129" s="205"/>
      <c r="T129" s="254">
        <v>240</v>
      </c>
      <c r="U129" s="283">
        <f t="shared" ref="U129:U148" si="23">PI()/180*T129</f>
        <v>4.1887902047863905</v>
      </c>
      <c r="V129" s="284">
        <f t="shared" ref="V129:V148" si="24">COS(U129)</f>
        <v>-0.50000000000000044</v>
      </c>
      <c r="W129" s="255">
        <v>2000</v>
      </c>
      <c r="X129" s="283">
        <f t="shared" ref="X129:X148" si="25">PI()/180*W129</f>
        <v>34.906585039886593</v>
      </c>
      <c r="Y129" s="283">
        <f t="shared" ref="Y129:Y148" si="26">COS(X129)</f>
        <v>-0.93969262078590776</v>
      </c>
      <c r="AA129" s="286">
        <v>3.0143970509013087E-88</v>
      </c>
      <c r="AB129" s="287">
        <v>0.11692393840232823</v>
      </c>
      <c r="AC129" s="287">
        <v>0.86314356227739109</v>
      </c>
      <c r="AD129" s="287">
        <f t="shared" si="9"/>
        <v>0.98006750067971926</v>
      </c>
      <c r="AE129" s="268">
        <v>5266.6282100136286</v>
      </c>
      <c r="AF129" s="268">
        <v>58.461969201164116</v>
      </c>
      <c r="AG129" s="268">
        <v>431.57178113869554</v>
      </c>
    </row>
    <row r="130" spans="2:33" ht="11.1" customHeight="1" x14ac:dyDescent="0.15">
      <c r="B130" s="274">
        <v>67</v>
      </c>
      <c r="C130" s="275">
        <v>42979</v>
      </c>
      <c r="D130" s="276">
        <v>5135.9799999999996</v>
      </c>
      <c r="E130" s="277">
        <v>42979</v>
      </c>
      <c r="F130" s="274">
        <v>15</v>
      </c>
      <c r="G130" s="274">
        <v>130</v>
      </c>
      <c r="H130" s="278">
        <f t="shared" si="10"/>
        <v>145</v>
      </c>
      <c r="I130" s="291">
        <v>0.8993798355203757</v>
      </c>
      <c r="J130" s="281">
        <v>4.416889459070318</v>
      </c>
      <c r="K130" s="281">
        <f t="shared" ref="K130:K148" si="27">J130+I130</f>
        <v>5.3162692945906933</v>
      </c>
      <c r="L130" s="267"/>
      <c r="M130" s="268">
        <v>2.168590424165457</v>
      </c>
      <c r="N130" s="281">
        <f t="shared" si="19"/>
        <v>20.492000000000001</v>
      </c>
      <c r="O130" s="278">
        <f t="shared" si="20"/>
        <v>26.535779616524128</v>
      </c>
      <c r="P130" s="271">
        <v>13.540933701494803</v>
      </c>
      <c r="Q130" s="281">
        <f t="shared" si="21"/>
        <v>101.43769230769232</v>
      </c>
      <c r="R130" s="268">
        <f t="shared" si="22"/>
        <v>134.64112908271244</v>
      </c>
      <c r="S130" s="205"/>
      <c r="T130" s="254">
        <v>250</v>
      </c>
      <c r="U130" s="283">
        <f t="shared" si="23"/>
        <v>4.3633231299858242</v>
      </c>
      <c r="V130" s="284">
        <f t="shared" si="24"/>
        <v>-0.34202014332566855</v>
      </c>
      <c r="W130" s="255">
        <v>2030</v>
      </c>
      <c r="X130" s="283">
        <f t="shared" si="25"/>
        <v>35.430183815484888</v>
      </c>
      <c r="Y130" s="283">
        <f t="shared" si="26"/>
        <v>-0.64278760968654114</v>
      </c>
      <c r="AA130" s="286">
        <v>2.0689943081347197E-89</v>
      </c>
      <c r="AB130" s="287">
        <v>0.11363517535353093</v>
      </c>
      <c r="AC130" s="287">
        <v>0.86145653056071658</v>
      </c>
      <c r="AD130" s="287">
        <f t="shared" ref="AD130:AD148" si="28">AB130+AC130</f>
        <v>0.97509170591424754</v>
      </c>
      <c r="AE130" s="268">
        <v>5234.3049582670901</v>
      </c>
      <c r="AF130" s="268">
        <v>56.817587676765463</v>
      </c>
      <c r="AG130" s="268">
        <v>430.7282652803583</v>
      </c>
    </row>
    <row r="131" spans="2:33" ht="11.1" customHeight="1" x14ac:dyDescent="0.15">
      <c r="B131" s="274">
        <v>68</v>
      </c>
      <c r="C131" s="275">
        <v>43010</v>
      </c>
      <c r="D131" s="276">
        <v>5397.84</v>
      </c>
      <c r="E131" s="277">
        <v>43009</v>
      </c>
      <c r="F131" s="274">
        <v>15</v>
      </c>
      <c r="G131" s="274">
        <v>120</v>
      </c>
      <c r="H131" s="278">
        <f t="shared" si="10"/>
        <v>135</v>
      </c>
      <c r="I131" s="291">
        <v>0.8740826447969916</v>
      </c>
      <c r="J131" s="281">
        <v>4.4082565584357623</v>
      </c>
      <c r="K131" s="281">
        <f t="shared" si="27"/>
        <v>5.2823392032327536</v>
      </c>
      <c r="L131" s="267"/>
      <c r="M131" s="268">
        <v>2.0014885632241368</v>
      </c>
      <c r="N131" s="281">
        <f t="shared" si="19"/>
        <v>20.492000000000001</v>
      </c>
      <c r="O131" s="278">
        <f t="shared" si="20"/>
        <v>24.446465212412043</v>
      </c>
      <c r="P131" s="271">
        <v>12.791552907317092</v>
      </c>
      <c r="Q131" s="281">
        <f t="shared" si="21"/>
        <v>101.44538461538461</v>
      </c>
      <c r="R131" s="268">
        <f t="shared" si="22"/>
        <v>124.15545553423578</v>
      </c>
      <c r="S131" s="205"/>
      <c r="T131" s="254">
        <v>260</v>
      </c>
      <c r="U131" s="283">
        <f t="shared" si="23"/>
        <v>4.5378560551852569</v>
      </c>
      <c r="V131" s="284">
        <f t="shared" si="24"/>
        <v>-0.17364817766693033</v>
      </c>
      <c r="W131" s="255">
        <v>2060</v>
      </c>
      <c r="X131" s="283">
        <f t="shared" si="25"/>
        <v>35.95378259108319</v>
      </c>
      <c r="Y131" s="283">
        <f t="shared" si="26"/>
        <v>-0.17364817766692978</v>
      </c>
      <c r="AA131" s="286">
        <v>1.4200974107951964E-90</v>
      </c>
      <c r="AB131" s="287">
        <v>0.11043891656467322</v>
      </c>
      <c r="AC131" s="287">
        <v>0.85977279618197899</v>
      </c>
      <c r="AD131" s="287">
        <f t="shared" si="28"/>
        <v>0.97021171274665219</v>
      </c>
      <c r="AE131" s="268">
        <v>5202.6645154507196</v>
      </c>
      <c r="AF131" s="268">
        <v>55.21945828233661</v>
      </c>
      <c r="AG131" s="268">
        <v>429.88639809098947</v>
      </c>
    </row>
    <row r="132" spans="2:33" ht="11.1" customHeight="1" x14ac:dyDescent="0.15">
      <c r="B132" s="274">
        <v>69</v>
      </c>
      <c r="C132" s="275">
        <v>43055</v>
      </c>
      <c r="D132" s="276">
        <v>4808.5200000000004</v>
      </c>
      <c r="E132" s="277">
        <v>43040</v>
      </c>
      <c r="F132" s="274">
        <v>14</v>
      </c>
      <c r="G132" s="274">
        <v>120</v>
      </c>
      <c r="H132" s="278">
        <f t="shared" si="10"/>
        <v>134</v>
      </c>
      <c r="I132" s="291">
        <v>0.83862165239206243</v>
      </c>
      <c r="J132" s="281">
        <v>4.3957549437238512</v>
      </c>
      <c r="K132" s="281">
        <f t="shared" si="27"/>
        <v>5.2343765961159132</v>
      </c>
      <c r="L132" s="267"/>
      <c r="M132" s="268">
        <v>1.8423319163503449</v>
      </c>
      <c r="N132" s="281">
        <f t="shared" si="19"/>
        <v>20.4925</v>
      </c>
      <c r="O132" s="278">
        <f t="shared" si="20"/>
        <v>20.395630485964634</v>
      </c>
      <c r="P132" s="271">
        <v>12.060734389137</v>
      </c>
      <c r="Q132" s="281">
        <f t="shared" si="21"/>
        <v>101.44538461538461</v>
      </c>
      <c r="R132" s="268">
        <f t="shared" si="22"/>
        <v>103.65105364493117</v>
      </c>
      <c r="S132" s="205"/>
      <c r="T132" s="254">
        <v>280</v>
      </c>
      <c r="U132" s="283">
        <f t="shared" si="23"/>
        <v>4.8869219055841224</v>
      </c>
      <c r="V132" s="284">
        <f t="shared" si="24"/>
        <v>0.17364817766692997</v>
      </c>
      <c r="W132" s="255">
        <v>2090</v>
      </c>
      <c r="X132" s="283">
        <f t="shared" si="25"/>
        <v>36.477381366681485</v>
      </c>
      <c r="Y132" s="283">
        <f t="shared" si="26"/>
        <v>0.34202014332566538</v>
      </c>
      <c r="AA132" s="286">
        <v>2.9070462088340882E-92</v>
      </c>
      <c r="AB132" s="287">
        <v>0.10595847801024098</v>
      </c>
      <c r="AC132" s="287">
        <v>0.85733451971254782</v>
      </c>
      <c r="AD132" s="287">
        <f t="shared" si="28"/>
        <v>0.96329299772278876</v>
      </c>
      <c r="AE132" s="268">
        <v>5157.911537164513</v>
      </c>
      <c r="AF132" s="268">
        <v>52.97923900512049</v>
      </c>
      <c r="AG132" s="268">
        <v>428.66725985627392</v>
      </c>
    </row>
    <row r="133" spans="2:33" ht="11.1" customHeight="1" x14ac:dyDescent="0.15">
      <c r="B133" s="274">
        <v>70</v>
      </c>
      <c r="C133" s="275">
        <v>43070</v>
      </c>
      <c r="D133" s="276">
        <v>4770.28</v>
      </c>
      <c r="E133" s="277">
        <v>43070</v>
      </c>
      <c r="F133" s="274">
        <v>13</v>
      </c>
      <c r="G133" s="274">
        <v>120</v>
      </c>
      <c r="H133" s="278">
        <f t="shared" ref="H133:H148" si="29">G133+F133</f>
        <v>133</v>
      </c>
      <c r="I133" s="291">
        <v>0.82712394925620403</v>
      </c>
      <c r="J133" s="281">
        <v>4.3915956224597927</v>
      </c>
      <c r="K133" s="281">
        <f t="shared" si="27"/>
        <v>5.2187195717159964</v>
      </c>
      <c r="L133" s="267"/>
      <c r="M133" s="268">
        <v>1.7003700741033461</v>
      </c>
      <c r="N133" s="281">
        <f t="shared" si="19"/>
        <v>20.492999999999999</v>
      </c>
      <c r="O133" s="278">
        <f t="shared" si="20"/>
        <v>15.060558423692514</v>
      </c>
      <c r="P133" s="271">
        <v>11.393270614914396</v>
      </c>
      <c r="Q133" s="281">
        <f t="shared" si="21"/>
        <v>101.44538461538461</v>
      </c>
      <c r="R133" s="268">
        <f t="shared" si="22"/>
        <v>76.573010492435301</v>
      </c>
      <c r="S133" s="205"/>
      <c r="T133" s="254">
        <v>310</v>
      </c>
      <c r="U133" s="283">
        <f t="shared" si="23"/>
        <v>5.4105206811824216</v>
      </c>
      <c r="V133" s="284">
        <f t="shared" si="24"/>
        <v>0.64278760968653925</v>
      </c>
      <c r="W133" s="255">
        <v>2120</v>
      </c>
      <c r="X133" s="283">
        <f t="shared" si="25"/>
        <v>37.000980142279786</v>
      </c>
      <c r="Y133" s="283">
        <f t="shared" si="26"/>
        <v>0.76604444311897757</v>
      </c>
      <c r="AA133" s="286">
        <v>7.9523692071227076E-93</v>
      </c>
      <c r="AB133" s="287">
        <v>0.10450576197147178</v>
      </c>
      <c r="AC133" s="287">
        <v>0.85652329849027675</v>
      </c>
      <c r="AD133" s="287">
        <f t="shared" si="28"/>
        <v>0.96102906046174852</v>
      </c>
      <c r="AE133" s="268">
        <v>5143.2952019778968</v>
      </c>
      <c r="AF133" s="268">
        <v>52.252880985735892</v>
      </c>
      <c r="AG133" s="268">
        <v>428.26164924513836</v>
      </c>
    </row>
    <row r="134" spans="2:33" ht="11.1" customHeight="1" x14ac:dyDescent="0.15">
      <c r="B134" s="274">
        <v>71</v>
      </c>
      <c r="C134" s="275">
        <v>43105</v>
      </c>
      <c r="D134" s="276">
        <v>4593.75</v>
      </c>
      <c r="E134" s="277">
        <v>43101</v>
      </c>
      <c r="F134" s="274">
        <v>11</v>
      </c>
      <c r="G134" s="274">
        <v>81</v>
      </c>
      <c r="H134" s="278">
        <f t="shared" si="29"/>
        <v>92</v>
      </c>
      <c r="I134" s="291">
        <v>0.80090527397176614</v>
      </c>
      <c r="J134" s="281">
        <v>4.3819058382034246</v>
      </c>
      <c r="K134" s="281">
        <f t="shared" si="27"/>
        <v>5.182811112175191</v>
      </c>
      <c r="L134" s="267"/>
      <c r="M134" s="268">
        <v>1.5651581101624239</v>
      </c>
      <c r="N134" s="281">
        <f t="shared" si="19"/>
        <v>20.494</v>
      </c>
      <c r="O134" s="278">
        <f t="shared" si="20"/>
        <v>13.610010365075995</v>
      </c>
      <c r="P134" s="271">
        <v>10.742340019673399</v>
      </c>
      <c r="Q134" s="281">
        <f t="shared" si="21"/>
        <v>101.47538461538461</v>
      </c>
      <c r="R134" s="268">
        <f t="shared" si="22"/>
        <v>69.235842446987093</v>
      </c>
      <c r="S134" s="205"/>
      <c r="T134" s="254">
        <v>320</v>
      </c>
      <c r="U134" s="283">
        <f t="shared" si="23"/>
        <v>5.5850536063818543</v>
      </c>
      <c r="V134" s="284">
        <f t="shared" si="24"/>
        <v>0.76604444311897779</v>
      </c>
      <c r="W134" s="255">
        <v>2150</v>
      </c>
      <c r="X134" s="283">
        <f t="shared" si="25"/>
        <v>37.524578917878088</v>
      </c>
      <c r="Y134" s="283">
        <f t="shared" si="26"/>
        <v>0.98480775301220846</v>
      </c>
      <c r="AA134" s="286">
        <v>3.8630820693697976E-94</v>
      </c>
      <c r="AB134" s="287">
        <v>0.10119307511124155</v>
      </c>
      <c r="AC134" s="287">
        <v>0.85463343278167692</v>
      </c>
      <c r="AD134" s="287">
        <f t="shared" si="28"/>
        <v>0.95582650789291845</v>
      </c>
      <c r="AE134" s="268">
        <v>5109.7598959631932</v>
      </c>
      <c r="AF134" s="268">
        <v>50.596537555620777</v>
      </c>
      <c r="AG134" s="268">
        <v>427.31671639083845</v>
      </c>
    </row>
    <row r="135" spans="2:33" ht="11.1" customHeight="1" x14ac:dyDescent="0.15">
      <c r="B135" s="274">
        <v>72</v>
      </c>
      <c r="C135" s="275">
        <v>43132</v>
      </c>
      <c r="D135" s="276">
        <v>3827.41</v>
      </c>
      <c r="E135" s="277">
        <v>43132</v>
      </c>
      <c r="F135" s="290">
        <v>5.5</v>
      </c>
      <c r="G135" s="274">
        <v>48</v>
      </c>
      <c r="H135" s="278">
        <f t="shared" si="29"/>
        <v>53.5</v>
      </c>
      <c r="I135" s="291">
        <v>0.78124868242318757</v>
      </c>
      <c r="J135" s="281">
        <v>4.3744454723852337</v>
      </c>
      <c r="K135" s="281">
        <f t="shared" si="27"/>
        <v>5.1556941548084216</v>
      </c>
      <c r="L135" s="267"/>
      <c r="M135" s="268">
        <v>1.4406980851500915</v>
      </c>
      <c r="N135" s="281">
        <f t="shared" si="19"/>
        <v>20.496749999999999</v>
      </c>
      <c r="O135" s="278">
        <f t="shared" si="20"/>
        <v>12.43825441717896</v>
      </c>
      <c r="P135" s="271">
        <v>10.128598977295837</v>
      </c>
      <c r="Q135" s="281">
        <f t="shared" si="21"/>
        <v>101.50076923076924</v>
      </c>
      <c r="R135" s="268">
        <f t="shared" si="22"/>
        <v>63.292433869769425</v>
      </c>
      <c r="S135" s="205"/>
      <c r="T135" s="254">
        <v>330</v>
      </c>
      <c r="U135" s="283">
        <f t="shared" si="23"/>
        <v>5.7595865315812871</v>
      </c>
      <c r="V135" s="284">
        <f t="shared" si="24"/>
        <v>0.86602540378443837</v>
      </c>
      <c r="W135" s="255">
        <v>2180</v>
      </c>
      <c r="X135" s="283">
        <f t="shared" si="25"/>
        <v>38.048177693476383</v>
      </c>
      <c r="Y135" s="283">
        <f t="shared" si="26"/>
        <v>0.93969262078590898</v>
      </c>
      <c r="AA135" s="286">
        <v>3.7464006001947959E-95</v>
      </c>
      <c r="AB135" s="287">
        <v>9.8709496828453924E-2</v>
      </c>
      <c r="AC135" s="287">
        <v>0.85317838598596074</v>
      </c>
      <c r="AD135" s="287">
        <f t="shared" si="28"/>
        <v>0.95188788281441461</v>
      </c>
      <c r="AE135" s="268">
        <v>5084.4221593328539</v>
      </c>
      <c r="AF135" s="268">
        <v>49.354748414226961</v>
      </c>
      <c r="AG135" s="268">
        <v>426.58919299298037</v>
      </c>
    </row>
    <row r="136" spans="2:33" ht="11.1" customHeight="1" x14ac:dyDescent="0.15">
      <c r="B136" s="274">
        <v>73</v>
      </c>
      <c r="C136" s="275">
        <v>43160</v>
      </c>
      <c r="D136" s="276">
        <v>4817.8999999999996</v>
      </c>
      <c r="E136" s="277">
        <v>43160</v>
      </c>
      <c r="F136" s="281">
        <v>5.383998161135243</v>
      </c>
      <c r="G136" s="274">
        <v>51</v>
      </c>
      <c r="H136" s="278">
        <f t="shared" si="29"/>
        <v>56.383998161135246</v>
      </c>
      <c r="I136" s="291">
        <v>0.76137347733225669</v>
      </c>
      <c r="J136" s="281">
        <v>4.3667222123580673</v>
      </c>
      <c r="K136" s="281">
        <f t="shared" si="27"/>
        <v>5.1280956896903245</v>
      </c>
      <c r="L136" s="267"/>
      <c r="M136" s="268">
        <v>1.3368115347692384</v>
      </c>
      <c r="N136" s="281">
        <f t="shared" si="19"/>
        <v>20.49680800091943</v>
      </c>
      <c r="O136" s="278">
        <f t="shared" si="20"/>
        <v>11.575173954321821</v>
      </c>
      <c r="P136" s="271">
        <v>9.6044476155889402</v>
      </c>
      <c r="Q136" s="281">
        <f t="shared" si="21"/>
        <v>101.49846153846154</v>
      </c>
      <c r="R136" s="268">
        <f t="shared" si="22"/>
        <v>58.901617214096284</v>
      </c>
      <c r="S136" s="205"/>
      <c r="T136" s="254">
        <v>340</v>
      </c>
      <c r="U136" s="283">
        <f t="shared" si="23"/>
        <v>5.9341194567807207</v>
      </c>
      <c r="V136" s="284">
        <f t="shared" si="24"/>
        <v>0.93969262078590843</v>
      </c>
      <c r="W136" s="255">
        <v>2210</v>
      </c>
      <c r="X136" s="283">
        <f t="shared" si="25"/>
        <v>38.571776469074685</v>
      </c>
      <c r="Y136" s="283">
        <f t="shared" si="26"/>
        <v>0.64278760968653847</v>
      </c>
      <c r="AA136" s="286">
        <v>3.332453775810774E-96</v>
      </c>
      <c r="AB136" s="287">
        <v>9.6198297081142983E-2</v>
      </c>
      <c r="AC136" s="287">
        <v>0.8516720651125782</v>
      </c>
      <c r="AD136" s="287">
        <f t="shared" si="28"/>
        <v>0.94787036219372123</v>
      </c>
      <c r="AE136" s="268">
        <v>5058.6227273841232</v>
      </c>
      <c r="AF136" s="268">
        <v>48.099148540571491</v>
      </c>
      <c r="AG136" s="268">
        <v>425.83603255628913</v>
      </c>
    </row>
    <row r="137" spans="2:33" ht="11.1" customHeight="1" x14ac:dyDescent="0.15">
      <c r="B137" s="274">
        <v>74</v>
      </c>
      <c r="C137" s="293">
        <v>43192</v>
      </c>
      <c r="D137" s="294">
        <v>4824.92</v>
      </c>
      <c r="E137" s="277">
        <v>43191</v>
      </c>
      <c r="F137" s="295">
        <v>11</v>
      </c>
      <c r="G137" s="295">
        <v>100</v>
      </c>
      <c r="H137" s="278">
        <f t="shared" si="29"/>
        <v>111</v>
      </c>
      <c r="I137" s="291">
        <v>0.73927734339943607</v>
      </c>
      <c r="J137" s="281">
        <v>4.3579123248744986</v>
      </c>
      <c r="K137" s="281">
        <f t="shared" si="27"/>
        <v>5.097189668273935</v>
      </c>
      <c r="L137" s="267"/>
      <c r="M137" s="268">
        <v>1.2305094327810326</v>
      </c>
      <c r="N137" s="281">
        <f t="shared" si="19"/>
        <v>20.494</v>
      </c>
      <c r="O137" s="278">
        <f t="shared" si="20"/>
        <v>19.838298695925801</v>
      </c>
      <c r="P137" s="271">
        <v>9.05571766659674</v>
      </c>
      <c r="Q137" s="281">
        <f t="shared" si="21"/>
        <v>101.46076923076923</v>
      </c>
      <c r="R137" s="268">
        <f t="shared" si="22"/>
        <v>100.92099362142656</v>
      </c>
      <c r="S137" s="205"/>
      <c r="T137" s="282">
        <v>80</v>
      </c>
      <c r="U137" s="283">
        <f t="shared" si="23"/>
        <v>1.3962634015954636</v>
      </c>
      <c r="V137" s="284">
        <f t="shared" si="24"/>
        <v>0.17364817766693041</v>
      </c>
      <c r="W137" s="285">
        <v>2240</v>
      </c>
      <c r="X137" s="283">
        <f t="shared" si="25"/>
        <v>39.095375244672979</v>
      </c>
      <c r="Y137" s="283">
        <f t="shared" si="26"/>
        <v>0.17364817766693341</v>
      </c>
      <c r="AA137" s="286">
        <v>2.0979378276488482E-97</v>
      </c>
      <c r="AB137" s="287">
        <v>9.3406486596934887E-2</v>
      </c>
      <c r="AC137" s="287">
        <v>0.84995381176334839</v>
      </c>
      <c r="AD137" s="287">
        <f t="shared" si="28"/>
        <v>0.94336029836028323</v>
      </c>
      <c r="AE137" s="268">
        <v>5029.7168002964927</v>
      </c>
      <c r="AF137" s="268">
        <v>46.703243298467441</v>
      </c>
      <c r="AG137" s="268">
        <v>424.97690588167421</v>
      </c>
    </row>
    <row r="138" spans="2:33" ht="11.1" customHeight="1" x14ac:dyDescent="0.15">
      <c r="B138" s="274">
        <v>75</v>
      </c>
      <c r="C138" s="293">
        <v>43221</v>
      </c>
      <c r="D138" s="294">
        <v>5632.88</v>
      </c>
      <c r="E138" s="277">
        <v>43221</v>
      </c>
      <c r="F138" s="295">
        <v>14</v>
      </c>
      <c r="G138" s="295">
        <v>130</v>
      </c>
      <c r="H138" s="278">
        <f t="shared" si="29"/>
        <v>144</v>
      </c>
      <c r="I138" s="291">
        <v>0.7198071301354998</v>
      </c>
      <c r="J138" s="281">
        <v>4.3499437179500173</v>
      </c>
      <c r="K138" s="281">
        <f t="shared" si="27"/>
        <v>5.0697508480855173</v>
      </c>
      <c r="L138" s="267"/>
      <c r="M138" s="268">
        <v>1.1356918896284625</v>
      </c>
      <c r="N138" s="281">
        <f t="shared" si="19"/>
        <v>20.4925</v>
      </c>
      <c r="O138" s="278">
        <f t="shared" si="20"/>
        <v>29.912269995508876</v>
      </c>
      <c r="P138" s="271">
        <v>8.5545571819180317</v>
      </c>
      <c r="Q138" s="281">
        <f t="shared" si="21"/>
        <v>101.43769230769232</v>
      </c>
      <c r="R138" s="268">
        <f t="shared" si="22"/>
        <v>152.12172524344646</v>
      </c>
      <c r="S138" s="205"/>
      <c r="T138" s="282">
        <v>140</v>
      </c>
      <c r="U138" s="283">
        <f t="shared" si="23"/>
        <v>2.4434609527920612</v>
      </c>
      <c r="V138" s="284">
        <f t="shared" si="24"/>
        <v>-0.7660444431189779</v>
      </c>
      <c r="W138" s="285">
        <v>2270</v>
      </c>
      <c r="X138" s="283">
        <f t="shared" si="25"/>
        <v>39.618974020271281</v>
      </c>
      <c r="Y138" s="283">
        <f t="shared" si="26"/>
        <v>-0.3420201433256686</v>
      </c>
      <c r="AA138" s="286">
        <v>1.7116390001626979E-98</v>
      </c>
      <c r="AB138" s="287">
        <v>9.094645690643384E-2</v>
      </c>
      <c r="AC138" s="287">
        <v>0.84839963918597749</v>
      </c>
      <c r="AD138" s="287">
        <f t="shared" si="28"/>
        <v>0.93934609609241138</v>
      </c>
      <c r="AE138" s="268">
        <v>5004.040409868634</v>
      </c>
      <c r="AF138" s="268">
        <v>45.473228453216919</v>
      </c>
      <c r="AG138" s="268">
        <v>424.19981959298877</v>
      </c>
    </row>
    <row r="139" spans="2:33" ht="11.1" customHeight="1" x14ac:dyDescent="0.15">
      <c r="B139" s="274">
        <v>76</v>
      </c>
      <c r="C139" s="293">
        <v>43252</v>
      </c>
      <c r="D139" s="294">
        <v>5064.37</v>
      </c>
      <c r="E139" s="277">
        <v>43252</v>
      </c>
      <c r="F139" s="295">
        <v>16</v>
      </c>
      <c r="G139" s="295">
        <v>170</v>
      </c>
      <c r="H139" s="278">
        <f t="shared" si="29"/>
        <v>186</v>
      </c>
      <c r="I139" s="291">
        <v>0.69956084760176518</v>
      </c>
      <c r="J139" s="281">
        <v>4.3414416641334208</v>
      </c>
      <c r="K139" s="281">
        <f t="shared" si="27"/>
        <v>5.0410025117351864</v>
      </c>
      <c r="L139" s="267"/>
      <c r="M139" s="268">
        <v>1.0453826486184323</v>
      </c>
      <c r="N139" s="281">
        <f t="shared" si="19"/>
        <v>20.491499999999998</v>
      </c>
      <c r="O139" s="278">
        <f t="shared" si="20"/>
        <v>32.305323972927646</v>
      </c>
      <c r="P139" s="271">
        <v>8.0658105185007951</v>
      </c>
      <c r="Q139" s="281">
        <f t="shared" si="21"/>
        <v>101.40692307692308</v>
      </c>
      <c r="R139" s="268">
        <f t="shared" si="22"/>
        <v>164.20910039313583</v>
      </c>
      <c r="S139" s="205"/>
      <c r="T139" s="282">
        <v>180</v>
      </c>
      <c r="U139" s="283">
        <f t="shared" si="23"/>
        <v>3.1415926535897931</v>
      </c>
      <c r="V139" s="284">
        <f t="shared" si="24"/>
        <v>-1</v>
      </c>
      <c r="W139" s="285">
        <v>2300</v>
      </c>
      <c r="X139" s="283">
        <f t="shared" si="25"/>
        <v>40.142572795869583</v>
      </c>
      <c r="Y139" s="283">
        <f t="shared" si="26"/>
        <v>-0.76604444311897979</v>
      </c>
      <c r="AA139" s="286">
        <v>1.1748191393230527E-99</v>
      </c>
      <c r="AB139" s="287">
        <v>8.8388372129442075E-2</v>
      </c>
      <c r="AC139" s="287">
        <v>0.84674142476803582</v>
      </c>
      <c r="AD139" s="287">
        <f t="shared" si="28"/>
        <v>0.93512979689747788</v>
      </c>
      <c r="AE139" s="268">
        <v>4977.1247819976452</v>
      </c>
      <c r="AF139" s="268">
        <v>44.194186064721038</v>
      </c>
      <c r="AG139" s="268">
        <v>423.37071238401791</v>
      </c>
    </row>
    <row r="140" spans="2:33" ht="11.1" customHeight="1" x14ac:dyDescent="0.15">
      <c r="B140" s="274">
        <v>77</v>
      </c>
      <c r="C140" s="293">
        <v>43283</v>
      </c>
      <c r="D140" s="294">
        <v>5485.96</v>
      </c>
      <c r="E140" s="277">
        <v>43282</v>
      </c>
      <c r="F140" s="295">
        <v>12</v>
      </c>
      <c r="G140" s="295">
        <v>130</v>
      </c>
      <c r="H140" s="278">
        <f t="shared" si="29"/>
        <v>142</v>
      </c>
      <c r="I140" s="291">
        <v>0.6798840397776782</v>
      </c>
      <c r="J140" s="281">
        <v>4.3329562277546092</v>
      </c>
      <c r="K140" s="281">
        <f t="shared" si="27"/>
        <v>5.0128402675322876</v>
      </c>
      <c r="L140" s="267"/>
      <c r="M140" s="268">
        <v>0.96483014592667526</v>
      </c>
      <c r="N140" s="281">
        <f t="shared" si="19"/>
        <v>20.493500000000001</v>
      </c>
      <c r="O140" s="278">
        <f t="shared" si="20"/>
        <v>30.750059660509645</v>
      </c>
      <c r="P140" s="271">
        <v>7.6194333612613532</v>
      </c>
      <c r="Q140" s="281">
        <f t="shared" si="21"/>
        <v>101.43769230769232</v>
      </c>
      <c r="R140" s="268">
        <f t="shared" si="22"/>
        <v>156.2802463154666</v>
      </c>
      <c r="S140" s="205"/>
      <c r="T140" s="282">
        <v>210</v>
      </c>
      <c r="U140" s="283">
        <f t="shared" si="23"/>
        <v>3.6651914291880923</v>
      </c>
      <c r="V140" s="284">
        <f t="shared" si="24"/>
        <v>-0.8660254037844386</v>
      </c>
      <c r="W140" s="285">
        <v>2330</v>
      </c>
      <c r="X140" s="283">
        <f t="shared" si="25"/>
        <v>40.666171571467878</v>
      </c>
      <c r="Y140" s="283">
        <f t="shared" si="26"/>
        <v>-0.9848077530122078</v>
      </c>
      <c r="AA140" s="286">
        <v>8.063616276496639E-101</v>
      </c>
      <c r="AB140" s="287">
        <v>8.5902239553216173E-2</v>
      </c>
      <c r="AC140" s="287">
        <v>0.84508645136403238</v>
      </c>
      <c r="AD140" s="287">
        <f t="shared" si="28"/>
        <v>0.93098869091724856</v>
      </c>
      <c r="AE140" s="268">
        <v>4950.7437274013864</v>
      </c>
      <c r="AF140" s="268">
        <v>42.951119776608088</v>
      </c>
      <c r="AG140" s="268">
        <v>422.54322568201621</v>
      </c>
    </row>
    <row r="141" spans="2:33" ht="11.1" customHeight="1" x14ac:dyDescent="0.15">
      <c r="B141" s="274">
        <v>78</v>
      </c>
      <c r="C141" s="293">
        <v>43313</v>
      </c>
      <c r="D141" s="294">
        <v>5456.73</v>
      </c>
      <c r="E141" s="277">
        <v>43313</v>
      </c>
      <c r="F141" s="295">
        <v>10</v>
      </c>
      <c r="G141" s="295">
        <v>120</v>
      </c>
      <c r="H141" s="278">
        <f t="shared" si="29"/>
        <v>130</v>
      </c>
      <c r="I141" s="291">
        <v>0.66136909290792134</v>
      </c>
      <c r="J141" s="281">
        <v>4.3247603065516662</v>
      </c>
      <c r="K141" s="281">
        <f t="shared" si="27"/>
        <v>4.9861293994595872</v>
      </c>
      <c r="L141" s="267"/>
      <c r="M141" s="268">
        <v>0.88810768363037507</v>
      </c>
      <c r="N141" s="281">
        <f t="shared" si="19"/>
        <v>20.494499999999999</v>
      </c>
      <c r="O141" s="278">
        <f t="shared" si="20"/>
        <v>26.728259604537971</v>
      </c>
      <c r="P141" s="271">
        <v>7.1841130339488126</v>
      </c>
      <c r="Q141" s="281">
        <f t="shared" si="21"/>
        <v>101.44538461538461</v>
      </c>
      <c r="R141" s="268">
        <f t="shared" si="22"/>
        <v>135.7868720616668</v>
      </c>
      <c r="S141" s="205"/>
      <c r="T141" s="282">
        <v>240</v>
      </c>
      <c r="U141" s="283">
        <f t="shared" si="23"/>
        <v>4.1887902047863905</v>
      </c>
      <c r="V141" s="284">
        <f t="shared" si="24"/>
        <v>-0.50000000000000044</v>
      </c>
      <c r="W141" s="285">
        <v>2360</v>
      </c>
      <c r="X141" s="283">
        <f t="shared" si="25"/>
        <v>41.18977034706618</v>
      </c>
      <c r="Y141" s="283">
        <f t="shared" si="26"/>
        <v>-0.93969262078590787</v>
      </c>
      <c r="AA141" s="286">
        <v>6.0341909964337749E-102</v>
      </c>
      <c r="AB141" s="287">
        <v>8.3562906213605848E-2</v>
      </c>
      <c r="AC141" s="287">
        <v>0.84348794410917283</v>
      </c>
      <c r="AD141" s="287">
        <f t="shared" si="28"/>
        <v>0.92705085032277867</v>
      </c>
      <c r="AE141" s="268">
        <v>4925.7089035240379</v>
      </c>
      <c r="AF141" s="268">
        <v>41.781453106802921</v>
      </c>
      <c r="AG141" s="268">
        <v>421.74397205458644</v>
      </c>
    </row>
    <row r="142" spans="2:33" ht="11.1" customHeight="1" x14ac:dyDescent="0.15">
      <c r="B142" s="274">
        <v>79</v>
      </c>
      <c r="C142" s="296">
        <v>43346</v>
      </c>
      <c r="D142" s="297">
        <v>4753.95</v>
      </c>
      <c r="E142" s="277">
        <v>43344</v>
      </c>
      <c r="F142" s="274">
        <v>10</v>
      </c>
      <c r="G142" s="274">
        <v>110</v>
      </c>
      <c r="H142" s="278">
        <f t="shared" si="29"/>
        <v>120</v>
      </c>
      <c r="I142" s="291">
        <v>0.64158448016529346</v>
      </c>
      <c r="J142" s="281">
        <v>4.3157626978784345</v>
      </c>
      <c r="K142" s="281">
        <f t="shared" si="27"/>
        <v>4.9573471780437277</v>
      </c>
      <c r="L142" s="267"/>
      <c r="M142" s="268">
        <v>0.8174861254628043</v>
      </c>
      <c r="N142" s="281">
        <f t="shared" si="19"/>
        <v>20.494499999999999</v>
      </c>
      <c r="O142" s="278">
        <f t="shared" si="20"/>
        <v>24.956550400055523</v>
      </c>
      <c r="P142" s="271">
        <v>6.773663819537517</v>
      </c>
      <c r="Q142" s="281">
        <f t="shared" si="21"/>
        <v>101.45307692307692</v>
      </c>
      <c r="R142" s="268">
        <f t="shared" si="22"/>
        <v>126.73460343284391</v>
      </c>
      <c r="S142" s="205"/>
      <c r="T142" s="282">
        <v>250</v>
      </c>
      <c r="U142" s="283">
        <f t="shared" si="23"/>
        <v>4.3633231299858242</v>
      </c>
      <c r="V142" s="284">
        <f t="shared" si="24"/>
        <v>-0.34202014332566855</v>
      </c>
      <c r="W142" s="285">
        <v>2390</v>
      </c>
      <c r="X142" s="283">
        <f t="shared" si="25"/>
        <v>41.713369122664474</v>
      </c>
      <c r="Y142" s="283">
        <f t="shared" si="26"/>
        <v>-0.64278760968654136</v>
      </c>
      <c r="AA142" s="286">
        <v>3.4843130873583749E-103</v>
      </c>
      <c r="AB142" s="287">
        <v>8.1063152661749266E-2</v>
      </c>
      <c r="AC142" s="287">
        <v>0.84173307819667664</v>
      </c>
      <c r="AD142" s="287">
        <f t="shared" si="28"/>
        <v>0.92279623085842588</v>
      </c>
      <c r="AE142" s="268">
        <v>4898.7176940805648</v>
      </c>
      <c r="AF142" s="268">
        <v>40.531576330874636</v>
      </c>
      <c r="AG142" s="268">
        <v>420.86653909833831</v>
      </c>
    </row>
    <row r="143" spans="2:33" ht="11.1" customHeight="1" x14ac:dyDescent="0.15">
      <c r="B143" s="298">
        <v>80</v>
      </c>
      <c r="C143" s="299">
        <v>43374</v>
      </c>
      <c r="D143" s="300">
        <v>5340.29</v>
      </c>
      <c r="E143" s="277">
        <v>43374</v>
      </c>
      <c r="F143" s="298">
        <v>10</v>
      </c>
      <c r="G143" s="298">
        <v>100</v>
      </c>
      <c r="H143" s="278">
        <f t="shared" si="29"/>
        <v>110</v>
      </c>
      <c r="I143" s="291">
        <v>0.62526237503624293</v>
      </c>
      <c r="J143" s="295">
        <v>10</v>
      </c>
      <c r="K143" s="281">
        <f t="shared" si="27"/>
        <v>10.625262375036243</v>
      </c>
      <c r="L143" s="267"/>
      <c r="M143" s="268">
        <v>0.75449430767355352</v>
      </c>
      <c r="N143" s="281">
        <f t="shared" si="19"/>
        <v>20.494499999999999</v>
      </c>
      <c r="O143" s="278">
        <f t="shared" si="20"/>
        <v>23.093918877064798</v>
      </c>
      <c r="P143" s="271">
        <v>6.39879649616989</v>
      </c>
      <c r="Q143" s="281">
        <f t="shared" si="21"/>
        <v>101.46076923076923</v>
      </c>
      <c r="R143" s="268">
        <f t="shared" si="22"/>
        <v>117.22437424315387</v>
      </c>
      <c r="S143" s="205"/>
      <c r="T143" s="282">
        <v>260</v>
      </c>
      <c r="U143" s="283">
        <f t="shared" si="23"/>
        <v>4.5378560551852569</v>
      </c>
      <c r="V143" s="284">
        <f t="shared" si="24"/>
        <v>-0.17364817766693033</v>
      </c>
      <c r="W143" s="285">
        <v>2420</v>
      </c>
      <c r="X143" s="283">
        <f t="shared" si="25"/>
        <v>42.236967898262776</v>
      </c>
      <c r="Y143" s="283">
        <f t="shared" si="26"/>
        <v>-0.17364817766693003</v>
      </c>
      <c r="AA143" s="286">
        <v>3.0993248035117328E-104</v>
      </c>
      <c r="AB143" s="287">
        <v>7.9000881299610817E-2</v>
      </c>
      <c r="AC143" s="287">
        <v>0.84024696447611047</v>
      </c>
      <c r="AD143" s="287">
        <f t="shared" si="28"/>
        <v>0.91924784577572127</v>
      </c>
      <c r="AE143" s="268">
        <v>4876.2535293425644</v>
      </c>
      <c r="AF143" s="268">
        <v>39.500440649805405</v>
      </c>
      <c r="AG143" s="268">
        <v>420.12348223805526</v>
      </c>
    </row>
    <row r="144" spans="2:33" ht="11.1" customHeight="1" x14ac:dyDescent="0.15">
      <c r="B144" s="298">
        <v>81</v>
      </c>
      <c r="C144" s="299">
        <v>43405</v>
      </c>
      <c r="D144" s="300">
        <v>4995.25</v>
      </c>
      <c r="E144" s="277">
        <v>43405</v>
      </c>
      <c r="F144" s="281">
        <v>4.2971331004994537</v>
      </c>
      <c r="G144" s="298">
        <v>80</v>
      </c>
      <c r="H144" s="278">
        <f t="shared" si="29"/>
        <v>84.297133100499451</v>
      </c>
      <c r="I144" s="291">
        <v>0.60767538794941778</v>
      </c>
      <c r="J144" s="281">
        <v>4.2997226911108672</v>
      </c>
      <c r="K144" s="281">
        <f t="shared" si="27"/>
        <v>4.9073980790602851</v>
      </c>
      <c r="L144" s="267"/>
      <c r="M144" s="268">
        <v>0.69449757009477442</v>
      </c>
      <c r="N144" s="281">
        <f t="shared" si="19"/>
        <v>20.497351433449747</v>
      </c>
      <c r="O144" s="278">
        <f t="shared" si="20"/>
        <v>19.351886023115394</v>
      </c>
      <c r="P144" s="271">
        <v>6.0332146932918436</v>
      </c>
      <c r="Q144" s="281">
        <f t="shared" si="21"/>
        <v>101.47615384615385</v>
      </c>
      <c r="R144" s="268">
        <f t="shared" si="22"/>
        <v>98.174965574947123</v>
      </c>
      <c r="S144" s="205"/>
      <c r="T144" s="282">
        <v>280</v>
      </c>
      <c r="U144" s="283">
        <f t="shared" si="23"/>
        <v>4.8869219055841224</v>
      </c>
      <c r="V144" s="284">
        <f t="shared" si="24"/>
        <v>0.17364817766692997</v>
      </c>
      <c r="W144" s="285">
        <v>2450</v>
      </c>
      <c r="X144" s="283">
        <f t="shared" si="25"/>
        <v>42.760566673861071</v>
      </c>
      <c r="Y144" s="283">
        <f t="shared" si="26"/>
        <v>0.3420201433256651</v>
      </c>
      <c r="AA144" s="286">
        <v>2.1272862430676903E-105</v>
      </c>
      <c r="AB144" s="287">
        <v>7.6778794165096267E-2</v>
      </c>
      <c r="AC144" s="287">
        <v>0.8386046846273556</v>
      </c>
      <c r="AD144" s="287">
        <f t="shared" si="28"/>
        <v>0.91538347879245185</v>
      </c>
      <c r="AE144" s="268">
        <v>4851.8383171931719</v>
      </c>
      <c r="AF144" s="268">
        <v>38.389397082548136</v>
      </c>
      <c r="AG144" s="268">
        <v>419.3023423136778</v>
      </c>
    </row>
    <row r="145" spans="2:33" ht="11.1" customHeight="1" x14ac:dyDescent="0.15">
      <c r="B145" s="298">
        <v>82</v>
      </c>
      <c r="C145" s="299">
        <v>43437</v>
      </c>
      <c r="D145" s="300">
        <v>4635.78</v>
      </c>
      <c r="E145" s="277">
        <v>43435</v>
      </c>
      <c r="F145" s="298">
        <v>20</v>
      </c>
      <c r="G145" s="298">
        <v>180</v>
      </c>
      <c r="H145" s="278">
        <f t="shared" si="29"/>
        <v>200</v>
      </c>
      <c r="I145" s="291">
        <v>0.59003978970549642</v>
      </c>
      <c r="J145" s="295">
        <v>10</v>
      </c>
      <c r="K145" s="281">
        <f t="shared" si="27"/>
        <v>10.590039789705497</v>
      </c>
      <c r="L145" s="267"/>
      <c r="M145" s="268">
        <v>0.64098269928798202</v>
      </c>
      <c r="N145" s="281">
        <f t="shared" si="19"/>
        <v>20.4895</v>
      </c>
      <c r="O145" s="278">
        <f t="shared" si="20"/>
        <v>14.339276466388934</v>
      </c>
      <c r="P145" s="271">
        <v>5.6993252202339759</v>
      </c>
      <c r="Q145" s="281">
        <f t="shared" si="21"/>
        <v>101.39923076923077</v>
      </c>
      <c r="R145" s="268">
        <f t="shared" si="22"/>
        <v>72.677743586790726</v>
      </c>
      <c r="S145" s="205"/>
      <c r="T145" s="282">
        <v>310</v>
      </c>
      <c r="U145" s="283">
        <f t="shared" si="23"/>
        <v>5.4105206811824216</v>
      </c>
      <c r="V145" s="284">
        <f t="shared" si="24"/>
        <v>0.64278760968653925</v>
      </c>
      <c r="W145" s="285">
        <v>2480</v>
      </c>
      <c r="X145" s="283">
        <f t="shared" si="25"/>
        <v>43.284165449459373</v>
      </c>
      <c r="Y145" s="283">
        <f t="shared" si="26"/>
        <v>0.76604444311897746</v>
      </c>
      <c r="AA145" s="286">
        <v>1.3392276622000629E-106</v>
      </c>
      <c r="AB145" s="287">
        <v>7.4550565090166068E-2</v>
      </c>
      <c r="AC145" s="287">
        <v>0.83691279479432445</v>
      </c>
      <c r="AD145" s="287">
        <f t="shared" si="28"/>
        <v>0.91146335988449056</v>
      </c>
      <c r="AE145" s="268">
        <v>4827.1245641526893</v>
      </c>
      <c r="AF145" s="268">
        <v>37.275282545083037</v>
      </c>
      <c r="AG145" s="268">
        <v>418.45639739716222</v>
      </c>
    </row>
    <row r="146" spans="2:33" ht="11.1" customHeight="1" x14ac:dyDescent="0.15">
      <c r="B146" s="298">
        <v>83</v>
      </c>
      <c r="C146" s="299">
        <v>43472</v>
      </c>
      <c r="D146" s="300">
        <v>4784.4399999999996</v>
      </c>
      <c r="E146" s="277">
        <v>43466</v>
      </c>
      <c r="F146" s="298">
        <v>20</v>
      </c>
      <c r="G146" s="298">
        <v>200</v>
      </c>
      <c r="H146" s="278">
        <f t="shared" si="29"/>
        <v>220</v>
      </c>
      <c r="I146" s="291">
        <v>0.57133635152661433</v>
      </c>
      <c r="J146" s="281">
        <v>4.2815800434622098</v>
      </c>
      <c r="K146" s="281">
        <f t="shared" si="27"/>
        <v>4.8529163949888243</v>
      </c>
      <c r="L146" s="267"/>
      <c r="M146" s="268">
        <v>0.59001230705228924</v>
      </c>
      <c r="N146" s="281">
        <f t="shared" si="19"/>
        <v>20.4895</v>
      </c>
      <c r="O146" s="278">
        <f t="shared" si="20"/>
        <v>13.005590673814535</v>
      </c>
      <c r="P146" s="271">
        <v>5.3737062400947249</v>
      </c>
      <c r="Q146" s="281">
        <f t="shared" si="21"/>
        <v>101.38384615384615</v>
      </c>
      <c r="R146" s="268">
        <f t="shared" si="22"/>
        <v>65.867037507760102</v>
      </c>
      <c r="S146" s="205"/>
      <c r="T146" s="282">
        <v>320</v>
      </c>
      <c r="U146" s="283">
        <f t="shared" si="23"/>
        <v>5.5850536063818543</v>
      </c>
      <c r="V146" s="284">
        <f t="shared" si="24"/>
        <v>0.76604444311897779</v>
      </c>
      <c r="W146" s="285">
        <v>2510</v>
      </c>
      <c r="X146" s="283">
        <f t="shared" si="25"/>
        <v>43.807764225057674</v>
      </c>
      <c r="Y146" s="283">
        <f t="shared" si="26"/>
        <v>0.98480775301220846</v>
      </c>
      <c r="AA146" s="286">
        <v>6.5056667188123722E-108</v>
      </c>
      <c r="AB146" s="287">
        <v>7.2187416181071995E-2</v>
      </c>
      <c r="AC146" s="287">
        <v>0.83506619844982544</v>
      </c>
      <c r="AD146" s="287">
        <f t="shared" si="28"/>
        <v>0.90725361463089738</v>
      </c>
      <c r="AE146" s="268">
        <v>4800.6464634123222</v>
      </c>
      <c r="AF146" s="268">
        <v>36.093708090535998</v>
      </c>
      <c r="AG146" s="268">
        <v>417.53309922491275</v>
      </c>
    </row>
    <row r="147" spans="2:33" ht="11.1" customHeight="1" x14ac:dyDescent="0.15">
      <c r="B147" s="298">
        <v>84</v>
      </c>
      <c r="C147" s="299">
        <v>43504</v>
      </c>
      <c r="D147" s="300">
        <v>3914.93</v>
      </c>
      <c r="E147" s="277">
        <v>43497</v>
      </c>
      <c r="F147" s="298">
        <v>20</v>
      </c>
      <c r="G147" s="298">
        <v>200</v>
      </c>
      <c r="H147" s="278">
        <f t="shared" si="29"/>
        <v>220</v>
      </c>
      <c r="I147" s="291">
        <v>0.55475536345719156</v>
      </c>
      <c r="J147" s="281">
        <v>4.2729419308000285</v>
      </c>
      <c r="K147" s="281">
        <f t="shared" si="27"/>
        <v>4.8276972942572201</v>
      </c>
      <c r="L147" s="267"/>
      <c r="M147" s="268">
        <v>0.54309503651168545</v>
      </c>
      <c r="N147" s="281">
        <f t="shared" si="19"/>
        <v>20.4895</v>
      </c>
      <c r="O147" s="278">
        <f t="shared" si="20"/>
        <v>11.925214231946883</v>
      </c>
      <c r="P147" s="271">
        <v>5.0666908167152274</v>
      </c>
      <c r="Q147" s="281">
        <f t="shared" si="21"/>
        <v>101.38384615384615</v>
      </c>
      <c r="R147" s="268">
        <f t="shared" si="22"/>
        <v>60.356102339061025</v>
      </c>
      <c r="S147" s="205"/>
      <c r="T147" s="282">
        <v>330</v>
      </c>
      <c r="U147" s="283">
        <f t="shared" si="23"/>
        <v>5.7595865315812871</v>
      </c>
      <c r="V147" s="284">
        <f t="shared" si="24"/>
        <v>0.86602540378443837</v>
      </c>
      <c r="W147" s="285">
        <v>2540</v>
      </c>
      <c r="X147" s="283">
        <f t="shared" si="25"/>
        <v>44.331363000655969</v>
      </c>
      <c r="Y147" s="283">
        <f t="shared" si="26"/>
        <v>0.93969262078590909</v>
      </c>
      <c r="AA147" s="286">
        <v>4.0956259926373319E-109</v>
      </c>
      <c r="AB147" s="287">
        <v>7.0092435381648693E-2</v>
      </c>
      <c r="AC147" s="287">
        <v>0.83338144753325594</v>
      </c>
      <c r="AD147" s="287">
        <f t="shared" si="28"/>
        <v>0.9034738829149046</v>
      </c>
      <c r="AE147" s="268">
        <v>4776.9285148505505</v>
      </c>
      <c r="AF147" s="268">
        <v>35.046217690824349</v>
      </c>
      <c r="AG147" s="268">
        <v>416.69072376662797</v>
      </c>
    </row>
    <row r="148" spans="2:33" ht="11.1" customHeight="1" x14ac:dyDescent="0.15">
      <c r="B148" s="298">
        <v>85</v>
      </c>
      <c r="C148" s="299">
        <v>43525</v>
      </c>
      <c r="D148" s="300">
        <v>4555.8599999999997</v>
      </c>
      <c r="E148" s="277">
        <v>43525</v>
      </c>
      <c r="F148" s="298">
        <v>10</v>
      </c>
      <c r="G148" s="298">
        <v>190</v>
      </c>
      <c r="H148" s="278">
        <f t="shared" si="29"/>
        <v>200</v>
      </c>
      <c r="I148" s="291">
        <v>0.54413648179486407</v>
      </c>
      <c r="J148" s="281">
        <v>4.2672826426226171</v>
      </c>
      <c r="K148" s="281">
        <f t="shared" si="27"/>
        <v>4.8114191244174815</v>
      </c>
      <c r="L148" s="267"/>
      <c r="M148" s="268">
        <v>0.50393327843501956</v>
      </c>
      <c r="N148" s="281">
        <f t="shared" si="19"/>
        <v>20.494499999999999</v>
      </c>
      <c r="O148" s="278">
        <f t="shared" si="20"/>
        <v>11.132396878529701</v>
      </c>
      <c r="P148" s="271">
        <v>4.804491385492593</v>
      </c>
      <c r="Q148" s="281">
        <f t="shared" si="21"/>
        <v>101.39153846153846</v>
      </c>
      <c r="R148" s="268">
        <f t="shared" si="22"/>
        <v>56.300217045023473</v>
      </c>
      <c r="S148" s="205"/>
      <c r="T148" s="282">
        <v>340</v>
      </c>
      <c r="U148" s="283">
        <f t="shared" si="23"/>
        <v>5.9341194567807207</v>
      </c>
      <c r="V148" s="284">
        <f t="shared" si="24"/>
        <v>0.93969262078590843</v>
      </c>
      <c r="W148" s="285">
        <v>2570</v>
      </c>
      <c r="X148" s="283">
        <f t="shared" si="25"/>
        <v>44.854961776254271</v>
      </c>
      <c r="Y148" s="283">
        <f t="shared" si="26"/>
        <v>0.6427876096865387</v>
      </c>
      <c r="AA148" s="286">
        <v>6.6708738863767203E-110</v>
      </c>
      <c r="AB148" s="287">
        <v>6.8750757002725746E-2</v>
      </c>
      <c r="AC148" s="287">
        <v>0.83227767737918401</v>
      </c>
      <c r="AD148" s="287">
        <f t="shared" si="28"/>
        <v>0.90102843438190972</v>
      </c>
      <c r="AE148" s="268">
        <v>4761.6117379848401</v>
      </c>
      <c r="AF148" s="268">
        <v>34.375378501362874</v>
      </c>
      <c r="AG148" s="268">
        <v>416.13883868959198</v>
      </c>
    </row>
    <row r="149" spans="2:33" ht="11.1" customHeight="1" x14ac:dyDescent="0.15">
      <c r="B149" s="301">
        <v>86</v>
      </c>
      <c r="C149" s="302">
        <v>43556</v>
      </c>
      <c r="D149" s="302"/>
      <c r="E149" s="303"/>
      <c r="F149" s="301"/>
      <c r="G149" s="301"/>
      <c r="H149" s="304"/>
      <c r="I149" s="305"/>
      <c r="J149" s="306"/>
      <c r="K149" s="307"/>
      <c r="L149" s="267"/>
      <c r="M149" s="308"/>
      <c r="N149" s="229"/>
      <c r="O149" s="230"/>
      <c r="P149" s="309"/>
      <c r="Q149" s="229"/>
      <c r="R149" s="229"/>
      <c r="S149" s="205"/>
      <c r="T149" s="229"/>
      <c r="U149" s="239"/>
      <c r="V149" s="262"/>
      <c r="W149" s="241"/>
      <c r="X149" s="239"/>
      <c r="Y149" s="261"/>
      <c r="AA149" s="306"/>
      <c r="AB149" s="308"/>
      <c r="AC149" s="308"/>
      <c r="AD149" s="308"/>
      <c r="AE149" s="310"/>
      <c r="AF149" s="310"/>
      <c r="AG149" s="310"/>
    </row>
    <row r="150" spans="2:33" ht="11.1" customHeight="1" x14ac:dyDescent="0.15">
      <c r="B150" s="198"/>
      <c r="C150" s="198"/>
      <c r="D150" s="198"/>
      <c r="E150" s="198"/>
      <c r="F150" s="198"/>
      <c r="G150" s="198"/>
      <c r="H150" s="198"/>
      <c r="I150" s="198"/>
      <c r="J150" s="198"/>
      <c r="K150" s="198"/>
      <c r="M150" s="198"/>
      <c r="N150" s="198"/>
      <c r="O150" s="198"/>
      <c r="P150" s="198"/>
      <c r="Q150" s="198"/>
      <c r="R150" s="198"/>
      <c r="S150" s="198"/>
      <c r="X150" s="198"/>
      <c r="Y150" s="198"/>
      <c r="Z150" s="198"/>
      <c r="AA150" s="198"/>
      <c r="AB150" s="198"/>
      <c r="AC150" s="198"/>
      <c r="AD150" s="198"/>
    </row>
    <row r="151" spans="2:33" ht="11.1" customHeight="1" x14ac:dyDescent="0.15">
      <c r="F151" s="197"/>
      <c r="G151" s="197"/>
      <c r="H151" s="197"/>
      <c r="I151" s="197"/>
      <c r="M151" s="197"/>
      <c r="N151" s="198"/>
      <c r="O151" s="198"/>
      <c r="P151" s="197"/>
      <c r="Q151" s="198"/>
      <c r="R151" s="198"/>
      <c r="S151" s="205"/>
      <c r="W151" s="197"/>
      <c r="Y151" s="311"/>
      <c r="AA151" s="197"/>
      <c r="AB151" s="197"/>
    </row>
    <row r="152" spans="2:33" ht="11.1" customHeight="1" x14ac:dyDescent="0.15">
      <c r="M152" s="205"/>
      <c r="N152" s="205"/>
      <c r="O152" s="205"/>
      <c r="P152" s="205"/>
      <c r="Q152" s="205"/>
      <c r="R152" s="205"/>
      <c r="S152" s="205"/>
      <c r="W152" s="197"/>
      <c r="Z152" s="197"/>
      <c r="AA152" s="197"/>
      <c r="AB152" s="197"/>
    </row>
    <row r="153" spans="2:33" ht="11.1" customHeight="1" x14ac:dyDescent="0.15">
      <c r="M153" s="205"/>
      <c r="N153" s="205"/>
      <c r="O153" s="205"/>
      <c r="P153" s="205"/>
      <c r="Q153" s="205"/>
      <c r="R153" s="205"/>
      <c r="S153" s="205"/>
      <c r="Z153" s="197"/>
      <c r="AA153" s="197"/>
      <c r="AB153" s="197"/>
    </row>
    <row r="154" spans="2:33" ht="11.1" customHeight="1" x14ac:dyDescent="0.15">
      <c r="M154" s="205"/>
      <c r="N154" s="205"/>
      <c r="O154" s="205"/>
      <c r="P154" s="205"/>
      <c r="Q154" s="205"/>
      <c r="R154" s="205"/>
      <c r="S154" s="205"/>
      <c r="Z154" s="197"/>
      <c r="AA154" s="197"/>
      <c r="AB154" s="197"/>
    </row>
    <row r="155" spans="2:33" ht="11.1" customHeight="1" x14ac:dyDescent="0.15">
      <c r="M155" s="205"/>
      <c r="N155" s="205"/>
      <c r="O155" s="205"/>
      <c r="P155" s="205"/>
      <c r="Q155" s="205"/>
      <c r="R155" s="205"/>
      <c r="S155" s="205"/>
      <c r="Z155" s="197"/>
      <c r="AA155" s="197"/>
      <c r="AB155" s="197"/>
    </row>
    <row r="156" spans="2:33" ht="11.1" customHeight="1" x14ac:dyDescent="0.15">
      <c r="M156" s="205"/>
      <c r="N156" s="205"/>
      <c r="O156" s="205"/>
      <c r="P156" s="205"/>
      <c r="Q156" s="205"/>
      <c r="R156" s="205"/>
      <c r="S156" s="205"/>
      <c r="Z156" s="197"/>
      <c r="AA156" s="197"/>
      <c r="AB156" s="197"/>
    </row>
    <row r="157" spans="2:33" ht="11.1" customHeight="1" x14ac:dyDescent="0.15">
      <c r="M157" s="205"/>
      <c r="N157" s="205"/>
      <c r="O157" s="205"/>
      <c r="P157" s="205"/>
      <c r="Q157" s="205"/>
      <c r="R157" s="205"/>
      <c r="S157" s="205"/>
      <c r="Z157" s="197"/>
      <c r="AA157" s="197"/>
      <c r="AB157" s="197"/>
    </row>
    <row r="158" spans="2:33" ht="11.1" customHeight="1" x14ac:dyDescent="0.15">
      <c r="M158" s="205"/>
      <c r="N158" s="205"/>
      <c r="O158" s="205"/>
      <c r="P158" s="205"/>
      <c r="Q158" s="205"/>
      <c r="R158" s="205"/>
      <c r="S158" s="205"/>
      <c r="Z158" s="197"/>
      <c r="AA158" s="197"/>
      <c r="AB158" s="197"/>
    </row>
    <row r="159" spans="2:33" ht="11.1" customHeight="1" x14ac:dyDescent="0.15">
      <c r="M159" s="205"/>
      <c r="N159" s="205"/>
      <c r="O159" s="205"/>
      <c r="P159" s="205"/>
      <c r="Q159" s="205"/>
      <c r="R159" s="205"/>
      <c r="S159" s="205"/>
      <c r="Z159" s="197"/>
      <c r="AA159" s="197"/>
      <c r="AB159" s="197"/>
    </row>
    <row r="160" spans="2:33" ht="11.1" customHeight="1" x14ac:dyDescent="0.15">
      <c r="M160" s="205"/>
      <c r="N160" s="205"/>
      <c r="O160" s="205"/>
      <c r="P160" s="205"/>
      <c r="Q160" s="205"/>
      <c r="R160" s="205"/>
      <c r="S160" s="205"/>
      <c r="Z160" s="197"/>
      <c r="AA160" s="197"/>
      <c r="AB160" s="197"/>
    </row>
    <row r="161" spans="6:28" ht="11.1" customHeight="1" x14ac:dyDescent="0.15">
      <c r="M161" s="205"/>
      <c r="N161" s="205"/>
      <c r="O161" s="205"/>
      <c r="P161" s="205"/>
      <c r="Q161" s="205"/>
      <c r="R161" s="205"/>
      <c r="S161" s="205"/>
      <c r="Z161" s="197"/>
      <c r="AA161" s="197"/>
      <c r="AB161" s="197"/>
    </row>
    <row r="162" spans="6:28" ht="11.1" customHeight="1" x14ac:dyDescent="0.15">
      <c r="M162" s="205"/>
      <c r="N162" s="205"/>
      <c r="O162" s="205"/>
      <c r="P162" s="205"/>
      <c r="Q162" s="205"/>
      <c r="R162" s="205"/>
      <c r="S162" s="205"/>
      <c r="Z162" s="197"/>
      <c r="AA162" s="197"/>
      <c r="AB162" s="197"/>
    </row>
    <row r="163" spans="6:28" ht="11.1" customHeight="1" x14ac:dyDescent="0.15">
      <c r="M163" s="205"/>
      <c r="N163" s="205"/>
      <c r="O163" s="205"/>
      <c r="P163" s="205"/>
      <c r="Q163" s="205"/>
      <c r="R163" s="205"/>
      <c r="S163" s="205"/>
      <c r="Z163" s="197"/>
      <c r="AA163" s="197"/>
      <c r="AB163" s="197"/>
    </row>
    <row r="164" spans="6:28" ht="11.1" customHeight="1" x14ac:dyDescent="0.15">
      <c r="M164" s="205"/>
      <c r="N164" s="205"/>
      <c r="O164" s="205"/>
      <c r="P164" s="205"/>
      <c r="Q164" s="205"/>
      <c r="R164" s="205"/>
      <c r="S164" s="205"/>
      <c r="Z164" s="197"/>
      <c r="AA164" s="197"/>
      <c r="AB164" s="197"/>
    </row>
    <row r="165" spans="6:28" ht="11.1" customHeight="1" x14ac:dyDescent="0.15">
      <c r="M165" s="205"/>
      <c r="N165" s="205"/>
      <c r="O165" s="205"/>
      <c r="P165" s="205"/>
      <c r="Q165" s="205"/>
      <c r="R165" s="205"/>
      <c r="S165" s="205"/>
      <c r="Z165" s="197"/>
      <c r="AA165" s="197"/>
      <c r="AB165" s="197"/>
    </row>
    <row r="166" spans="6:28" ht="11.1" customHeight="1" x14ac:dyDescent="0.15">
      <c r="M166" s="205"/>
      <c r="N166" s="205"/>
      <c r="O166" s="205"/>
      <c r="P166" s="205"/>
      <c r="Q166" s="205"/>
      <c r="R166" s="205"/>
      <c r="S166" s="205"/>
      <c r="Z166" s="197"/>
      <c r="AA166" s="197"/>
      <c r="AB166" s="197"/>
    </row>
    <row r="167" spans="6:28" ht="11.1" customHeight="1" x14ac:dyDescent="0.15">
      <c r="M167" s="205"/>
      <c r="N167" s="205"/>
      <c r="O167" s="205"/>
      <c r="P167" s="205"/>
      <c r="Q167" s="205"/>
      <c r="R167" s="205"/>
      <c r="S167" s="205"/>
      <c r="Z167" s="197"/>
      <c r="AA167" s="197"/>
      <c r="AB167" s="197"/>
    </row>
    <row r="168" spans="6:28" ht="11.1" customHeight="1" x14ac:dyDescent="0.15">
      <c r="M168" s="205"/>
      <c r="N168" s="205"/>
      <c r="O168" s="205"/>
      <c r="P168" s="205"/>
      <c r="Q168" s="205"/>
      <c r="R168" s="205"/>
      <c r="S168" s="205"/>
      <c r="Z168" s="197"/>
      <c r="AA168" s="197"/>
      <c r="AB168" s="197"/>
    </row>
    <row r="169" spans="6:28" ht="11.1" customHeight="1" x14ac:dyDescent="0.15">
      <c r="F169" s="197"/>
      <c r="G169" s="197"/>
      <c r="H169" s="197"/>
      <c r="I169" s="197"/>
      <c r="M169" s="205"/>
      <c r="N169" s="205"/>
      <c r="O169" s="205"/>
      <c r="P169" s="205"/>
      <c r="Q169" s="205"/>
      <c r="R169" s="205"/>
      <c r="S169" s="205"/>
      <c r="Z169" s="197"/>
      <c r="AA169" s="197"/>
      <c r="AB169" s="197"/>
    </row>
    <row r="170" spans="6:28" ht="11.1" customHeight="1" x14ac:dyDescent="0.15">
      <c r="F170" s="197"/>
      <c r="G170" s="197"/>
      <c r="H170" s="197"/>
      <c r="I170" s="197"/>
      <c r="M170" s="205"/>
      <c r="N170" s="205"/>
      <c r="O170" s="205"/>
      <c r="P170" s="205"/>
      <c r="Q170" s="205"/>
      <c r="R170" s="205"/>
      <c r="S170" s="205"/>
      <c r="Z170" s="197"/>
      <c r="AA170" s="197"/>
      <c r="AB170" s="197"/>
    </row>
    <row r="171" spans="6:28" ht="11.1" customHeight="1" x14ac:dyDescent="0.15">
      <c r="F171" s="197"/>
      <c r="G171" s="197"/>
      <c r="H171" s="197"/>
      <c r="I171" s="197"/>
      <c r="M171" s="205"/>
      <c r="N171" s="205"/>
      <c r="O171" s="205"/>
      <c r="P171" s="205"/>
      <c r="Q171" s="205"/>
      <c r="R171" s="205"/>
      <c r="S171" s="205"/>
      <c r="Z171" s="197"/>
      <c r="AA171" s="197"/>
      <c r="AB171" s="197"/>
    </row>
    <row r="172" spans="6:28" ht="11.1" customHeight="1" x14ac:dyDescent="0.15">
      <c r="F172" s="197"/>
      <c r="G172" s="197"/>
      <c r="H172" s="197"/>
      <c r="I172" s="197"/>
      <c r="M172" s="207"/>
      <c r="N172" s="207"/>
      <c r="O172" s="207"/>
      <c r="P172" s="207"/>
      <c r="Q172" s="207"/>
      <c r="R172" s="207"/>
      <c r="S172" s="207"/>
      <c r="Z172" s="197"/>
      <c r="AA172" s="197"/>
      <c r="AB172" s="197"/>
    </row>
    <row r="173" spans="6:28" ht="11.1" customHeight="1" x14ac:dyDescent="0.15">
      <c r="F173" s="197"/>
      <c r="G173" s="197"/>
      <c r="H173" s="197"/>
      <c r="I173" s="197"/>
      <c r="M173" s="207"/>
      <c r="N173" s="207"/>
      <c r="O173" s="207"/>
      <c r="P173" s="207"/>
      <c r="Q173" s="207"/>
      <c r="R173" s="207"/>
      <c r="S173" s="207"/>
      <c r="Z173" s="197"/>
      <c r="AA173" s="197"/>
      <c r="AB173" s="197"/>
    </row>
    <row r="174" spans="6:28" ht="11.1" customHeight="1" x14ac:dyDescent="0.15">
      <c r="F174" s="197"/>
      <c r="G174" s="197"/>
      <c r="H174" s="197"/>
      <c r="I174" s="197"/>
      <c r="M174" s="207"/>
      <c r="N174" s="207"/>
      <c r="O174" s="207"/>
      <c r="P174" s="207"/>
      <c r="Q174" s="207"/>
      <c r="R174" s="207"/>
      <c r="S174" s="207"/>
      <c r="Z174" s="197"/>
      <c r="AA174" s="197"/>
      <c r="AB174" s="197"/>
    </row>
    <row r="186" spans="3:31" ht="11.1" customHeight="1" x14ac:dyDescent="0.15">
      <c r="C186" s="207"/>
      <c r="D186" s="207"/>
      <c r="E186" s="207"/>
      <c r="F186" s="207"/>
      <c r="G186" s="207"/>
      <c r="H186" s="207"/>
      <c r="I186" s="207"/>
      <c r="J186" s="207"/>
      <c r="K186" s="207"/>
      <c r="M186" s="207"/>
      <c r="N186" s="207"/>
      <c r="O186" s="207"/>
      <c r="P186" s="207"/>
      <c r="Q186" s="207"/>
      <c r="R186" s="207"/>
      <c r="S186" s="207"/>
      <c r="X186" s="207"/>
      <c r="Y186" s="207"/>
      <c r="AC186" s="207"/>
      <c r="AD186" s="207"/>
      <c r="AE186" s="207"/>
    </row>
    <row r="187" spans="3:31" ht="11.1" customHeight="1" x14ac:dyDescent="0.15">
      <c r="C187" s="207"/>
      <c r="D187" s="207"/>
      <c r="E187" s="207"/>
      <c r="F187" s="207"/>
      <c r="G187" s="207"/>
      <c r="H187" s="207"/>
      <c r="I187" s="207"/>
      <c r="J187" s="207"/>
      <c r="K187" s="207"/>
      <c r="M187" s="207"/>
      <c r="N187" s="207"/>
      <c r="O187" s="207"/>
      <c r="P187" s="207"/>
      <c r="Q187" s="207"/>
      <c r="R187" s="207"/>
      <c r="S187" s="207"/>
      <c r="X187" s="207"/>
      <c r="Y187" s="207"/>
      <c r="AC187" s="207"/>
      <c r="AD187" s="207"/>
      <c r="AE187" s="207"/>
    </row>
    <row r="188" spans="3:31" ht="11.1" customHeight="1" x14ac:dyDescent="0.15">
      <c r="C188" s="207"/>
      <c r="D188" s="207"/>
      <c r="E188" s="207"/>
      <c r="F188" s="207"/>
      <c r="G188" s="207"/>
      <c r="H188" s="207"/>
      <c r="I188" s="207"/>
      <c r="J188" s="207"/>
      <c r="K188" s="207"/>
      <c r="M188" s="207"/>
      <c r="N188" s="207"/>
      <c r="O188" s="207"/>
      <c r="P188" s="207"/>
      <c r="Q188" s="207"/>
      <c r="R188" s="207"/>
      <c r="S188" s="207"/>
      <c r="X188" s="207"/>
      <c r="Y188" s="207"/>
      <c r="AC188" s="207"/>
      <c r="AD188" s="207"/>
      <c r="AE188" s="207"/>
    </row>
    <row r="189" spans="3:31" ht="11.1" customHeight="1" x14ac:dyDescent="0.15">
      <c r="C189" s="207"/>
      <c r="D189" s="207"/>
      <c r="E189" s="207"/>
      <c r="F189" s="207"/>
      <c r="G189" s="207"/>
      <c r="H189" s="207"/>
      <c r="I189" s="207"/>
      <c r="J189" s="207"/>
      <c r="K189" s="207"/>
      <c r="M189" s="207"/>
      <c r="N189" s="207"/>
      <c r="O189" s="207"/>
      <c r="P189" s="207"/>
      <c r="Q189" s="207"/>
      <c r="R189" s="207"/>
      <c r="S189" s="207"/>
      <c r="X189" s="207"/>
      <c r="Y189" s="207"/>
      <c r="AC189" s="207"/>
      <c r="AD189" s="207"/>
      <c r="AE189" s="207"/>
    </row>
    <row r="190" spans="3:31" ht="11.1" customHeight="1" x14ac:dyDescent="0.15">
      <c r="C190" s="207"/>
      <c r="D190" s="207"/>
      <c r="E190" s="207"/>
      <c r="F190" s="207"/>
      <c r="G190" s="207"/>
      <c r="H190" s="207"/>
      <c r="I190" s="207"/>
      <c r="J190" s="207"/>
      <c r="K190" s="207"/>
      <c r="M190" s="207"/>
      <c r="N190" s="207"/>
      <c r="O190" s="207"/>
      <c r="P190" s="207"/>
      <c r="Q190" s="207"/>
      <c r="R190" s="207"/>
      <c r="S190" s="207"/>
      <c r="X190" s="207"/>
      <c r="Y190" s="207"/>
      <c r="AC190" s="207"/>
      <c r="AD190" s="207"/>
      <c r="AE190" s="207"/>
    </row>
    <row r="191" spans="3:31" ht="11.1" customHeight="1" x14ac:dyDescent="0.15">
      <c r="C191" s="207"/>
      <c r="D191" s="207"/>
      <c r="E191" s="207"/>
      <c r="F191" s="207"/>
      <c r="G191" s="207"/>
      <c r="H191" s="207"/>
      <c r="I191" s="207"/>
      <c r="J191" s="207"/>
      <c r="K191" s="207"/>
      <c r="M191" s="207"/>
      <c r="N191" s="207"/>
      <c r="O191" s="207"/>
      <c r="P191" s="207"/>
      <c r="Q191" s="207"/>
      <c r="R191" s="207"/>
      <c r="S191" s="207"/>
      <c r="X191" s="207"/>
      <c r="Y191" s="207"/>
      <c r="AC191" s="207"/>
      <c r="AD191" s="207"/>
      <c r="AE191" s="207"/>
    </row>
    <row r="192" spans="3:31" ht="11.1" customHeight="1" x14ac:dyDescent="0.15">
      <c r="C192" s="207"/>
      <c r="D192" s="207"/>
      <c r="E192" s="207"/>
      <c r="F192" s="207"/>
      <c r="G192" s="207"/>
      <c r="H192" s="207"/>
      <c r="I192" s="207"/>
      <c r="J192" s="207"/>
      <c r="K192" s="207"/>
      <c r="M192" s="207"/>
      <c r="N192" s="207"/>
      <c r="O192" s="207"/>
      <c r="P192" s="207"/>
      <c r="Q192" s="207"/>
      <c r="R192" s="207"/>
      <c r="S192" s="207"/>
      <c r="X192" s="207"/>
      <c r="Y192" s="207"/>
      <c r="AC192" s="207"/>
      <c r="AD192" s="207"/>
      <c r="AE192" s="207"/>
    </row>
    <row r="193" spans="3:31" ht="11.1" customHeight="1" x14ac:dyDescent="0.15">
      <c r="C193" s="207"/>
      <c r="D193" s="207"/>
      <c r="E193" s="207"/>
      <c r="F193" s="207"/>
      <c r="G193" s="207"/>
      <c r="H193" s="207"/>
      <c r="I193" s="207"/>
      <c r="J193" s="207"/>
      <c r="K193" s="207"/>
      <c r="M193" s="207"/>
      <c r="N193" s="207"/>
      <c r="O193" s="207"/>
      <c r="P193" s="207"/>
      <c r="Q193" s="207"/>
      <c r="R193" s="207"/>
      <c r="S193" s="207"/>
      <c r="X193" s="207"/>
      <c r="Y193" s="207"/>
      <c r="AC193" s="207"/>
      <c r="AD193" s="207"/>
      <c r="AE193" s="207"/>
    </row>
    <row r="194" spans="3:31" ht="11.1" customHeight="1" x14ac:dyDescent="0.15">
      <c r="C194" s="207"/>
      <c r="D194" s="207"/>
      <c r="E194" s="207"/>
      <c r="F194" s="207"/>
      <c r="G194" s="207"/>
      <c r="H194" s="207"/>
      <c r="I194" s="207"/>
      <c r="J194" s="207"/>
      <c r="K194" s="207"/>
      <c r="M194" s="207"/>
      <c r="N194" s="207"/>
      <c r="O194" s="207"/>
      <c r="P194" s="207"/>
      <c r="Q194" s="207"/>
      <c r="R194" s="207"/>
      <c r="S194" s="207"/>
      <c r="X194" s="207"/>
      <c r="Y194" s="207"/>
      <c r="AC194" s="207"/>
      <c r="AD194" s="207"/>
      <c r="AE194" s="207"/>
    </row>
    <row r="195" spans="3:31" ht="11.1" customHeight="1" x14ac:dyDescent="0.15">
      <c r="C195" s="207"/>
      <c r="D195" s="207"/>
      <c r="E195" s="207"/>
      <c r="F195" s="207"/>
      <c r="G195" s="207"/>
      <c r="H195" s="207"/>
      <c r="I195" s="207"/>
      <c r="J195" s="207"/>
      <c r="K195" s="207"/>
      <c r="M195" s="207"/>
      <c r="N195" s="207"/>
      <c r="O195" s="207"/>
      <c r="P195" s="207"/>
      <c r="Q195" s="207"/>
      <c r="R195" s="207"/>
      <c r="S195" s="207"/>
      <c r="X195" s="207"/>
      <c r="Y195" s="207"/>
      <c r="AC195" s="207"/>
      <c r="AD195" s="207"/>
      <c r="AE195" s="207"/>
    </row>
    <row r="196" spans="3:31" ht="11.1" customHeight="1" x14ac:dyDescent="0.15">
      <c r="C196" s="207"/>
      <c r="D196" s="207"/>
      <c r="E196" s="207"/>
      <c r="F196" s="207"/>
      <c r="G196" s="207"/>
      <c r="H196" s="207"/>
      <c r="I196" s="207"/>
      <c r="J196" s="207"/>
      <c r="K196" s="207"/>
      <c r="M196" s="207"/>
      <c r="N196" s="207"/>
      <c r="O196" s="207"/>
      <c r="P196" s="207"/>
      <c r="Q196" s="207"/>
      <c r="R196" s="207"/>
      <c r="S196" s="207"/>
      <c r="X196" s="207"/>
      <c r="Y196" s="207"/>
      <c r="AC196" s="207"/>
      <c r="AD196" s="207"/>
      <c r="AE196" s="207"/>
    </row>
    <row r="197" spans="3:31" ht="11.1" customHeight="1" x14ac:dyDescent="0.15">
      <c r="C197" s="207"/>
      <c r="D197" s="207"/>
      <c r="E197" s="207"/>
      <c r="F197" s="207"/>
      <c r="G197" s="207"/>
      <c r="H197" s="207"/>
      <c r="I197" s="207"/>
      <c r="J197" s="207"/>
      <c r="K197" s="207"/>
      <c r="M197" s="207"/>
      <c r="N197" s="207"/>
      <c r="O197" s="207"/>
      <c r="P197" s="207"/>
      <c r="Q197" s="207"/>
      <c r="R197" s="207"/>
      <c r="S197" s="207"/>
      <c r="X197" s="207"/>
      <c r="Y197" s="207"/>
      <c r="AC197" s="207"/>
      <c r="AD197" s="207"/>
      <c r="AE197" s="207"/>
    </row>
    <row r="198" spans="3:31" ht="11.1" customHeight="1" x14ac:dyDescent="0.15">
      <c r="C198" s="207"/>
      <c r="D198" s="207"/>
      <c r="E198" s="207"/>
      <c r="F198" s="207"/>
      <c r="G198" s="207"/>
      <c r="H198" s="207"/>
      <c r="I198" s="207"/>
      <c r="J198" s="207"/>
      <c r="K198" s="207"/>
      <c r="M198" s="207"/>
      <c r="N198" s="207"/>
      <c r="O198" s="207"/>
      <c r="P198" s="207"/>
      <c r="Q198" s="207"/>
      <c r="R198" s="207"/>
      <c r="S198" s="207"/>
      <c r="X198" s="207"/>
      <c r="Y198" s="207"/>
      <c r="AC198" s="207"/>
      <c r="AD198" s="207"/>
      <c r="AE198" s="207"/>
    </row>
    <row r="199" spans="3:31" ht="11.1" customHeight="1" x14ac:dyDescent="0.15">
      <c r="C199" s="207"/>
      <c r="D199" s="207"/>
      <c r="E199" s="207"/>
      <c r="F199" s="207"/>
      <c r="G199" s="207"/>
      <c r="H199" s="207"/>
      <c r="I199" s="207"/>
      <c r="J199" s="207"/>
      <c r="K199" s="207"/>
      <c r="M199" s="207"/>
      <c r="N199" s="207"/>
      <c r="O199" s="207"/>
      <c r="P199" s="207"/>
      <c r="Q199" s="207"/>
      <c r="R199" s="207"/>
      <c r="S199" s="207"/>
      <c r="X199" s="207"/>
      <c r="Y199" s="207"/>
      <c r="AC199" s="207"/>
      <c r="AD199" s="207"/>
      <c r="AE199" s="207"/>
    </row>
    <row r="200" spans="3:31" ht="11.1" customHeight="1" x14ac:dyDescent="0.15">
      <c r="C200" s="207"/>
      <c r="D200" s="207"/>
      <c r="E200" s="207"/>
      <c r="F200" s="207"/>
      <c r="G200" s="207"/>
      <c r="H200" s="207"/>
      <c r="I200" s="207"/>
      <c r="J200" s="207"/>
      <c r="K200" s="207"/>
      <c r="M200" s="207"/>
      <c r="N200" s="207"/>
      <c r="O200" s="207"/>
      <c r="P200" s="207"/>
      <c r="Q200" s="207"/>
      <c r="R200" s="207"/>
      <c r="S200" s="207"/>
      <c r="X200" s="207"/>
      <c r="Y200" s="207"/>
      <c r="AC200" s="207"/>
      <c r="AD200" s="207"/>
      <c r="AE200" s="207"/>
    </row>
    <row r="201" spans="3:31" ht="11.1" customHeight="1" x14ac:dyDescent="0.15">
      <c r="C201" s="207"/>
      <c r="D201" s="207"/>
      <c r="E201" s="207"/>
      <c r="F201" s="207"/>
      <c r="G201" s="207"/>
      <c r="H201" s="207"/>
      <c r="I201" s="207"/>
      <c r="J201" s="207"/>
      <c r="K201" s="207"/>
      <c r="M201" s="207"/>
      <c r="N201" s="207"/>
      <c r="O201" s="207"/>
      <c r="P201" s="207"/>
      <c r="Q201" s="207"/>
      <c r="R201" s="207"/>
      <c r="S201" s="207"/>
      <c r="X201" s="207"/>
      <c r="Y201" s="207"/>
      <c r="AC201" s="207"/>
      <c r="AD201" s="207"/>
      <c r="AE201" s="207"/>
    </row>
    <row r="219" spans="3:31" ht="11.1" customHeight="1" x14ac:dyDescent="0.15">
      <c r="C219" s="207"/>
      <c r="D219" s="207"/>
      <c r="E219" s="207"/>
      <c r="F219" s="207"/>
      <c r="G219" s="207"/>
      <c r="H219" s="207"/>
      <c r="I219" s="207"/>
      <c r="J219" s="207"/>
      <c r="K219" s="207"/>
      <c r="M219" s="207"/>
      <c r="N219" s="207"/>
      <c r="O219" s="207"/>
      <c r="P219" s="207"/>
      <c r="Q219" s="207"/>
      <c r="R219" s="207"/>
      <c r="S219" s="207"/>
      <c r="X219" s="207"/>
      <c r="Y219" s="207"/>
      <c r="AC219" s="207"/>
      <c r="AD219" s="207"/>
      <c r="AE219" s="207"/>
    </row>
    <row r="220" spans="3:31" ht="11.1" customHeight="1" x14ac:dyDescent="0.15">
      <c r="C220" s="207"/>
      <c r="D220" s="207"/>
      <c r="E220" s="207"/>
      <c r="F220" s="207"/>
      <c r="G220" s="207"/>
      <c r="H220" s="207"/>
      <c r="I220" s="207"/>
      <c r="J220" s="207"/>
      <c r="K220" s="207"/>
      <c r="M220" s="207"/>
      <c r="N220" s="207"/>
      <c r="O220" s="207"/>
      <c r="P220" s="207"/>
      <c r="Q220" s="207"/>
      <c r="R220" s="207"/>
      <c r="S220" s="207"/>
      <c r="X220" s="207"/>
      <c r="Y220" s="207"/>
      <c r="AC220" s="207"/>
      <c r="AD220" s="207"/>
      <c r="AE220" s="207"/>
    </row>
    <row r="221" spans="3:31" ht="11.1" customHeight="1" x14ac:dyDescent="0.15">
      <c r="C221" s="207"/>
      <c r="D221" s="207"/>
      <c r="E221" s="207"/>
      <c r="F221" s="207"/>
      <c r="G221" s="207"/>
      <c r="H221" s="207"/>
      <c r="I221" s="207"/>
      <c r="J221" s="207"/>
      <c r="K221" s="207"/>
      <c r="M221" s="207"/>
      <c r="N221" s="207"/>
      <c r="O221" s="207"/>
      <c r="P221" s="207"/>
      <c r="Q221" s="207"/>
      <c r="R221" s="207"/>
      <c r="S221" s="207"/>
      <c r="X221" s="207"/>
      <c r="Y221" s="207"/>
      <c r="AC221" s="207"/>
      <c r="AD221" s="207"/>
      <c r="AE221" s="207"/>
    </row>
    <row r="284" spans="3:31" ht="11.1" customHeight="1" x14ac:dyDescent="0.15">
      <c r="C284" s="207"/>
      <c r="D284" s="207"/>
      <c r="E284" s="207"/>
      <c r="F284" s="207"/>
      <c r="G284" s="207"/>
      <c r="H284" s="207"/>
      <c r="I284" s="207"/>
      <c r="J284" s="207"/>
      <c r="K284" s="207"/>
      <c r="M284" s="207"/>
      <c r="N284" s="207"/>
      <c r="O284" s="207"/>
      <c r="P284" s="207"/>
      <c r="Q284" s="207"/>
      <c r="R284" s="207"/>
      <c r="S284" s="207"/>
      <c r="X284" s="207"/>
      <c r="Y284" s="207"/>
      <c r="AC284" s="207"/>
      <c r="AD284" s="207"/>
      <c r="AE284" s="207"/>
    </row>
    <row r="285" spans="3:31" ht="11.1" customHeight="1" x14ac:dyDescent="0.15">
      <c r="C285" s="207"/>
      <c r="D285" s="207"/>
      <c r="E285" s="207"/>
      <c r="F285" s="207"/>
      <c r="G285" s="207"/>
      <c r="H285" s="207"/>
      <c r="I285" s="207"/>
      <c r="J285" s="207"/>
      <c r="K285" s="207"/>
      <c r="M285" s="207"/>
      <c r="N285" s="207"/>
      <c r="O285" s="207"/>
      <c r="P285" s="207"/>
      <c r="Q285" s="207"/>
      <c r="R285" s="207"/>
      <c r="S285" s="207"/>
      <c r="X285" s="207"/>
      <c r="Y285" s="207"/>
      <c r="AC285" s="207"/>
      <c r="AD285" s="207"/>
      <c r="AE285" s="207"/>
    </row>
    <row r="286" spans="3:31" ht="11.1" customHeight="1" x14ac:dyDescent="0.15">
      <c r="C286" s="207"/>
      <c r="D286" s="207"/>
      <c r="E286" s="207"/>
      <c r="F286" s="207"/>
      <c r="G286" s="207"/>
      <c r="H286" s="207"/>
      <c r="I286" s="207"/>
      <c r="J286" s="207"/>
      <c r="K286" s="207"/>
      <c r="M286" s="207"/>
      <c r="N286" s="207"/>
      <c r="O286" s="207"/>
      <c r="P286" s="207"/>
      <c r="Q286" s="207"/>
      <c r="R286" s="207"/>
      <c r="S286" s="207"/>
      <c r="X286" s="207"/>
      <c r="Y286" s="207"/>
      <c r="AC286" s="207"/>
      <c r="AD286" s="207"/>
      <c r="AE286" s="207"/>
    </row>
    <row r="287" spans="3:31" ht="11.1" customHeight="1" x14ac:dyDescent="0.15">
      <c r="C287" s="207"/>
      <c r="D287" s="207"/>
      <c r="E287" s="207"/>
      <c r="F287" s="207"/>
      <c r="G287" s="207"/>
      <c r="H287" s="207"/>
      <c r="I287" s="207"/>
      <c r="J287" s="207"/>
      <c r="K287" s="207"/>
      <c r="M287" s="207"/>
      <c r="N287" s="207"/>
      <c r="O287" s="207"/>
      <c r="P287" s="207"/>
      <c r="Q287" s="207"/>
      <c r="R287" s="207"/>
      <c r="S287" s="207"/>
      <c r="X287" s="207"/>
      <c r="Y287" s="207"/>
      <c r="AC287" s="207"/>
      <c r="AD287" s="207"/>
      <c r="AE287" s="207"/>
    </row>
    <row r="288" spans="3:31" ht="11.1" customHeight="1" x14ac:dyDescent="0.15">
      <c r="C288" s="207"/>
      <c r="D288" s="207"/>
      <c r="E288" s="207"/>
      <c r="F288" s="207"/>
      <c r="G288" s="207"/>
      <c r="H288" s="207"/>
      <c r="I288" s="207"/>
      <c r="J288" s="207"/>
      <c r="K288" s="207"/>
      <c r="M288" s="207"/>
      <c r="N288" s="207"/>
      <c r="O288" s="207"/>
      <c r="P288" s="207"/>
      <c r="Q288" s="207"/>
      <c r="R288" s="207"/>
      <c r="S288" s="207"/>
      <c r="X288" s="207"/>
      <c r="Y288" s="207"/>
      <c r="AC288" s="207"/>
      <c r="AD288" s="207"/>
      <c r="AE288" s="207"/>
    </row>
    <row r="289" spans="3:31" ht="11.1" customHeight="1" x14ac:dyDescent="0.15">
      <c r="C289" s="207"/>
      <c r="D289" s="207"/>
      <c r="E289" s="207"/>
      <c r="F289" s="207"/>
      <c r="G289" s="207"/>
      <c r="H289" s="207"/>
      <c r="I289" s="207"/>
      <c r="J289" s="207"/>
      <c r="K289" s="207"/>
      <c r="M289" s="207"/>
      <c r="N289" s="207"/>
      <c r="O289" s="207"/>
      <c r="P289" s="207"/>
      <c r="Q289" s="207"/>
      <c r="R289" s="207"/>
      <c r="S289" s="207"/>
      <c r="X289" s="207"/>
      <c r="Y289" s="207"/>
      <c r="AC289" s="207"/>
      <c r="AD289" s="207"/>
      <c r="AE289" s="207"/>
    </row>
    <row r="290" spans="3:31" ht="11.1" customHeight="1" x14ac:dyDescent="0.15">
      <c r="C290" s="207"/>
      <c r="D290" s="207"/>
      <c r="E290" s="207"/>
      <c r="F290" s="207"/>
      <c r="G290" s="207"/>
      <c r="H290" s="207"/>
      <c r="I290" s="207"/>
      <c r="J290" s="207"/>
      <c r="K290" s="207"/>
      <c r="M290" s="207"/>
      <c r="N290" s="207"/>
      <c r="O290" s="207"/>
      <c r="P290" s="207"/>
      <c r="Q290" s="207"/>
      <c r="R290" s="207"/>
      <c r="S290" s="207"/>
      <c r="X290" s="207"/>
      <c r="Y290" s="207"/>
      <c r="AC290" s="207"/>
      <c r="AD290" s="207"/>
      <c r="AE290" s="207"/>
    </row>
    <row r="291" spans="3:31" ht="11.1" customHeight="1" x14ac:dyDescent="0.15">
      <c r="C291" s="207"/>
      <c r="D291" s="207"/>
      <c r="E291" s="207"/>
      <c r="F291" s="207"/>
      <c r="G291" s="207"/>
      <c r="H291" s="207"/>
      <c r="I291" s="207"/>
      <c r="J291" s="207"/>
      <c r="K291" s="207"/>
      <c r="M291" s="207"/>
      <c r="N291" s="207"/>
      <c r="O291" s="207"/>
      <c r="P291" s="207"/>
      <c r="Q291" s="207"/>
      <c r="R291" s="207"/>
      <c r="S291" s="207"/>
      <c r="X291" s="207"/>
      <c r="Y291" s="207"/>
      <c r="AC291" s="207"/>
      <c r="AD291" s="207"/>
      <c r="AE291" s="207"/>
    </row>
    <row r="292" spans="3:31" ht="11.1" customHeight="1" x14ac:dyDescent="0.15">
      <c r="C292" s="207"/>
      <c r="D292" s="207"/>
      <c r="E292" s="207"/>
      <c r="F292" s="207"/>
      <c r="G292" s="207"/>
      <c r="H292" s="207"/>
      <c r="I292" s="207"/>
      <c r="J292" s="207"/>
      <c r="K292" s="207"/>
      <c r="M292" s="207"/>
      <c r="N292" s="207"/>
      <c r="O292" s="207"/>
      <c r="P292" s="207"/>
      <c r="Q292" s="207"/>
      <c r="R292" s="207"/>
      <c r="S292" s="207"/>
      <c r="X292" s="207"/>
      <c r="Y292" s="207"/>
      <c r="AC292" s="207"/>
      <c r="AD292" s="207"/>
      <c r="AE292" s="207"/>
    </row>
    <row r="293" spans="3:31" ht="11.1" customHeight="1" x14ac:dyDescent="0.15">
      <c r="C293" s="207"/>
      <c r="D293" s="207"/>
      <c r="E293" s="207"/>
      <c r="F293" s="207"/>
      <c r="G293" s="207"/>
      <c r="H293" s="207"/>
      <c r="I293" s="207"/>
      <c r="J293" s="207"/>
      <c r="K293" s="207"/>
      <c r="M293" s="207"/>
      <c r="N293" s="207"/>
      <c r="O293" s="207"/>
      <c r="P293" s="207"/>
      <c r="Q293" s="207"/>
      <c r="R293" s="207"/>
      <c r="S293" s="207"/>
      <c r="X293" s="207"/>
      <c r="Y293" s="207"/>
      <c r="AC293" s="207"/>
      <c r="AD293" s="207"/>
      <c r="AE293" s="207"/>
    </row>
    <row r="294" spans="3:31" ht="11.1" customHeight="1" x14ac:dyDescent="0.15">
      <c r="C294" s="207"/>
      <c r="D294" s="207"/>
      <c r="E294" s="207"/>
      <c r="F294" s="207"/>
      <c r="G294" s="207"/>
      <c r="H294" s="207"/>
      <c r="I294" s="207"/>
      <c r="J294" s="207"/>
      <c r="K294" s="207"/>
      <c r="M294" s="207"/>
      <c r="N294" s="207"/>
      <c r="O294" s="207"/>
      <c r="P294" s="207"/>
      <c r="Q294" s="207"/>
      <c r="R294" s="207"/>
      <c r="S294" s="207"/>
      <c r="X294" s="207"/>
      <c r="Y294" s="207"/>
      <c r="AC294" s="207"/>
      <c r="AD294" s="207"/>
      <c r="AE294" s="207"/>
    </row>
    <row r="295" spans="3:31" ht="11.1" customHeight="1" x14ac:dyDescent="0.15">
      <c r="C295" s="207"/>
      <c r="D295" s="207"/>
      <c r="E295" s="207"/>
      <c r="F295" s="207"/>
      <c r="G295" s="207"/>
      <c r="H295" s="207"/>
      <c r="I295" s="207"/>
      <c r="J295" s="207"/>
      <c r="K295" s="207"/>
      <c r="M295" s="207"/>
      <c r="N295" s="207"/>
      <c r="O295" s="207"/>
      <c r="P295" s="207"/>
      <c r="Q295" s="207"/>
      <c r="R295" s="207"/>
      <c r="S295" s="207"/>
      <c r="X295" s="207"/>
      <c r="Y295" s="207"/>
      <c r="AC295" s="207"/>
      <c r="AD295" s="207"/>
      <c r="AE295" s="207"/>
    </row>
    <row r="296" spans="3:31" ht="11.1" customHeight="1" x14ac:dyDescent="0.15">
      <c r="C296" s="207"/>
      <c r="D296" s="207"/>
      <c r="E296" s="207"/>
      <c r="F296" s="207"/>
      <c r="G296" s="207"/>
      <c r="H296" s="207"/>
      <c r="I296" s="207"/>
      <c r="J296" s="207"/>
      <c r="K296" s="207"/>
      <c r="M296" s="207"/>
      <c r="N296" s="207"/>
      <c r="O296" s="207"/>
      <c r="P296" s="207"/>
      <c r="Q296" s="207"/>
      <c r="R296" s="207"/>
      <c r="S296" s="207"/>
      <c r="X296" s="207"/>
      <c r="Y296" s="207"/>
      <c r="AC296" s="207"/>
      <c r="AD296" s="207"/>
      <c r="AE296" s="207"/>
    </row>
    <row r="297" spans="3:31" ht="11.1" customHeight="1" x14ac:dyDescent="0.15">
      <c r="C297" s="207"/>
      <c r="D297" s="207"/>
      <c r="E297" s="207"/>
      <c r="F297" s="207"/>
      <c r="G297" s="207"/>
      <c r="H297" s="207"/>
      <c r="I297" s="207"/>
      <c r="J297" s="207"/>
      <c r="K297" s="207"/>
      <c r="M297" s="207"/>
      <c r="N297" s="207"/>
      <c r="O297" s="207"/>
      <c r="P297" s="207"/>
      <c r="Q297" s="207"/>
      <c r="R297" s="207"/>
      <c r="S297" s="207"/>
      <c r="X297" s="207"/>
      <c r="Y297" s="207"/>
      <c r="AC297" s="207"/>
      <c r="AD297" s="207"/>
      <c r="AE297" s="207"/>
    </row>
    <row r="298" spans="3:31" ht="11.1" customHeight="1" x14ac:dyDescent="0.15">
      <c r="C298" s="207"/>
      <c r="D298" s="207"/>
      <c r="E298" s="207"/>
      <c r="F298" s="207"/>
      <c r="G298" s="207"/>
      <c r="H298" s="207"/>
      <c r="I298" s="207"/>
      <c r="J298" s="207"/>
      <c r="K298" s="207"/>
      <c r="M298" s="207"/>
      <c r="N298" s="207"/>
      <c r="O298" s="207"/>
      <c r="P298" s="207"/>
      <c r="Q298" s="207"/>
      <c r="R298" s="207"/>
      <c r="S298" s="207"/>
      <c r="X298" s="207"/>
      <c r="Y298" s="207"/>
      <c r="AC298" s="207"/>
      <c r="AD298" s="207"/>
      <c r="AE298" s="207"/>
    </row>
    <row r="299" spans="3:31" ht="11.1" customHeight="1" x14ac:dyDescent="0.15">
      <c r="C299" s="207"/>
      <c r="D299" s="207"/>
      <c r="E299" s="207"/>
      <c r="F299" s="207"/>
      <c r="G299" s="207"/>
      <c r="H299" s="207"/>
      <c r="I299" s="207"/>
      <c r="J299" s="207"/>
      <c r="K299" s="207"/>
      <c r="M299" s="207"/>
      <c r="N299" s="207"/>
      <c r="O299" s="207"/>
      <c r="P299" s="207"/>
      <c r="Q299" s="207"/>
      <c r="R299" s="207"/>
      <c r="S299" s="207"/>
      <c r="X299" s="207"/>
      <c r="Y299" s="207"/>
      <c r="AC299" s="207"/>
      <c r="AD299" s="207"/>
      <c r="AE299" s="207"/>
    </row>
    <row r="301" spans="3:31" ht="11.1" customHeight="1" x14ac:dyDescent="0.15">
      <c r="C301" s="207"/>
      <c r="D301" s="207"/>
      <c r="E301" s="207"/>
      <c r="F301" s="207"/>
      <c r="G301" s="207"/>
      <c r="H301" s="207"/>
      <c r="I301" s="207"/>
      <c r="J301" s="207"/>
      <c r="K301" s="207"/>
      <c r="M301" s="207"/>
      <c r="N301" s="207"/>
      <c r="O301" s="207"/>
      <c r="P301" s="207"/>
      <c r="Q301" s="207"/>
      <c r="R301" s="207"/>
      <c r="S301" s="207"/>
      <c r="X301" s="207"/>
      <c r="Y301" s="207"/>
      <c r="AC301" s="207"/>
      <c r="AD301" s="207"/>
      <c r="AE301" s="207"/>
    </row>
    <row r="302" spans="3:31" ht="11.1" customHeight="1" x14ac:dyDescent="0.15">
      <c r="C302" s="207"/>
      <c r="D302" s="207"/>
      <c r="E302" s="207"/>
      <c r="F302" s="207"/>
      <c r="G302" s="207"/>
      <c r="H302" s="207"/>
      <c r="I302" s="207"/>
      <c r="J302" s="207"/>
      <c r="K302" s="207"/>
      <c r="M302" s="207"/>
      <c r="N302" s="207"/>
      <c r="O302" s="207"/>
      <c r="P302" s="207"/>
      <c r="Q302" s="207"/>
      <c r="R302" s="207"/>
      <c r="S302" s="207"/>
      <c r="X302" s="207"/>
      <c r="Y302" s="207"/>
      <c r="AC302" s="207"/>
      <c r="AD302" s="207"/>
      <c r="AE302" s="207"/>
    </row>
    <row r="303" spans="3:31" ht="11.1" customHeight="1" x14ac:dyDescent="0.15">
      <c r="C303" s="207"/>
      <c r="D303" s="207"/>
      <c r="E303" s="207"/>
      <c r="F303" s="207"/>
      <c r="G303" s="207"/>
      <c r="H303" s="207"/>
      <c r="I303" s="207"/>
      <c r="J303" s="207"/>
      <c r="K303" s="207"/>
      <c r="M303" s="207"/>
      <c r="N303" s="207"/>
      <c r="O303" s="207"/>
      <c r="P303" s="207"/>
      <c r="Q303" s="207"/>
      <c r="R303" s="207"/>
      <c r="S303" s="207"/>
      <c r="X303" s="207"/>
      <c r="Y303" s="207"/>
      <c r="AC303" s="207"/>
      <c r="AD303" s="207"/>
      <c r="AE303" s="207"/>
    </row>
    <row r="304" spans="3:31" ht="11.1" customHeight="1" x14ac:dyDescent="0.15">
      <c r="C304" s="207"/>
      <c r="D304" s="207"/>
      <c r="E304" s="207"/>
      <c r="F304" s="207"/>
      <c r="G304" s="207"/>
      <c r="H304" s="207"/>
      <c r="I304" s="207"/>
      <c r="J304" s="207"/>
      <c r="K304" s="207"/>
      <c r="M304" s="207"/>
      <c r="N304" s="207"/>
      <c r="O304" s="207"/>
      <c r="P304" s="207"/>
      <c r="Q304" s="207"/>
      <c r="R304" s="207"/>
      <c r="S304" s="207"/>
      <c r="X304" s="207"/>
      <c r="Y304" s="207"/>
      <c r="AC304" s="207"/>
      <c r="AD304" s="207"/>
      <c r="AE304" s="207"/>
    </row>
    <row r="305" spans="3:31" ht="11.1" customHeight="1" x14ac:dyDescent="0.15">
      <c r="C305" s="207"/>
      <c r="D305" s="207"/>
      <c r="E305" s="207"/>
      <c r="F305" s="207"/>
      <c r="G305" s="207"/>
      <c r="H305" s="207"/>
      <c r="I305" s="207"/>
      <c r="J305" s="207"/>
      <c r="K305" s="207"/>
      <c r="M305" s="207"/>
      <c r="N305" s="207"/>
      <c r="O305" s="207"/>
      <c r="P305" s="207"/>
      <c r="Q305" s="207"/>
      <c r="R305" s="207"/>
      <c r="S305" s="207"/>
      <c r="X305" s="207"/>
      <c r="Y305" s="207"/>
      <c r="AC305" s="207"/>
      <c r="AD305" s="207"/>
      <c r="AE305" s="207"/>
    </row>
    <row r="306" spans="3:31" ht="11.1" customHeight="1" x14ac:dyDescent="0.15">
      <c r="C306" s="207"/>
      <c r="D306" s="207"/>
      <c r="E306" s="207"/>
      <c r="F306" s="207"/>
      <c r="G306" s="207"/>
      <c r="H306" s="207"/>
      <c r="I306" s="207"/>
      <c r="J306" s="207"/>
      <c r="K306" s="207"/>
      <c r="M306" s="207"/>
      <c r="N306" s="207"/>
      <c r="O306" s="207"/>
      <c r="P306" s="207"/>
      <c r="Q306" s="207"/>
      <c r="R306" s="207"/>
      <c r="S306" s="207"/>
      <c r="X306" s="207"/>
      <c r="Y306" s="207"/>
      <c r="AC306" s="207"/>
      <c r="AD306" s="207"/>
      <c r="AE306" s="207"/>
    </row>
    <row r="307" spans="3:31" ht="11.1" customHeight="1" x14ac:dyDescent="0.15">
      <c r="C307" s="207"/>
      <c r="D307" s="207"/>
      <c r="E307" s="207"/>
      <c r="F307" s="207"/>
      <c r="G307" s="207"/>
      <c r="H307" s="207"/>
      <c r="I307" s="207"/>
      <c r="J307" s="207"/>
      <c r="K307" s="207"/>
      <c r="M307" s="207"/>
      <c r="N307" s="207"/>
      <c r="O307" s="207"/>
      <c r="P307" s="207"/>
      <c r="Q307" s="207"/>
      <c r="R307" s="207"/>
      <c r="S307" s="207"/>
      <c r="X307" s="207"/>
      <c r="Y307" s="207"/>
      <c r="AC307" s="207"/>
      <c r="AD307" s="207"/>
      <c r="AE307" s="207"/>
    </row>
    <row r="308" spans="3:31" ht="11.1" customHeight="1" x14ac:dyDescent="0.15">
      <c r="C308" s="207"/>
      <c r="D308" s="207"/>
      <c r="E308" s="207"/>
      <c r="F308" s="207"/>
      <c r="G308" s="207"/>
      <c r="H308" s="207"/>
      <c r="I308" s="207"/>
      <c r="J308" s="207"/>
      <c r="K308" s="207"/>
      <c r="M308" s="207"/>
      <c r="N308" s="207"/>
      <c r="O308" s="207"/>
      <c r="P308" s="207"/>
      <c r="Q308" s="207"/>
      <c r="R308" s="207"/>
      <c r="S308" s="207"/>
      <c r="X308" s="207"/>
      <c r="Y308" s="207"/>
      <c r="AC308" s="207"/>
      <c r="AD308" s="207"/>
      <c r="AE308" s="207"/>
    </row>
    <row r="309" spans="3:31" ht="11.1" customHeight="1" x14ac:dyDescent="0.15">
      <c r="C309" s="207"/>
      <c r="D309" s="207"/>
      <c r="E309" s="207"/>
      <c r="F309" s="207"/>
      <c r="G309" s="207"/>
      <c r="H309" s="207"/>
      <c r="I309" s="207"/>
      <c r="J309" s="207"/>
      <c r="K309" s="207"/>
      <c r="M309" s="207"/>
      <c r="N309" s="207"/>
      <c r="O309" s="207"/>
      <c r="P309" s="207"/>
      <c r="Q309" s="207"/>
      <c r="R309" s="207"/>
      <c r="S309" s="207"/>
      <c r="X309" s="207"/>
      <c r="Y309" s="207"/>
      <c r="AC309" s="207"/>
      <c r="AD309" s="207"/>
      <c r="AE309" s="207"/>
    </row>
    <row r="316" spans="3:31" ht="11.1" customHeight="1" x14ac:dyDescent="0.15">
      <c r="F316" s="197"/>
      <c r="G316" s="197"/>
      <c r="H316" s="197"/>
      <c r="I316" s="197"/>
      <c r="J316" s="207"/>
      <c r="K316" s="312"/>
      <c r="M316" s="207"/>
      <c r="N316" s="207"/>
      <c r="O316" s="207"/>
      <c r="P316" s="207"/>
      <c r="Q316" s="207"/>
      <c r="R316" s="207"/>
      <c r="S316" s="207"/>
      <c r="X316" s="207"/>
      <c r="Y316" s="207"/>
      <c r="AE316" s="207"/>
    </row>
    <row r="317" spans="3:31" ht="11.1" customHeight="1" x14ac:dyDescent="0.15">
      <c r="F317" s="197"/>
      <c r="G317" s="197"/>
      <c r="H317" s="197"/>
      <c r="I317" s="197"/>
      <c r="K317" s="313"/>
      <c r="M317" s="207"/>
      <c r="N317" s="207"/>
      <c r="O317" s="207"/>
      <c r="P317" s="207"/>
      <c r="Q317" s="207"/>
      <c r="R317" s="207"/>
      <c r="S317" s="207"/>
      <c r="X317" s="313"/>
      <c r="Y317" s="207"/>
      <c r="AC317" s="207"/>
      <c r="AE317" s="207"/>
    </row>
    <row r="318" spans="3:31" ht="11.1" customHeight="1" x14ac:dyDescent="0.15">
      <c r="F318" s="197"/>
      <c r="G318" s="197"/>
      <c r="H318" s="197"/>
      <c r="I318" s="197"/>
      <c r="K318" s="207"/>
      <c r="M318" s="207"/>
      <c r="N318" s="207"/>
      <c r="O318" s="207"/>
      <c r="P318" s="207"/>
      <c r="Q318" s="207"/>
      <c r="R318" s="207"/>
      <c r="S318" s="207"/>
      <c r="X318" s="207"/>
      <c r="Y318" s="207"/>
      <c r="AC318" s="207"/>
      <c r="AE318" s="207"/>
    </row>
    <row r="319" spans="3:31" ht="11.1" customHeight="1" x14ac:dyDescent="0.15">
      <c r="F319" s="197"/>
      <c r="G319" s="197"/>
      <c r="H319" s="197"/>
      <c r="I319" s="197"/>
      <c r="K319" s="207"/>
      <c r="M319" s="207"/>
      <c r="N319" s="207"/>
      <c r="O319" s="207"/>
      <c r="P319" s="207"/>
      <c r="Q319" s="207"/>
      <c r="R319" s="207"/>
      <c r="S319" s="207"/>
      <c r="X319" s="207"/>
      <c r="Y319" s="207"/>
      <c r="AC319" s="207"/>
      <c r="AE319" s="207"/>
    </row>
    <row r="320" spans="3:31" ht="11.1" customHeight="1" x14ac:dyDescent="0.15">
      <c r="F320" s="197"/>
      <c r="G320" s="197"/>
      <c r="H320" s="197"/>
      <c r="I320" s="197"/>
      <c r="K320" s="207"/>
      <c r="M320" s="207"/>
      <c r="N320" s="207"/>
      <c r="O320" s="207"/>
      <c r="P320" s="207"/>
      <c r="Q320" s="207"/>
      <c r="R320" s="207"/>
      <c r="S320" s="207"/>
      <c r="X320" s="207"/>
      <c r="Y320" s="207"/>
      <c r="AC320" s="207"/>
      <c r="AE320" s="207"/>
    </row>
    <row r="321" spans="3:31" ht="11.1" customHeight="1" x14ac:dyDescent="0.15">
      <c r="F321" s="197"/>
      <c r="G321" s="197"/>
      <c r="H321" s="197"/>
      <c r="I321" s="197"/>
      <c r="K321" s="207"/>
      <c r="M321" s="207"/>
      <c r="N321" s="207"/>
      <c r="O321" s="207"/>
      <c r="P321" s="207"/>
      <c r="Q321" s="207"/>
      <c r="R321" s="207"/>
      <c r="S321" s="207"/>
      <c r="X321" s="207"/>
      <c r="Y321" s="207"/>
      <c r="AC321" s="207"/>
      <c r="AE321" s="207"/>
    </row>
    <row r="322" spans="3:31" ht="11.1" customHeight="1" x14ac:dyDescent="0.15">
      <c r="F322" s="197"/>
      <c r="G322" s="197"/>
      <c r="H322" s="197"/>
      <c r="I322" s="197"/>
      <c r="K322" s="207"/>
      <c r="M322" s="207"/>
      <c r="N322" s="207"/>
      <c r="O322" s="207"/>
      <c r="P322" s="207"/>
      <c r="Q322" s="207"/>
      <c r="R322" s="207"/>
      <c r="S322" s="207"/>
      <c r="X322" s="207"/>
      <c r="Y322" s="207"/>
      <c r="AC322" s="207"/>
      <c r="AE322" s="207"/>
    </row>
    <row r="323" spans="3:31" ht="11.1" customHeight="1" x14ac:dyDescent="0.15">
      <c r="F323" s="197"/>
      <c r="G323" s="197"/>
      <c r="H323" s="197"/>
      <c r="I323" s="197"/>
      <c r="K323" s="207"/>
      <c r="M323" s="207"/>
      <c r="N323" s="207"/>
      <c r="O323" s="207"/>
      <c r="P323" s="207"/>
      <c r="Q323" s="207"/>
      <c r="R323" s="207"/>
      <c r="S323" s="207"/>
      <c r="X323" s="207"/>
      <c r="Z323" s="197"/>
      <c r="AA323" s="197"/>
      <c r="AB323" s="197"/>
    </row>
    <row r="324" spans="3:31" ht="11.1" customHeight="1" x14ac:dyDescent="0.15">
      <c r="F324" s="197"/>
      <c r="G324" s="197"/>
      <c r="H324" s="197"/>
      <c r="I324" s="197"/>
      <c r="K324" s="207"/>
      <c r="M324" s="207"/>
      <c r="N324" s="207"/>
      <c r="O324" s="207"/>
      <c r="P324" s="207"/>
      <c r="Q324" s="207"/>
      <c r="R324" s="207"/>
      <c r="S324" s="207"/>
      <c r="X324" s="207"/>
      <c r="Z324" s="197"/>
      <c r="AA324" s="197"/>
      <c r="AB324" s="197"/>
    </row>
    <row r="325" spans="3:31" ht="11.1" customHeight="1" x14ac:dyDescent="0.15">
      <c r="F325" s="197"/>
      <c r="G325" s="197"/>
      <c r="H325" s="197"/>
      <c r="I325" s="197"/>
      <c r="K325" s="207"/>
      <c r="M325" s="207"/>
      <c r="N325" s="207"/>
      <c r="O325" s="207"/>
      <c r="P325" s="207"/>
      <c r="Q325" s="207"/>
      <c r="R325" s="207"/>
      <c r="S325" s="207"/>
      <c r="X325" s="207"/>
      <c r="Z325" s="197"/>
      <c r="AA325" s="197"/>
      <c r="AB325" s="197"/>
    </row>
    <row r="326" spans="3:31" ht="11.1" customHeight="1" x14ac:dyDescent="0.15">
      <c r="F326" s="197"/>
      <c r="G326" s="197"/>
      <c r="H326" s="197"/>
      <c r="I326" s="197"/>
      <c r="K326" s="207"/>
      <c r="M326" s="207"/>
      <c r="N326" s="207"/>
      <c r="O326" s="207"/>
      <c r="P326" s="207"/>
      <c r="Q326" s="207"/>
      <c r="R326" s="207"/>
      <c r="S326" s="207"/>
      <c r="X326" s="207"/>
      <c r="Z326" s="197"/>
      <c r="AA326" s="197"/>
      <c r="AB326" s="197"/>
    </row>
    <row r="327" spans="3:31" ht="11.1" customHeight="1" x14ac:dyDescent="0.15">
      <c r="F327" s="197"/>
      <c r="G327" s="197"/>
      <c r="H327" s="197"/>
      <c r="I327" s="197"/>
      <c r="K327" s="207"/>
      <c r="M327" s="207"/>
      <c r="N327" s="207"/>
      <c r="O327" s="207"/>
      <c r="P327" s="207"/>
      <c r="Q327" s="207"/>
      <c r="R327" s="207"/>
      <c r="S327" s="207"/>
      <c r="X327" s="207"/>
      <c r="Z327" s="197"/>
      <c r="AA327" s="197"/>
      <c r="AB327" s="197"/>
    </row>
    <row r="328" spans="3:31" ht="11.1" customHeight="1" x14ac:dyDescent="0.15">
      <c r="C328" s="314"/>
      <c r="D328" s="314"/>
      <c r="E328" s="314"/>
      <c r="F328" s="197"/>
      <c r="G328" s="197"/>
      <c r="H328" s="197"/>
      <c r="I328" s="197"/>
      <c r="J328" s="207"/>
      <c r="K328" s="207"/>
      <c r="M328" s="207"/>
      <c r="N328" s="207"/>
      <c r="O328" s="207"/>
      <c r="P328" s="207"/>
      <c r="Q328" s="207"/>
      <c r="R328" s="207"/>
      <c r="S328" s="207"/>
      <c r="X328" s="207"/>
      <c r="Z328" s="197"/>
      <c r="AA328" s="197"/>
      <c r="AB328" s="197"/>
    </row>
    <row r="329" spans="3:31" ht="11.1" customHeight="1" x14ac:dyDescent="0.15">
      <c r="C329" s="314"/>
      <c r="D329" s="314"/>
      <c r="E329" s="314"/>
      <c r="F329" s="197"/>
      <c r="G329" s="197"/>
      <c r="H329" s="197"/>
      <c r="I329" s="197"/>
      <c r="J329" s="207"/>
      <c r="K329" s="207"/>
      <c r="M329" s="207"/>
      <c r="N329" s="207"/>
      <c r="O329" s="207"/>
      <c r="P329" s="207"/>
      <c r="Q329" s="207"/>
      <c r="R329" s="207"/>
      <c r="S329" s="207"/>
      <c r="X329" s="207"/>
      <c r="Z329" s="197"/>
      <c r="AA329" s="197"/>
      <c r="AB329" s="197"/>
    </row>
    <row r="330" spans="3:31" ht="11.1" customHeight="1" x14ac:dyDescent="0.15">
      <c r="C330" s="314"/>
      <c r="D330" s="314"/>
      <c r="E330" s="314"/>
      <c r="F330" s="197"/>
      <c r="G330" s="197"/>
      <c r="H330" s="197"/>
      <c r="I330" s="197"/>
      <c r="J330" s="207"/>
      <c r="K330" s="207"/>
      <c r="M330" s="207"/>
      <c r="N330" s="207"/>
      <c r="O330" s="207"/>
      <c r="P330" s="207"/>
      <c r="Q330" s="207"/>
      <c r="R330" s="207"/>
      <c r="S330" s="207"/>
      <c r="X330" s="207"/>
      <c r="Z330" s="197"/>
      <c r="AA330" s="197"/>
      <c r="AB330" s="197"/>
    </row>
  </sheetData>
  <mergeCells count="28">
    <mergeCell ref="F57:F61"/>
    <mergeCell ref="B57:B61"/>
    <mergeCell ref="C57:C61"/>
    <mergeCell ref="D57:D61"/>
    <mergeCell ref="T57:T61"/>
    <mergeCell ref="G57:G61"/>
    <mergeCell ref="H57:H61"/>
    <mergeCell ref="I57:I61"/>
    <mergeCell ref="J57:J61"/>
    <mergeCell ref="K57:K61"/>
    <mergeCell ref="M57:M61"/>
    <mergeCell ref="N57:N61"/>
    <mergeCell ref="O57:O61"/>
    <mergeCell ref="P57:P61"/>
    <mergeCell ref="Q57:Q61"/>
    <mergeCell ref="R57:R61"/>
    <mergeCell ref="AG57:AG61"/>
    <mergeCell ref="U57:U61"/>
    <mergeCell ref="V57:V61"/>
    <mergeCell ref="W57:W61"/>
    <mergeCell ref="X57:X61"/>
    <mergeCell ref="Y57:Y61"/>
    <mergeCell ref="AA57:AA61"/>
    <mergeCell ref="AB57:AB61"/>
    <mergeCell ref="AC57:AC61"/>
    <mergeCell ref="AD57:AD61"/>
    <mergeCell ref="AE57:AE61"/>
    <mergeCell ref="AF57:AF61"/>
  </mergeCells>
  <phoneticPr fontId="5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60"/>
  <sheetViews>
    <sheetView zoomScale="75" zoomScaleNormal="75" workbookViewId="0">
      <selection activeCell="K46" sqref="K46"/>
    </sheetView>
  </sheetViews>
  <sheetFormatPr defaultColWidth="4.625" defaultRowHeight="9.9499999999999993" customHeight="1" x14ac:dyDescent="0.15"/>
  <cols>
    <col min="1" max="1" width="2.875" style="1" customWidth="1"/>
    <col min="2" max="2" width="7.625" style="1" customWidth="1"/>
    <col min="3" max="34" width="5.875" style="1" customWidth="1"/>
    <col min="35" max="38" width="4" style="1" customWidth="1"/>
    <col min="39" max="16384" width="4.625" style="1"/>
  </cols>
  <sheetData>
    <row r="2" spans="2:11" ht="9.9499999999999993" customHeight="1" x14ac:dyDescent="0.15">
      <c r="B2" s="1" t="s">
        <v>336</v>
      </c>
    </row>
    <row r="4" spans="2:11" ht="9.9499999999999993" customHeight="1" x14ac:dyDescent="0.15">
      <c r="B4" s="1" t="s">
        <v>397</v>
      </c>
    </row>
    <row r="5" spans="2:11" ht="9.9499999999999993" customHeight="1" x14ac:dyDescent="0.15">
      <c r="B5" s="1" t="s">
        <v>337</v>
      </c>
    </row>
    <row r="6" spans="2:11" ht="9.9499999999999993" customHeight="1" x14ac:dyDescent="0.15">
      <c r="B6" s="1" t="s">
        <v>338</v>
      </c>
      <c r="J6" s="1" t="s">
        <v>344</v>
      </c>
    </row>
    <row r="7" spans="2:11" ht="9.9499999999999993" customHeight="1" x14ac:dyDescent="0.15">
      <c r="B7" s="1" t="s">
        <v>400</v>
      </c>
      <c r="J7" s="1" t="s">
        <v>339</v>
      </c>
      <c r="K7" s="1" t="s">
        <v>396</v>
      </c>
    </row>
    <row r="8" spans="2:11" ht="9.9499999999999993" customHeight="1" x14ac:dyDescent="0.15">
      <c r="K8" s="1" t="s">
        <v>398</v>
      </c>
    </row>
    <row r="9" spans="2:11" ht="9.9499999999999993" customHeight="1" x14ac:dyDescent="0.15">
      <c r="B9" s="1" t="s">
        <v>339</v>
      </c>
      <c r="D9" s="1" t="s">
        <v>401</v>
      </c>
      <c r="E9" s="1" t="s">
        <v>401</v>
      </c>
      <c r="F9" s="1" t="s">
        <v>402</v>
      </c>
      <c r="J9" s="1" t="s">
        <v>399</v>
      </c>
      <c r="K9" s="1" t="s">
        <v>345</v>
      </c>
    </row>
    <row r="10" spans="2:11" ht="9.9499999999999993" customHeight="1" x14ac:dyDescent="0.15">
      <c r="D10" s="1" t="s">
        <v>403</v>
      </c>
      <c r="E10" s="1" t="s">
        <v>404</v>
      </c>
      <c r="F10" s="1" t="s">
        <v>405</v>
      </c>
    </row>
    <row r="11" spans="2:11" ht="9.9499999999999993" customHeight="1" x14ac:dyDescent="0.15">
      <c r="B11" s="180" t="s">
        <v>406</v>
      </c>
      <c r="D11" s="1" t="s">
        <v>340</v>
      </c>
      <c r="E11" s="1" t="s">
        <v>340</v>
      </c>
      <c r="F11" s="1" t="s">
        <v>341</v>
      </c>
      <c r="J11" s="1" t="s">
        <v>346</v>
      </c>
    </row>
    <row r="12" spans="2:11" ht="9.9499999999999993" customHeight="1" x14ac:dyDescent="0.15">
      <c r="B12" s="180" t="s">
        <v>407</v>
      </c>
      <c r="D12" s="1">
        <v>4.3</v>
      </c>
      <c r="E12" s="1">
        <v>9.5</v>
      </c>
      <c r="F12" s="1" t="s">
        <v>341</v>
      </c>
      <c r="J12" s="1" t="s">
        <v>347</v>
      </c>
    </row>
    <row r="13" spans="2:11" ht="9.9499999999999993" customHeight="1" x14ac:dyDescent="0.15">
      <c r="B13" s="180" t="s">
        <v>408</v>
      </c>
      <c r="D13" s="1">
        <v>77.599999999999994</v>
      </c>
      <c r="E13" s="1">
        <v>31.7</v>
      </c>
      <c r="F13" s="1" t="s">
        <v>341</v>
      </c>
      <c r="J13" s="1" t="s">
        <v>348</v>
      </c>
    </row>
    <row r="14" spans="2:11" ht="9.9499999999999993" customHeight="1" x14ac:dyDescent="0.15">
      <c r="B14" s="180" t="s">
        <v>409</v>
      </c>
      <c r="D14" s="1">
        <v>81.900000000000006</v>
      </c>
      <c r="E14" s="1">
        <v>41.2</v>
      </c>
      <c r="F14" s="1" t="s">
        <v>342</v>
      </c>
      <c r="J14" s="1" t="s">
        <v>349</v>
      </c>
    </row>
    <row r="15" spans="2:11" ht="9.9499999999999993" customHeight="1" x14ac:dyDescent="0.15">
      <c r="B15" s="1" t="s">
        <v>343</v>
      </c>
      <c r="J15" s="1" t="s">
        <v>350</v>
      </c>
    </row>
    <row r="18" spans="2:14" ht="9.9499999999999993" customHeight="1" x14ac:dyDescent="0.15">
      <c r="B18" s="1" t="s">
        <v>360</v>
      </c>
      <c r="F18" s="1" t="s">
        <v>410</v>
      </c>
    </row>
    <row r="19" spans="2:14" ht="9.9499999999999993" customHeight="1" x14ac:dyDescent="0.15">
      <c r="B19" s="147" t="s">
        <v>291</v>
      </c>
      <c r="C19" s="149" t="s">
        <v>382</v>
      </c>
      <c r="D19" s="150"/>
      <c r="E19" s="150"/>
      <c r="F19" s="151"/>
      <c r="G19" s="149" t="s">
        <v>383</v>
      </c>
      <c r="H19" s="150"/>
      <c r="I19" s="150"/>
      <c r="J19" s="151"/>
    </row>
    <row r="20" spans="2:14" ht="9.9499999999999993" customHeight="1" x14ac:dyDescent="0.15">
      <c r="B20" s="148"/>
      <c r="C20" s="152" t="s">
        <v>384</v>
      </c>
      <c r="D20" s="152" t="s">
        <v>361</v>
      </c>
      <c r="E20" s="152" t="s">
        <v>362</v>
      </c>
      <c r="F20" s="152" t="s">
        <v>363</v>
      </c>
      <c r="G20" s="152" t="s">
        <v>384</v>
      </c>
      <c r="H20" s="152" t="s">
        <v>385</v>
      </c>
      <c r="I20" s="152" t="s">
        <v>386</v>
      </c>
      <c r="J20" s="152" t="s">
        <v>356</v>
      </c>
      <c r="L20" s="1" t="s">
        <v>438</v>
      </c>
    </row>
    <row r="21" spans="2:14" ht="9.9499999999999993" customHeight="1" x14ac:dyDescent="0.15">
      <c r="B21" s="145" t="s">
        <v>378</v>
      </c>
      <c r="C21" s="146">
        <v>26100</v>
      </c>
      <c r="D21" s="146">
        <v>11519</v>
      </c>
      <c r="E21" s="146">
        <v>6845</v>
      </c>
      <c r="F21" s="146">
        <v>7736</v>
      </c>
      <c r="G21" s="146">
        <v>30162</v>
      </c>
      <c r="H21" s="146">
        <v>24250</v>
      </c>
      <c r="I21" s="146">
        <v>5010</v>
      </c>
      <c r="J21" s="146">
        <v>902</v>
      </c>
      <c r="L21" s="70"/>
      <c r="M21" s="181">
        <v>43081</v>
      </c>
      <c r="N21" s="181">
        <v>43109</v>
      </c>
    </row>
    <row r="22" spans="2:14" ht="9.9499999999999993" customHeight="1" x14ac:dyDescent="0.15">
      <c r="B22" s="143" t="s">
        <v>379</v>
      </c>
      <c r="C22" s="144">
        <v>25436</v>
      </c>
      <c r="D22" s="144">
        <v>11788</v>
      </c>
      <c r="E22" s="144">
        <v>6537</v>
      </c>
      <c r="F22" s="144">
        <v>7111</v>
      </c>
      <c r="G22" s="144">
        <v>29857</v>
      </c>
      <c r="H22" s="144">
        <v>24934</v>
      </c>
      <c r="I22" s="144">
        <v>3968</v>
      </c>
      <c r="J22" s="144">
        <v>955</v>
      </c>
      <c r="L22" s="70" t="s">
        <v>432</v>
      </c>
      <c r="M22" s="70" t="s">
        <v>437</v>
      </c>
      <c r="N22" s="70" t="s">
        <v>437</v>
      </c>
    </row>
    <row r="23" spans="2:14" ht="9.9499999999999993" customHeight="1" x14ac:dyDescent="0.15">
      <c r="B23" s="143" t="s">
        <v>364</v>
      </c>
      <c r="C23" s="144">
        <v>26833</v>
      </c>
      <c r="D23" s="144">
        <v>11946</v>
      </c>
      <c r="E23" s="144">
        <v>7981</v>
      </c>
      <c r="F23" s="144">
        <v>6906</v>
      </c>
      <c r="G23" s="144">
        <v>30533</v>
      </c>
      <c r="H23" s="144">
        <v>22453</v>
      </c>
      <c r="I23" s="144">
        <v>7319</v>
      </c>
      <c r="J23" s="144">
        <v>761</v>
      </c>
      <c r="L23" s="70" t="s">
        <v>434</v>
      </c>
      <c r="M23" s="70">
        <v>4.3</v>
      </c>
      <c r="N23" s="70">
        <v>9.5</v>
      </c>
    </row>
    <row r="24" spans="2:14" ht="9.9499999999999993" customHeight="1" x14ac:dyDescent="0.15">
      <c r="B24" s="143" t="s">
        <v>365</v>
      </c>
      <c r="C24" s="144">
        <v>22152</v>
      </c>
      <c r="D24" s="144">
        <v>11965</v>
      </c>
      <c r="E24" s="144">
        <v>3304</v>
      </c>
      <c r="F24" s="144">
        <v>6883</v>
      </c>
      <c r="G24" s="144">
        <v>25423</v>
      </c>
      <c r="H24" s="144">
        <v>21724</v>
      </c>
      <c r="I24" s="144">
        <v>3095</v>
      </c>
      <c r="J24" s="144">
        <v>604</v>
      </c>
      <c r="L24" s="70" t="s">
        <v>435</v>
      </c>
      <c r="M24" s="70">
        <v>77.599999999999994</v>
      </c>
      <c r="N24" s="70">
        <v>31.7</v>
      </c>
    </row>
    <row r="25" spans="2:14" ht="9.9499999999999993" customHeight="1" x14ac:dyDescent="0.15">
      <c r="B25" s="143" t="s">
        <v>366</v>
      </c>
      <c r="C25" s="144">
        <v>22422</v>
      </c>
      <c r="D25" s="144">
        <v>12054</v>
      </c>
      <c r="E25" s="144">
        <v>3342</v>
      </c>
      <c r="F25" s="144">
        <v>7026</v>
      </c>
      <c r="G25" s="144">
        <v>25341</v>
      </c>
      <c r="H25" s="144">
        <v>21797</v>
      </c>
      <c r="I25" s="144">
        <v>2880</v>
      </c>
      <c r="J25" s="144">
        <v>664</v>
      </c>
      <c r="L25" s="70" t="s">
        <v>436</v>
      </c>
      <c r="M25" s="70">
        <v>81.900000000000006</v>
      </c>
      <c r="N25" s="70">
        <v>41.2</v>
      </c>
    </row>
    <row r="26" spans="2:14" ht="9.9499999999999993" customHeight="1" x14ac:dyDescent="0.15">
      <c r="B26" s="143" t="s">
        <v>367</v>
      </c>
      <c r="C26" s="144">
        <v>22411</v>
      </c>
      <c r="D26" s="144">
        <v>12086</v>
      </c>
      <c r="E26" s="144">
        <v>3155</v>
      </c>
      <c r="F26" s="144">
        <v>7170</v>
      </c>
      <c r="G26" s="144">
        <v>25486</v>
      </c>
      <c r="H26" s="144">
        <v>22013</v>
      </c>
      <c r="I26" s="144">
        <v>2820</v>
      </c>
      <c r="J26" s="144">
        <v>653</v>
      </c>
    </row>
    <row r="27" spans="2:14" ht="9.9499999999999993" customHeight="1" x14ac:dyDescent="0.15">
      <c r="B27" s="143" t="s">
        <v>368</v>
      </c>
      <c r="C27" s="144">
        <v>22554</v>
      </c>
      <c r="D27" s="144">
        <v>12006</v>
      </c>
      <c r="E27" s="144">
        <v>3372</v>
      </c>
      <c r="F27" s="144">
        <v>7176</v>
      </c>
      <c r="G27" s="144">
        <v>25337</v>
      </c>
      <c r="H27" s="144">
        <v>21835</v>
      </c>
      <c r="I27" s="144">
        <v>2837</v>
      </c>
      <c r="J27" s="144">
        <v>665</v>
      </c>
    </row>
    <row r="28" spans="2:14" ht="9.9499999999999993" customHeight="1" x14ac:dyDescent="0.15">
      <c r="B28" s="143" t="s">
        <v>369</v>
      </c>
      <c r="C28" s="144">
        <v>22621</v>
      </c>
      <c r="D28" s="144">
        <v>12154</v>
      </c>
      <c r="E28" s="144">
        <v>3360</v>
      </c>
      <c r="F28" s="144">
        <v>7107</v>
      </c>
      <c r="G28" s="144">
        <v>25181</v>
      </c>
      <c r="H28" s="144">
        <v>21606</v>
      </c>
      <c r="I28" s="144">
        <v>2929</v>
      </c>
      <c r="J28" s="144">
        <v>646</v>
      </c>
    </row>
    <row r="29" spans="2:14" ht="9.9499999999999993" customHeight="1" x14ac:dyDescent="0.15">
      <c r="B29" s="138" t="s">
        <v>428</v>
      </c>
    </row>
    <row r="30" spans="2:14" ht="9.9499999999999993" customHeight="1" x14ac:dyDescent="0.15">
      <c r="B30" s="138" t="s">
        <v>353</v>
      </c>
    </row>
    <row r="31" spans="2:14" ht="9.9499999999999993" customHeight="1" x14ac:dyDescent="0.15">
      <c r="B31" s="138" t="s">
        <v>387</v>
      </c>
    </row>
    <row r="32" spans="2:14" ht="9.9499999999999993" customHeight="1" x14ac:dyDescent="0.15">
      <c r="B32" s="138" t="s">
        <v>411</v>
      </c>
    </row>
    <row r="33" spans="2:8" ht="9.9499999999999993" customHeight="1" x14ac:dyDescent="0.15">
      <c r="B33" s="138" t="s">
        <v>417</v>
      </c>
    </row>
    <row r="35" spans="2:8" ht="9.9499999999999993" customHeight="1" x14ac:dyDescent="0.15">
      <c r="B35" s="1" t="s">
        <v>376</v>
      </c>
      <c r="F35" s="1" t="s">
        <v>412</v>
      </c>
    </row>
    <row r="36" spans="2:8" ht="9.9499999999999993" customHeight="1" x14ac:dyDescent="0.15">
      <c r="B36" s="147" t="s">
        <v>291</v>
      </c>
      <c r="C36" s="149" t="s">
        <v>354</v>
      </c>
      <c r="D36" s="150"/>
      <c r="E36" s="150"/>
      <c r="F36" s="151"/>
      <c r="G36" s="147" t="s">
        <v>372</v>
      </c>
      <c r="H36" s="147" t="s">
        <v>357</v>
      </c>
    </row>
    <row r="37" spans="2:8" ht="9.9499999999999993" customHeight="1" x14ac:dyDescent="0.15">
      <c r="B37" s="148"/>
      <c r="C37" s="152" t="s">
        <v>0</v>
      </c>
      <c r="D37" s="152" t="s">
        <v>388</v>
      </c>
      <c r="E37" s="152" t="s">
        <v>389</v>
      </c>
      <c r="F37" s="152" t="s">
        <v>358</v>
      </c>
      <c r="G37" s="148"/>
      <c r="H37" s="148"/>
    </row>
    <row r="38" spans="2:8" ht="9.9499999999999993" customHeight="1" x14ac:dyDescent="0.15">
      <c r="B38" s="145" t="s">
        <v>380</v>
      </c>
      <c r="C38" s="146">
        <v>29360</v>
      </c>
      <c r="D38" s="146">
        <v>26126</v>
      </c>
      <c r="E38" s="146" t="s">
        <v>390</v>
      </c>
      <c r="F38" s="146">
        <v>2553</v>
      </c>
      <c r="G38" s="146">
        <v>12308</v>
      </c>
      <c r="H38" s="146">
        <v>6193</v>
      </c>
    </row>
    <row r="39" spans="2:8" ht="9.9499999999999993" customHeight="1" x14ac:dyDescent="0.15">
      <c r="B39" s="143" t="s">
        <v>381</v>
      </c>
      <c r="C39" s="144">
        <v>30427</v>
      </c>
      <c r="D39" s="144">
        <v>25935</v>
      </c>
      <c r="E39" s="144" t="s">
        <v>391</v>
      </c>
      <c r="F39" s="144">
        <v>2607</v>
      </c>
      <c r="G39" s="144">
        <v>11328</v>
      </c>
      <c r="H39" s="144">
        <v>6807</v>
      </c>
    </row>
    <row r="40" spans="2:8" ht="9.9499999999999993" customHeight="1" x14ac:dyDescent="0.15">
      <c r="B40" s="143" t="s">
        <v>332</v>
      </c>
      <c r="C40" s="144">
        <v>27707</v>
      </c>
      <c r="D40" s="144">
        <v>25099</v>
      </c>
      <c r="E40" s="144">
        <v>107</v>
      </c>
      <c r="F40" s="144">
        <v>2501</v>
      </c>
      <c r="G40" s="144">
        <v>11248</v>
      </c>
      <c r="H40" s="144">
        <v>6898</v>
      </c>
    </row>
    <row r="41" spans="2:8" ht="9.9499999999999993" customHeight="1" x14ac:dyDescent="0.15">
      <c r="B41" s="143" t="s">
        <v>333</v>
      </c>
      <c r="C41" s="144">
        <v>27741</v>
      </c>
      <c r="D41" s="144">
        <v>25038</v>
      </c>
      <c r="E41" s="144">
        <v>118</v>
      </c>
      <c r="F41" s="144">
        <v>2585</v>
      </c>
      <c r="G41" s="144">
        <v>11147</v>
      </c>
      <c r="H41" s="144">
        <v>6479</v>
      </c>
    </row>
    <row r="42" spans="2:8" ht="9.9499999999999993" customHeight="1" x14ac:dyDescent="0.15">
      <c r="B42" s="143" t="s">
        <v>233</v>
      </c>
      <c r="C42" s="144">
        <v>26582</v>
      </c>
      <c r="D42" s="144">
        <v>24014</v>
      </c>
      <c r="E42" s="144">
        <v>120</v>
      </c>
      <c r="F42" s="144">
        <v>2448</v>
      </c>
      <c r="G42" s="144">
        <v>11589</v>
      </c>
      <c r="H42" s="144">
        <v>7278</v>
      </c>
    </row>
    <row r="43" spans="2:8" ht="9.9499999999999993" customHeight="1" x14ac:dyDescent="0.15">
      <c r="B43" s="143" t="s">
        <v>234</v>
      </c>
      <c r="C43" s="144">
        <v>25439</v>
      </c>
      <c r="D43" s="144">
        <v>22974</v>
      </c>
      <c r="E43" s="144">
        <v>113</v>
      </c>
      <c r="F43" s="144">
        <v>2352</v>
      </c>
      <c r="G43" s="144">
        <v>12892</v>
      </c>
      <c r="H43" s="144">
        <v>8214</v>
      </c>
    </row>
    <row r="44" spans="2:8" ht="9.9499999999999993" customHeight="1" x14ac:dyDescent="0.15">
      <c r="B44" s="143" t="s">
        <v>235</v>
      </c>
      <c r="C44" s="144">
        <v>24498</v>
      </c>
      <c r="D44" s="144">
        <v>22116</v>
      </c>
      <c r="E44" s="144">
        <v>98</v>
      </c>
      <c r="F44" s="144">
        <v>2284</v>
      </c>
      <c r="G44" s="144">
        <v>12175</v>
      </c>
      <c r="H44" s="144">
        <v>7639</v>
      </c>
    </row>
    <row r="45" spans="2:8" ht="9.9499999999999993" customHeight="1" x14ac:dyDescent="0.15">
      <c r="B45" s="143" t="s">
        <v>351</v>
      </c>
      <c r="C45" s="144">
        <v>23963</v>
      </c>
      <c r="D45" s="144">
        <v>21607</v>
      </c>
      <c r="E45" s="144">
        <v>110</v>
      </c>
      <c r="F45" s="144">
        <v>2246</v>
      </c>
      <c r="G45" s="144">
        <v>13073</v>
      </c>
      <c r="H45" s="144">
        <v>8261</v>
      </c>
    </row>
    <row r="46" spans="2:8" ht="9.9499999999999993" customHeight="1" x14ac:dyDescent="0.15">
      <c r="B46" s="138" t="s">
        <v>352</v>
      </c>
    </row>
    <row r="47" spans="2:8" ht="9.9499999999999993" customHeight="1" x14ac:dyDescent="0.15">
      <c r="B47" s="138" t="s">
        <v>413</v>
      </c>
    </row>
    <row r="48" spans="2:8" ht="9.9499999999999993" customHeight="1" x14ac:dyDescent="0.15">
      <c r="B48" s="138" t="s">
        <v>414</v>
      </c>
    </row>
    <row r="50" spans="2:14" ht="9.9499999999999993" customHeight="1" x14ac:dyDescent="0.15">
      <c r="B50" s="1" t="s">
        <v>377</v>
      </c>
    </row>
    <row r="51" spans="2:14" ht="9.9499999999999993" customHeight="1" x14ac:dyDescent="0.15">
      <c r="B51" s="1" t="s">
        <v>392</v>
      </c>
    </row>
    <row r="52" spans="2:14" ht="9.9499999999999993" customHeight="1" x14ac:dyDescent="0.15">
      <c r="B52" s="153" t="s">
        <v>393</v>
      </c>
      <c r="C52" s="56" t="s">
        <v>359</v>
      </c>
      <c r="D52" s="54"/>
      <c r="E52" s="56" t="s">
        <v>373</v>
      </c>
      <c r="F52" s="54"/>
      <c r="G52" s="56" t="s">
        <v>394</v>
      </c>
      <c r="H52" s="54"/>
      <c r="I52" s="56" t="s">
        <v>370</v>
      </c>
      <c r="J52" s="54"/>
      <c r="K52" s="56" t="s">
        <v>374</v>
      </c>
      <c r="L52" s="54"/>
      <c r="M52" s="56" t="s">
        <v>395</v>
      </c>
      <c r="N52" s="54"/>
    </row>
    <row r="53" spans="2:14" ht="9.9499999999999993" customHeight="1" x14ac:dyDescent="0.15">
      <c r="B53" s="54"/>
      <c r="C53" s="56" t="s">
        <v>359</v>
      </c>
      <c r="D53" s="56" t="s">
        <v>375</v>
      </c>
      <c r="E53" s="56" t="s">
        <v>359</v>
      </c>
      <c r="F53" s="56" t="s">
        <v>375</v>
      </c>
      <c r="G53" s="56" t="s">
        <v>359</v>
      </c>
      <c r="H53" s="56" t="s">
        <v>375</v>
      </c>
      <c r="I53" s="56" t="s">
        <v>359</v>
      </c>
      <c r="J53" s="56" t="s">
        <v>375</v>
      </c>
      <c r="K53" s="56" t="s">
        <v>359</v>
      </c>
      <c r="L53" s="56" t="s">
        <v>375</v>
      </c>
      <c r="M53" s="56" t="s">
        <v>359</v>
      </c>
      <c r="N53" s="56" t="s">
        <v>375</v>
      </c>
    </row>
    <row r="54" spans="2:14" ht="9.9499999999999993" customHeight="1" x14ac:dyDescent="0.15">
      <c r="B54" s="145" t="s">
        <v>415</v>
      </c>
      <c r="C54" s="56">
        <v>1139</v>
      </c>
      <c r="D54" s="56">
        <v>35</v>
      </c>
      <c r="E54" s="56">
        <v>1125</v>
      </c>
      <c r="F54" s="56">
        <v>33</v>
      </c>
      <c r="G54" s="56">
        <v>3</v>
      </c>
      <c r="H54" s="56" t="s">
        <v>371</v>
      </c>
      <c r="I54" s="56">
        <v>2</v>
      </c>
      <c r="J54" s="56" t="s">
        <v>371</v>
      </c>
      <c r="K54" s="56">
        <v>7</v>
      </c>
      <c r="L54" s="56">
        <v>2</v>
      </c>
      <c r="M54" s="56">
        <v>2</v>
      </c>
      <c r="N54" s="56" t="s">
        <v>371</v>
      </c>
    </row>
    <row r="55" spans="2:14" ht="9.9499999999999993" customHeight="1" x14ac:dyDescent="0.15">
      <c r="B55" s="143" t="s">
        <v>416</v>
      </c>
      <c r="C55" s="56">
        <v>1085</v>
      </c>
      <c r="D55" s="56">
        <v>46</v>
      </c>
      <c r="E55" s="56">
        <v>1064</v>
      </c>
      <c r="F55" s="56">
        <v>42</v>
      </c>
      <c r="G55" s="56">
        <v>7</v>
      </c>
      <c r="H55" s="56">
        <v>2</v>
      </c>
      <c r="I55" s="56">
        <v>1</v>
      </c>
      <c r="J55" s="56" t="s">
        <v>371</v>
      </c>
      <c r="K55" s="56">
        <v>7</v>
      </c>
      <c r="L55" s="56">
        <v>2</v>
      </c>
      <c r="M55" s="56">
        <v>6</v>
      </c>
      <c r="N55" s="56" t="s">
        <v>371</v>
      </c>
    </row>
    <row r="56" spans="2:14" ht="9.9499999999999993" customHeight="1" x14ac:dyDescent="0.15">
      <c r="B56" s="143" t="s">
        <v>233</v>
      </c>
      <c r="C56" s="56">
        <v>1083</v>
      </c>
      <c r="D56" s="56">
        <v>47</v>
      </c>
      <c r="E56" s="56">
        <v>1050</v>
      </c>
      <c r="F56" s="56">
        <v>40</v>
      </c>
      <c r="G56" s="56">
        <v>8</v>
      </c>
      <c r="H56" s="56">
        <v>3</v>
      </c>
      <c r="I56" s="56">
        <v>3</v>
      </c>
      <c r="J56" s="56" t="s">
        <v>371</v>
      </c>
      <c r="K56" s="56">
        <v>16</v>
      </c>
      <c r="L56" s="56">
        <v>4</v>
      </c>
      <c r="M56" s="56">
        <v>6</v>
      </c>
      <c r="N56" s="56" t="s">
        <v>371</v>
      </c>
    </row>
    <row r="57" spans="2:14" ht="9.9499999999999993" customHeight="1" x14ac:dyDescent="0.15">
      <c r="B57" s="143" t="s">
        <v>234</v>
      </c>
      <c r="C57" s="56">
        <v>1079</v>
      </c>
      <c r="D57" s="56">
        <v>29</v>
      </c>
      <c r="E57" s="56">
        <v>1050</v>
      </c>
      <c r="F57" s="56">
        <v>27</v>
      </c>
      <c r="G57" s="56">
        <v>6</v>
      </c>
      <c r="H57" s="56" t="s">
        <v>371</v>
      </c>
      <c r="I57" s="56">
        <v>3</v>
      </c>
      <c r="J57" s="56" t="s">
        <v>371</v>
      </c>
      <c r="K57" s="56">
        <v>12</v>
      </c>
      <c r="L57" s="56">
        <v>2</v>
      </c>
      <c r="M57" s="56">
        <v>8</v>
      </c>
      <c r="N57" s="56" t="s">
        <v>371</v>
      </c>
    </row>
    <row r="58" spans="2:14" ht="9.9499999999999993" customHeight="1" x14ac:dyDescent="0.15">
      <c r="B58" s="143" t="s">
        <v>235</v>
      </c>
      <c r="C58" s="56">
        <v>1178</v>
      </c>
      <c r="D58" s="56">
        <v>73</v>
      </c>
      <c r="E58" s="56">
        <v>1148</v>
      </c>
      <c r="F58" s="56">
        <v>63</v>
      </c>
      <c r="G58" s="56">
        <v>3</v>
      </c>
      <c r="H58" s="56" t="s">
        <v>371</v>
      </c>
      <c r="I58" s="56" t="s">
        <v>371</v>
      </c>
      <c r="J58" s="56" t="s">
        <v>371</v>
      </c>
      <c r="K58" s="56">
        <v>22</v>
      </c>
      <c r="L58" s="56">
        <v>10</v>
      </c>
      <c r="M58" s="56">
        <v>5</v>
      </c>
      <c r="N58" s="56" t="s">
        <v>371</v>
      </c>
    </row>
    <row r="59" spans="2:14" ht="9.9499999999999993" customHeight="1" x14ac:dyDescent="0.15">
      <c r="B59" s="143" t="s">
        <v>351</v>
      </c>
      <c r="C59" s="56">
        <v>1174</v>
      </c>
      <c r="D59" s="56">
        <v>63</v>
      </c>
      <c r="E59" s="56">
        <v>1154</v>
      </c>
      <c r="F59" s="56">
        <v>60</v>
      </c>
      <c r="G59" s="56">
        <v>2</v>
      </c>
      <c r="H59" s="56">
        <v>1</v>
      </c>
      <c r="I59" s="56">
        <v>2</v>
      </c>
      <c r="J59" s="56" t="s">
        <v>371</v>
      </c>
      <c r="K59" s="56">
        <v>13</v>
      </c>
      <c r="L59" s="56">
        <v>2</v>
      </c>
      <c r="M59" s="56">
        <v>3</v>
      </c>
      <c r="N59" s="56" t="s">
        <v>371</v>
      </c>
    </row>
    <row r="60" spans="2:14" ht="9.9499999999999993" customHeight="1" x14ac:dyDescent="0.15">
      <c r="B60" s="1" t="s">
        <v>355</v>
      </c>
    </row>
  </sheetData>
  <phoneticPr fontId="2"/>
  <pageMargins left="0.75" right="0.75" top="1" bottom="1" header="0" footer="0"/>
  <pageSetup paperSize="8" orientation="portrait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28"/>
  <sheetViews>
    <sheetView zoomScale="75" zoomScaleNormal="75" workbookViewId="0">
      <selection activeCell="AE36" sqref="AE36"/>
    </sheetView>
  </sheetViews>
  <sheetFormatPr defaultColWidth="5.75" defaultRowHeight="12" x14ac:dyDescent="0.15"/>
  <cols>
    <col min="1" max="1" width="4.625" style="16" customWidth="1"/>
    <col min="2" max="4" width="4.875" style="1" customWidth="1"/>
    <col min="5" max="6" width="4.625" style="1" customWidth="1"/>
    <col min="7" max="7" width="4.625" style="16" customWidth="1"/>
    <col min="8" max="10" width="4.875" style="1" customWidth="1"/>
    <col min="11" max="12" width="4.625" style="1" customWidth="1"/>
    <col min="13" max="13" width="4.625" style="16" customWidth="1"/>
    <col min="14" max="16" width="4.875" style="1" customWidth="1"/>
    <col min="17" max="18" width="4.625" style="1" customWidth="1"/>
    <col min="19" max="19" width="4.625" style="16" customWidth="1"/>
    <col min="20" max="22" width="4.875" style="1" customWidth="1"/>
    <col min="23" max="24" width="4.625" style="1" customWidth="1"/>
    <col min="25" max="25" width="4.625" style="16" customWidth="1"/>
    <col min="26" max="28" width="4.875" style="1" customWidth="1"/>
    <col min="29" max="30" width="4.625" style="1" customWidth="1"/>
    <col min="31" max="31" width="4.625" style="16" customWidth="1"/>
    <col min="32" max="34" width="4.875" style="1" customWidth="1"/>
    <col min="35" max="36" width="4.625" style="1" customWidth="1"/>
    <col min="37" max="37" width="4.625" style="16" customWidth="1"/>
    <col min="38" max="40" width="4.875" style="1" customWidth="1"/>
    <col min="41" max="42" width="4.625" style="1" customWidth="1"/>
    <col min="43" max="43" width="4.625" style="16" customWidth="1"/>
    <col min="44" max="46" width="4.875" style="1" customWidth="1"/>
    <col min="47" max="48" width="4.625" style="1" customWidth="1"/>
    <col min="49" max="49" width="4.625" style="16" customWidth="1"/>
    <col min="50" max="52" width="4.875" style="1" customWidth="1"/>
    <col min="53" max="54" width="4.625" style="1" customWidth="1"/>
    <col min="55" max="55" width="4.625" style="16" customWidth="1"/>
    <col min="56" max="58" width="4.875" style="1" customWidth="1"/>
    <col min="59" max="60" width="4.625" style="1" customWidth="1"/>
    <col min="61" max="61" width="4.625" style="16" customWidth="1"/>
    <col min="62" max="64" width="4.875" style="1" customWidth="1"/>
    <col min="65" max="66" width="4.625" style="1" customWidth="1"/>
    <col min="67" max="67" width="4.625" style="16" customWidth="1"/>
    <col min="68" max="70" width="4.875" style="1" customWidth="1"/>
    <col min="71" max="81" width="4.625" style="1" customWidth="1"/>
    <col min="82" max="16384" width="5.75" style="1"/>
  </cols>
  <sheetData>
    <row r="1" spans="1:72" ht="12" customHeight="1" x14ac:dyDescent="0.15">
      <c r="A1" s="49"/>
      <c r="G1" s="49"/>
      <c r="M1" s="49"/>
      <c r="S1" s="49"/>
      <c r="Y1" s="49"/>
      <c r="AE1" s="49"/>
      <c r="AK1" s="49"/>
      <c r="AQ1" s="49"/>
      <c r="AW1" s="49"/>
      <c r="BC1" s="49"/>
      <c r="BI1" s="49"/>
      <c r="BO1" s="49"/>
    </row>
    <row r="2" spans="1:72" ht="12" customHeight="1" x14ac:dyDescent="0.15">
      <c r="A2" s="49"/>
      <c r="B2" s="1" t="s">
        <v>131</v>
      </c>
      <c r="G2" s="49"/>
      <c r="H2" s="1" t="s">
        <v>131</v>
      </c>
      <c r="M2" s="49"/>
      <c r="N2" s="1" t="s">
        <v>131</v>
      </c>
      <c r="S2" s="49"/>
      <c r="T2" s="1" t="s">
        <v>131</v>
      </c>
      <c r="Y2" s="49"/>
      <c r="Z2" s="1" t="s">
        <v>131</v>
      </c>
      <c r="AE2" s="49"/>
      <c r="AF2" s="1" t="s">
        <v>131</v>
      </c>
      <c r="AK2" s="49"/>
      <c r="AL2" s="1" t="s">
        <v>131</v>
      </c>
      <c r="AQ2" s="49"/>
      <c r="AR2" s="1" t="s">
        <v>131</v>
      </c>
      <c r="AW2" s="49"/>
      <c r="AX2" s="1" t="s">
        <v>131</v>
      </c>
      <c r="BC2" s="49"/>
      <c r="BD2" s="1" t="s">
        <v>131</v>
      </c>
      <c r="BI2" s="49"/>
      <c r="BJ2" s="1" t="s">
        <v>131</v>
      </c>
      <c r="BO2" s="49"/>
      <c r="BP2" s="1" t="s">
        <v>131</v>
      </c>
    </row>
    <row r="3" spans="1:72" ht="12" customHeight="1" x14ac:dyDescent="0.15">
      <c r="A3" s="49"/>
      <c r="B3" s="1" t="s">
        <v>13</v>
      </c>
      <c r="G3" s="49"/>
      <c r="H3" s="1" t="s">
        <v>13</v>
      </c>
      <c r="M3" s="49"/>
      <c r="N3" s="1" t="s">
        <v>13</v>
      </c>
      <c r="S3" s="49"/>
      <c r="T3" s="1" t="s">
        <v>13</v>
      </c>
      <c r="Y3" s="49"/>
      <c r="Z3" s="1" t="s">
        <v>13</v>
      </c>
      <c r="AE3" s="49"/>
      <c r="AF3" s="1" t="s">
        <v>13</v>
      </c>
      <c r="AK3" s="49"/>
      <c r="AL3" s="1" t="s">
        <v>13</v>
      </c>
      <c r="AQ3" s="49"/>
      <c r="AR3" s="1" t="s">
        <v>13</v>
      </c>
      <c r="AW3" s="49"/>
      <c r="AX3" s="1" t="s">
        <v>13</v>
      </c>
      <c r="BC3" s="49"/>
      <c r="BD3" s="1" t="s">
        <v>13</v>
      </c>
      <c r="BI3" s="49"/>
      <c r="BJ3" s="1" t="s">
        <v>13</v>
      </c>
      <c r="BO3" s="49"/>
      <c r="BP3" s="1" t="s">
        <v>13</v>
      </c>
    </row>
    <row r="4" spans="1:72" ht="12" customHeight="1" x14ac:dyDescent="0.15">
      <c r="A4" s="49"/>
      <c r="G4" s="49"/>
      <c r="M4" s="49"/>
      <c r="S4" s="49"/>
      <c r="Y4" s="49"/>
      <c r="AE4" s="49"/>
      <c r="AK4" s="49"/>
      <c r="AQ4" s="49"/>
      <c r="AW4" s="49"/>
      <c r="BC4" s="49"/>
      <c r="BI4" s="49"/>
      <c r="BO4" s="49"/>
    </row>
    <row r="5" spans="1:72" ht="12" customHeight="1" x14ac:dyDescent="0.15">
      <c r="A5" s="49"/>
      <c r="B5" s="1" t="s">
        <v>153</v>
      </c>
      <c r="C5" s="10"/>
      <c r="D5" s="20"/>
      <c r="E5" s="10"/>
      <c r="F5" s="10"/>
      <c r="G5" s="49"/>
      <c r="H5" s="1" t="s">
        <v>153</v>
      </c>
      <c r="I5" s="10"/>
      <c r="J5" s="20"/>
      <c r="K5" s="10"/>
      <c r="L5" s="1" t="s">
        <v>152</v>
      </c>
      <c r="M5" s="49"/>
      <c r="N5" s="1" t="s">
        <v>153</v>
      </c>
      <c r="O5" s="10"/>
      <c r="P5" s="20"/>
      <c r="Q5" s="10"/>
      <c r="S5" s="49"/>
      <c r="T5" s="1" t="s">
        <v>153</v>
      </c>
      <c r="U5" s="10"/>
      <c r="V5" s="20"/>
      <c r="Y5" s="49"/>
      <c r="Z5" s="1" t="s">
        <v>153</v>
      </c>
      <c r="AA5" s="10"/>
      <c r="AB5" s="20"/>
      <c r="AE5" s="49"/>
      <c r="AF5" s="1" t="s">
        <v>153</v>
      </c>
      <c r="AG5" s="10"/>
      <c r="AH5" s="20"/>
      <c r="AK5" s="49"/>
      <c r="AL5" s="1" t="s">
        <v>153</v>
      </c>
      <c r="AM5" s="10"/>
      <c r="AN5" s="20"/>
      <c r="AQ5" s="49"/>
      <c r="AR5" s="1" t="s">
        <v>153</v>
      </c>
      <c r="AS5" s="10"/>
      <c r="AT5" s="20"/>
      <c r="AW5" s="49"/>
      <c r="AX5" s="1" t="s">
        <v>153</v>
      </c>
      <c r="AY5" s="10"/>
      <c r="AZ5" s="20"/>
      <c r="BC5" s="49"/>
      <c r="BD5" s="1" t="s">
        <v>153</v>
      </c>
      <c r="BE5" s="10"/>
      <c r="BF5" s="20"/>
      <c r="BI5" s="49"/>
      <c r="BJ5" s="1" t="s">
        <v>153</v>
      </c>
      <c r="BK5" s="10"/>
      <c r="BL5" s="20"/>
      <c r="BO5" s="49"/>
      <c r="BP5" s="1" t="s">
        <v>153</v>
      </c>
      <c r="BQ5" s="10"/>
      <c r="BR5" s="20"/>
    </row>
    <row r="6" spans="1:72" ht="12" customHeight="1" x14ac:dyDescent="0.15">
      <c r="A6" s="49" t="s">
        <v>132</v>
      </c>
      <c r="B6" s="21" t="s">
        <v>9</v>
      </c>
      <c r="C6" s="22" t="s">
        <v>11</v>
      </c>
      <c r="D6" s="23" t="s">
        <v>18</v>
      </c>
      <c r="G6" s="49" t="s">
        <v>132</v>
      </c>
      <c r="H6" s="21" t="s">
        <v>9</v>
      </c>
      <c r="I6" s="22" t="s">
        <v>11</v>
      </c>
      <c r="J6" s="23" t="s">
        <v>18</v>
      </c>
      <c r="M6" s="49" t="s">
        <v>132</v>
      </c>
      <c r="N6" s="21" t="s">
        <v>9</v>
      </c>
      <c r="O6" s="22" t="s">
        <v>11</v>
      </c>
      <c r="P6" s="23" t="s">
        <v>18</v>
      </c>
      <c r="S6" s="49" t="s">
        <v>132</v>
      </c>
      <c r="T6" s="21" t="s">
        <v>9</v>
      </c>
      <c r="U6" s="22" t="s">
        <v>11</v>
      </c>
      <c r="V6" s="23" t="s">
        <v>18</v>
      </c>
      <c r="Y6" s="49" t="s">
        <v>132</v>
      </c>
      <c r="Z6" s="21" t="s">
        <v>9</v>
      </c>
      <c r="AA6" s="22" t="s">
        <v>11</v>
      </c>
      <c r="AB6" s="23" t="s">
        <v>18</v>
      </c>
      <c r="AE6" s="49" t="s">
        <v>132</v>
      </c>
      <c r="AF6" s="21" t="s">
        <v>9</v>
      </c>
      <c r="AG6" s="22" t="s">
        <v>11</v>
      </c>
      <c r="AH6" s="23" t="s">
        <v>18</v>
      </c>
      <c r="AK6" s="49" t="s">
        <v>132</v>
      </c>
      <c r="AL6" s="21" t="s">
        <v>9</v>
      </c>
      <c r="AM6" s="22" t="s">
        <v>11</v>
      </c>
      <c r="AN6" s="23" t="s">
        <v>18</v>
      </c>
      <c r="AQ6" s="49" t="s">
        <v>132</v>
      </c>
      <c r="AR6" s="21" t="s">
        <v>9</v>
      </c>
      <c r="AS6" s="22" t="s">
        <v>11</v>
      </c>
      <c r="AT6" s="23" t="s">
        <v>18</v>
      </c>
      <c r="AW6" s="49" t="s">
        <v>132</v>
      </c>
      <c r="AX6" s="21" t="s">
        <v>9</v>
      </c>
      <c r="AY6" s="22" t="s">
        <v>11</v>
      </c>
      <c r="AZ6" s="23" t="s">
        <v>18</v>
      </c>
      <c r="BC6" s="49" t="s">
        <v>132</v>
      </c>
      <c r="BD6" s="21" t="s">
        <v>9</v>
      </c>
      <c r="BE6" s="22" t="s">
        <v>11</v>
      </c>
      <c r="BF6" s="23" t="s">
        <v>18</v>
      </c>
      <c r="BG6" s="24">
        <v>180</v>
      </c>
      <c r="BH6" s="29" t="s">
        <v>22</v>
      </c>
      <c r="BI6" s="49" t="s">
        <v>132</v>
      </c>
      <c r="BJ6" s="21" t="s">
        <v>9</v>
      </c>
      <c r="BK6" s="22" t="s">
        <v>11</v>
      </c>
      <c r="BL6" s="23" t="s">
        <v>18</v>
      </c>
      <c r="BM6" s="24">
        <v>210</v>
      </c>
      <c r="BN6" s="29" t="s">
        <v>65</v>
      </c>
      <c r="BO6" s="49" t="s">
        <v>132</v>
      </c>
      <c r="BP6" s="21" t="s">
        <v>9</v>
      </c>
      <c r="BQ6" s="22" t="s">
        <v>11</v>
      </c>
      <c r="BR6" s="23" t="s">
        <v>18</v>
      </c>
      <c r="BS6" s="24">
        <v>280</v>
      </c>
      <c r="BT6" s="29" t="s">
        <v>23</v>
      </c>
    </row>
    <row r="7" spans="1:72" ht="12" customHeight="1" x14ac:dyDescent="0.15">
      <c r="A7" s="49" t="s">
        <v>132</v>
      </c>
      <c r="B7" s="21" t="s">
        <v>9</v>
      </c>
      <c r="C7" s="22" t="s">
        <v>11</v>
      </c>
      <c r="D7" s="23" t="s">
        <v>19</v>
      </c>
      <c r="G7" s="49" t="s">
        <v>132</v>
      </c>
      <c r="H7" s="21" t="s">
        <v>9</v>
      </c>
      <c r="I7" s="22" t="s">
        <v>11</v>
      </c>
      <c r="J7" s="23" t="s">
        <v>19</v>
      </c>
      <c r="M7" s="49" t="s">
        <v>132</v>
      </c>
      <c r="N7" s="21" t="s">
        <v>9</v>
      </c>
      <c r="O7" s="22" t="s">
        <v>11</v>
      </c>
      <c r="P7" s="23" t="s">
        <v>19</v>
      </c>
      <c r="S7" s="49" t="s">
        <v>132</v>
      </c>
      <c r="T7" s="21" t="s">
        <v>9</v>
      </c>
      <c r="U7" s="22" t="s">
        <v>11</v>
      </c>
      <c r="V7" s="23" t="s">
        <v>19</v>
      </c>
      <c r="Y7" s="49" t="s">
        <v>132</v>
      </c>
      <c r="Z7" s="21" t="s">
        <v>9</v>
      </c>
      <c r="AA7" s="22" t="s">
        <v>11</v>
      </c>
      <c r="AB7" s="23" t="s">
        <v>19</v>
      </c>
      <c r="AE7" s="49" t="s">
        <v>132</v>
      </c>
      <c r="AF7" s="21" t="s">
        <v>9</v>
      </c>
      <c r="AG7" s="22" t="s">
        <v>11</v>
      </c>
      <c r="AH7" s="23" t="s">
        <v>19</v>
      </c>
      <c r="AK7" s="49" t="s">
        <v>132</v>
      </c>
      <c r="AL7" s="21" t="s">
        <v>9</v>
      </c>
      <c r="AM7" s="22" t="s">
        <v>11</v>
      </c>
      <c r="AN7" s="23" t="s">
        <v>19</v>
      </c>
      <c r="AQ7" s="49" t="s">
        <v>132</v>
      </c>
      <c r="AR7" s="21" t="s">
        <v>9</v>
      </c>
      <c r="AS7" s="22" t="s">
        <v>11</v>
      </c>
      <c r="AT7" s="23" t="s">
        <v>19</v>
      </c>
      <c r="AW7" s="49" t="s">
        <v>132</v>
      </c>
      <c r="AX7" s="21" t="s">
        <v>9</v>
      </c>
      <c r="AY7" s="22" t="s">
        <v>11</v>
      </c>
      <c r="AZ7" s="23" t="s">
        <v>19</v>
      </c>
      <c r="BC7" s="49" t="s">
        <v>132</v>
      </c>
      <c r="BD7" s="21" t="s">
        <v>9</v>
      </c>
      <c r="BE7" s="22" t="s">
        <v>11</v>
      </c>
      <c r="BF7" s="23" t="s">
        <v>19</v>
      </c>
      <c r="BG7" s="24">
        <v>260</v>
      </c>
      <c r="BH7" s="34" t="s">
        <v>22</v>
      </c>
      <c r="BI7" s="49" t="s">
        <v>132</v>
      </c>
      <c r="BJ7" s="21" t="s">
        <v>9</v>
      </c>
      <c r="BK7" s="22" t="s">
        <v>11</v>
      </c>
      <c r="BL7" s="23" t="s">
        <v>19</v>
      </c>
      <c r="BM7" s="24">
        <v>290</v>
      </c>
      <c r="BN7" s="34" t="s">
        <v>65</v>
      </c>
      <c r="BO7" s="49" t="s">
        <v>132</v>
      </c>
      <c r="BP7" s="21" t="s">
        <v>9</v>
      </c>
      <c r="BQ7" s="22" t="s">
        <v>11</v>
      </c>
      <c r="BR7" s="23" t="s">
        <v>19</v>
      </c>
      <c r="BS7" s="24">
        <v>380</v>
      </c>
      <c r="BT7" s="34" t="s">
        <v>23</v>
      </c>
    </row>
    <row r="8" spans="1:72" ht="12" customHeight="1" x14ac:dyDescent="0.15">
      <c r="A8" s="49" t="s">
        <v>132</v>
      </c>
      <c r="B8" s="21" t="s">
        <v>9</v>
      </c>
      <c r="C8" s="22" t="s">
        <v>11</v>
      </c>
      <c r="D8" s="23" t="s">
        <v>0</v>
      </c>
      <c r="G8" s="49" t="s">
        <v>132</v>
      </c>
      <c r="H8" s="21" t="s">
        <v>9</v>
      </c>
      <c r="I8" s="22" t="s">
        <v>11</v>
      </c>
      <c r="J8" s="23" t="s">
        <v>0</v>
      </c>
      <c r="M8" s="49" t="s">
        <v>132</v>
      </c>
      <c r="N8" s="21" t="s">
        <v>9</v>
      </c>
      <c r="O8" s="22" t="s">
        <v>11</v>
      </c>
      <c r="P8" s="23" t="s">
        <v>0</v>
      </c>
      <c r="S8" s="49" t="s">
        <v>132</v>
      </c>
      <c r="T8" s="21" t="s">
        <v>9</v>
      </c>
      <c r="U8" s="22" t="s">
        <v>11</v>
      </c>
      <c r="V8" s="23" t="s">
        <v>0</v>
      </c>
      <c r="Y8" s="49" t="s">
        <v>132</v>
      </c>
      <c r="Z8" s="21" t="s">
        <v>9</v>
      </c>
      <c r="AA8" s="22" t="s">
        <v>11</v>
      </c>
      <c r="AB8" s="23" t="s">
        <v>0</v>
      </c>
      <c r="AE8" s="49" t="s">
        <v>132</v>
      </c>
      <c r="AF8" s="21" t="s">
        <v>9</v>
      </c>
      <c r="AG8" s="22" t="s">
        <v>11</v>
      </c>
      <c r="AH8" s="23" t="s">
        <v>0</v>
      </c>
      <c r="AK8" s="49" t="s">
        <v>132</v>
      </c>
      <c r="AL8" s="21" t="s">
        <v>9</v>
      </c>
      <c r="AM8" s="22" t="s">
        <v>11</v>
      </c>
      <c r="AN8" s="23" t="s">
        <v>0</v>
      </c>
      <c r="AQ8" s="49" t="s">
        <v>132</v>
      </c>
      <c r="AR8" s="21" t="s">
        <v>9</v>
      </c>
      <c r="AS8" s="22" t="s">
        <v>11</v>
      </c>
      <c r="AT8" s="23" t="s">
        <v>0</v>
      </c>
      <c r="AW8" s="49" t="s">
        <v>132</v>
      </c>
      <c r="AX8" s="21" t="s">
        <v>9</v>
      </c>
      <c r="AY8" s="22" t="s">
        <v>11</v>
      </c>
      <c r="AZ8" s="23" t="s">
        <v>0</v>
      </c>
      <c r="BC8" s="49" t="s">
        <v>132</v>
      </c>
      <c r="BD8" s="21" t="s">
        <v>9</v>
      </c>
      <c r="BE8" s="22" t="s">
        <v>11</v>
      </c>
      <c r="BF8" s="23" t="s">
        <v>0</v>
      </c>
      <c r="BG8" s="24">
        <v>440</v>
      </c>
      <c r="BH8" s="35" t="s">
        <v>22</v>
      </c>
      <c r="BI8" s="49" t="s">
        <v>132</v>
      </c>
      <c r="BJ8" s="21" t="s">
        <v>9</v>
      </c>
      <c r="BK8" s="22" t="s">
        <v>11</v>
      </c>
      <c r="BL8" s="23" t="s">
        <v>0</v>
      </c>
      <c r="BM8" s="24">
        <v>500</v>
      </c>
      <c r="BN8" s="35" t="s">
        <v>65</v>
      </c>
      <c r="BO8" s="49" t="s">
        <v>132</v>
      </c>
      <c r="BP8" s="21" t="s">
        <v>9</v>
      </c>
      <c r="BQ8" s="22" t="s">
        <v>11</v>
      </c>
      <c r="BR8" s="23" t="s">
        <v>0</v>
      </c>
      <c r="BS8" s="24">
        <v>660</v>
      </c>
      <c r="BT8" s="35" t="s">
        <v>23</v>
      </c>
    </row>
    <row r="9" spans="1:72" ht="12" customHeight="1" x14ac:dyDescent="0.15">
      <c r="A9" s="49" t="s">
        <v>132</v>
      </c>
      <c r="B9" s="21" t="s">
        <v>9</v>
      </c>
      <c r="C9" s="22" t="s">
        <v>14</v>
      </c>
      <c r="D9" s="23" t="s">
        <v>18</v>
      </c>
      <c r="G9" s="49" t="s">
        <v>132</v>
      </c>
      <c r="H9" s="21" t="s">
        <v>9</v>
      </c>
      <c r="I9" s="22" t="s">
        <v>14</v>
      </c>
      <c r="J9" s="23" t="s">
        <v>18</v>
      </c>
      <c r="M9" s="49" t="s">
        <v>132</v>
      </c>
      <c r="N9" s="21" t="s">
        <v>9</v>
      </c>
      <c r="O9" s="22" t="s">
        <v>14</v>
      </c>
      <c r="P9" s="23" t="s">
        <v>18</v>
      </c>
      <c r="S9" s="49" t="s">
        <v>132</v>
      </c>
      <c r="T9" s="21" t="s">
        <v>9</v>
      </c>
      <c r="U9" s="22" t="s">
        <v>14</v>
      </c>
      <c r="V9" s="23" t="s">
        <v>18</v>
      </c>
      <c r="Y9" s="49" t="s">
        <v>132</v>
      </c>
      <c r="Z9" s="21" t="s">
        <v>9</v>
      </c>
      <c r="AA9" s="22" t="s">
        <v>14</v>
      </c>
      <c r="AB9" s="23" t="s">
        <v>18</v>
      </c>
      <c r="AE9" s="49" t="s">
        <v>132</v>
      </c>
      <c r="AF9" s="21" t="s">
        <v>9</v>
      </c>
      <c r="AG9" s="22" t="s">
        <v>14</v>
      </c>
      <c r="AH9" s="23" t="s">
        <v>18</v>
      </c>
      <c r="AK9" s="49" t="s">
        <v>132</v>
      </c>
      <c r="AL9" s="21" t="s">
        <v>9</v>
      </c>
      <c r="AM9" s="22" t="s">
        <v>14</v>
      </c>
      <c r="AN9" s="23" t="s">
        <v>18</v>
      </c>
      <c r="AQ9" s="49" t="s">
        <v>132</v>
      </c>
      <c r="AR9" s="21" t="s">
        <v>9</v>
      </c>
      <c r="AS9" s="22" t="s">
        <v>14</v>
      </c>
      <c r="AT9" s="23" t="s">
        <v>18</v>
      </c>
      <c r="AW9" s="49" t="s">
        <v>132</v>
      </c>
      <c r="AX9" s="21" t="s">
        <v>9</v>
      </c>
      <c r="AY9" s="22" t="s">
        <v>14</v>
      </c>
      <c r="AZ9" s="23" t="s">
        <v>18</v>
      </c>
      <c r="BC9" s="49" t="s">
        <v>132</v>
      </c>
      <c r="BD9" s="21" t="s">
        <v>9</v>
      </c>
      <c r="BE9" s="22" t="s">
        <v>14</v>
      </c>
      <c r="BF9" s="23" t="s">
        <v>18</v>
      </c>
      <c r="BG9" s="24">
        <v>110</v>
      </c>
      <c r="BH9" s="29" t="s">
        <v>22</v>
      </c>
      <c r="BI9" s="49" t="s">
        <v>132</v>
      </c>
      <c r="BJ9" s="21" t="s">
        <v>9</v>
      </c>
      <c r="BK9" s="22" t="s">
        <v>14</v>
      </c>
      <c r="BL9" s="23" t="s">
        <v>18</v>
      </c>
      <c r="BM9" s="23">
        <v>770</v>
      </c>
      <c r="BN9" s="29" t="s">
        <v>65</v>
      </c>
      <c r="BO9" s="49" t="s">
        <v>132</v>
      </c>
      <c r="BP9" s="21" t="s">
        <v>9</v>
      </c>
      <c r="BQ9" s="22" t="s">
        <v>14</v>
      </c>
      <c r="BR9" s="23" t="s">
        <v>18</v>
      </c>
      <c r="BS9" s="24">
        <v>630</v>
      </c>
      <c r="BT9" s="29" t="s">
        <v>23</v>
      </c>
    </row>
    <row r="10" spans="1:72" ht="12" customHeight="1" x14ac:dyDescent="0.15">
      <c r="A10" s="49" t="s">
        <v>132</v>
      </c>
      <c r="B10" s="21" t="s">
        <v>9</v>
      </c>
      <c r="C10" s="22" t="s">
        <v>14</v>
      </c>
      <c r="D10" s="23" t="s">
        <v>19</v>
      </c>
      <c r="G10" s="49" t="s">
        <v>132</v>
      </c>
      <c r="H10" s="21" t="s">
        <v>9</v>
      </c>
      <c r="I10" s="22" t="s">
        <v>14</v>
      </c>
      <c r="J10" s="23" t="s">
        <v>19</v>
      </c>
      <c r="M10" s="49" t="s">
        <v>132</v>
      </c>
      <c r="N10" s="21" t="s">
        <v>9</v>
      </c>
      <c r="O10" s="22" t="s">
        <v>14</v>
      </c>
      <c r="P10" s="23" t="s">
        <v>19</v>
      </c>
      <c r="S10" s="49" t="s">
        <v>132</v>
      </c>
      <c r="T10" s="21" t="s">
        <v>9</v>
      </c>
      <c r="U10" s="22" t="s">
        <v>14</v>
      </c>
      <c r="V10" s="23" t="s">
        <v>19</v>
      </c>
      <c r="Y10" s="49" t="s">
        <v>132</v>
      </c>
      <c r="Z10" s="21" t="s">
        <v>9</v>
      </c>
      <c r="AA10" s="22" t="s">
        <v>14</v>
      </c>
      <c r="AB10" s="23" t="s">
        <v>19</v>
      </c>
      <c r="AE10" s="49" t="s">
        <v>132</v>
      </c>
      <c r="AF10" s="21" t="s">
        <v>9</v>
      </c>
      <c r="AG10" s="22" t="s">
        <v>14</v>
      </c>
      <c r="AH10" s="23" t="s">
        <v>19</v>
      </c>
      <c r="AK10" s="49" t="s">
        <v>132</v>
      </c>
      <c r="AL10" s="21" t="s">
        <v>9</v>
      </c>
      <c r="AM10" s="22" t="s">
        <v>14</v>
      </c>
      <c r="AN10" s="23" t="s">
        <v>19</v>
      </c>
      <c r="AQ10" s="49" t="s">
        <v>132</v>
      </c>
      <c r="AR10" s="21" t="s">
        <v>9</v>
      </c>
      <c r="AS10" s="22" t="s">
        <v>14</v>
      </c>
      <c r="AT10" s="23" t="s">
        <v>19</v>
      </c>
      <c r="AW10" s="49" t="s">
        <v>132</v>
      </c>
      <c r="AX10" s="21" t="s">
        <v>9</v>
      </c>
      <c r="AY10" s="22" t="s">
        <v>14</v>
      </c>
      <c r="AZ10" s="23" t="s">
        <v>19</v>
      </c>
      <c r="BC10" s="49" t="s">
        <v>132</v>
      </c>
      <c r="BD10" s="21" t="s">
        <v>9</v>
      </c>
      <c r="BE10" s="22" t="s">
        <v>14</v>
      </c>
      <c r="BF10" s="23" t="s">
        <v>19</v>
      </c>
      <c r="BG10" s="24">
        <v>140</v>
      </c>
      <c r="BH10" s="34" t="s">
        <v>22</v>
      </c>
      <c r="BI10" s="49" t="s">
        <v>132</v>
      </c>
      <c r="BJ10" s="21" t="s">
        <v>9</v>
      </c>
      <c r="BK10" s="22" t="s">
        <v>14</v>
      </c>
      <c r="BL10" s="23" t="s">
        <v>19</v>
      </c>
      <c r="BM10" s="25">
        <v>1100</v>
      </c>
      <c r="BN10" s="34" t="s">
        <v>65</v>
      </c>
      <c r="BO10" s="49" t="s">
        <v>132</v>
      </c>
      <c r="BP10" s="21" t="s">
        <v>9</v>
      </c>
      <c r="BQ10" s="22" t="s">
        <v>14</v>
      </c>
      <c r="BR10" s="23" t="s">
        <v>19</v>
      </c>
      <c r="BS10" s="24">
        <v>840</v>
      </c>
      <c r="BT10" s="34" t="s">
        <v>23</v>
      </c>
    </row>
    <row r="11" spans="1:72" ht="12" customHeight="1" x14ac:dyDescent="0.15">
      <c r="A11" s="49" t="s">
        <v>132</v>
      </c>
      <c r="B11" s="21" t="s">
        <v>9</v>
      </c>
      <c r="C11" s="22" t="s">
        <v>14</v>
      </c>
      <c r="D11" s="23" t="s">
        <v>0</v>
      </c>
      <c r="G11" s="49" t="s">
        <v>132</v>
      </c>
      <c r="H11" s="21" t="s">
        <v>9</v>
      </c>
      <c r="I11" s="22" t="s">
        <v>14</v>
      </c>
      <c r="J11" s="23" t="s">
        <v>0</v>
      </c>
      <c r="M11" s="49" t="s">
        <v>132</v>
      </c>
      <c r="N11" s="21" t="s">
        <v>9</v>
      </c>
      <c r="O11" s="22" t="s">
        <v>14</v>
      </c>
      <c r="P11" s="23" t="s">
        <v>0</v>
      </c>
      <c r="Q11" s="1">
        <v>6</v>
      </c>
      <c r="S11" s="49" t="s">
        <v>132</v>
      </c>
      <c r="T11" s="21" t="s">
        <v>9</v>
      </c>
      <c r="U11" s="22" t="s">
        <v>14</v>
      </c>
      <c r="V11" s="23" t="s">
        <v>0</v>
      </c>
      <c r="Y11" s="49" t="s">
        <v>132</v>
      </c>
      <c r="Z11" s="21" t="s">
        <v>9</v>
      </c>
      <c r="AA11" s="22" t="s">
        <v>14</v>
      </c>
      <c r="AB11" s="23" t="s">
        <v>0</v>
      </c>
      <c r="AE11" s="49" t="s">
        <v>132</v>
      </c>
      <c r="AF11" s="21" t="s">
        <v>9</v>
      </c>
      <c r="AG11" s="22" t="s">
        <v>14</v>
      </c>
      <c r="AH11" s="23" t="s">
        <v>0</v>
      </c>
      <c r="AK11" s="49" t="s">
        <v>132</v>
      </c>
      <c r="AL11" s="21" t="s">
        <v>9</v>
      </c>
      <c r="AM11" s="22" t="s">
        <v>14</v>
      </c>
      <c r="AN11" s="23" t="s">
        <v>0</v>
      </c>
      <c r="AQ11" s="49" t="s">
        <v>132</v>
      </c>
      <c r="AR11" s="21" t="s">
        <v>9</v>
      </c>
      <c r="AS11" s="22" t="s">
        <v>14</v>
      </c>
      <c r="AT11" s="23" t="s">
        <v>0</v>
      </c>
      <c r="AW11" s="49" t="s">
        <v>132</v>
      </c>
      <c r="AX11" s="21" t="s">
        <v>9</v>
      </c>
      <c r="AY11" s="22" t="s">
        <v>14</v>
      </c>
      <c r="AZ11" s="23" t="s">
        <v>0</v>
      </c>
      <c r="BC11" s="49" t="s">
        <v>132</v>
      </c>
      <c r="BD11" s="21" t="s">
        <v>9</v>
      </c>
      <c r="BE11" s="22" t="s">
        <v>14</v>
      </c>
      <c r="BF11" s="23" t="s">
        <v>0</v>
      </c>
      <c r="BG11" s="24">
        <v>250</v>
      </c>
      <c r="BH11" s="35" t="s">
        <v>22</v>
      </c>
      <c r="BI11" s="49" t="s">
        <v>132</v>
      </c>
      <c r="BJ11" s="21" t="s">
        <v>9</v>
      </c>
      <c r="BK11" s="22" t="s">
        <v>14</v>
      </c>
      <c r="BL11" s="23" t="s">
        <v>0</v>
      </c>
      <c r="BM11" s="25">
        <v>1870</v>
      </c>
      <c r="BN11" s="35" t="s">
        <v>65</v>
      </c>
      <c r="BO11" s="49" t="s">
        <v>132</v>
      </c>
      <c r="BP11" s="21" t="s">
        <v>9</v>
      </c>
      <c r="BQ11" s="22" t="s">
        <v>14</v>
      </c>
      <c r="BR11" s="23" t="s">
        <v>0</v>
      </c>
      <c r="BS11" s="25">
        <v>1470</v>
      </c>
      <c r="BT11" s="35" t="s">
        <v>23</v>
      </c>
    </row>
    <row r="12" spans="1:72" ht="12" customHeight="1" x14ac:dyDescent="0.15">
      <c r="A12" s="49" t="s">
        <v>132</v>
      </c>
      <c r="B12" s="3" t="s">
        <v>21</v>
      </c>
      <c r="C12" s="11" t="s">
        <v>8</v>
      </c>
      <c r="D12" s="2" t="s">
        <v>18</v>
      </c>
      <c r="G12" s="49" t="s">
        <v>132</v>
      </c>
      <c r="H12" s="3" t="s">
        <v>21</v>
      </c>
      <c r="I12" s="11" t="s">
        <v>8</v>
      </c>
      <c r="J12" s="2" t="s">
        <v>18</v>
      </c>
      <c r="M12" s="49" t="s">
        <v>132</v>
      </c>
      <c r="N12" s="3" t="s">
        <v>21</v>
      </c>
      <c r="O12" s="11" t="s">
        <v>8</v>
      </c>
      <c r="P12" s="2" t="s">
        <v>18</v>
      </c>
      <c r="S12" s="49" t="s">
        <v>132</v>
      </c>
      <c r="T12" s="3" t="s">
        <v>21</v>
      </c>
      <c r="U12" s="11" t="s">
        <v>8</v>
      </c>
      <c r="V12" s="2" t="s">
        <v>18</v>
      </c>
      <c r="Y12" s="49" t="s">
        <v>132</v>
      </c>
      <c r="Z12" s="3" t="s">
        <v>21</v>
      </c>
      <c r="AA12" s="11" t="s">
        <v>8</v>
      </c>
      <c r="AB12" s="2" t="s">
        <v>18</v>
      </c>
      <c r="AE12" s="49" t="s">
        <v>132</v>
      </c>
      <c r="AF12" s="3" t="s">
        <v>21</v>
      </c>
      <c r="AG12" s="11" t="s">
        <v>8</v>
      </c>
      <c r="AH12" s="2" t="s">
        <v>18</v>
      </c>
      <c r="AK12" s="49" t="s">
        <v>132</v>
      </c>
      <c r="AL12" s="3" t="s">
        <v>21</v>
      </c>
      <c r="AM12" s="11" t="s">
        <v>8</v>
      </c>
      <c r="AN12" s="2" t="s">
        <v>18</v>
      </c>
      <c r="AQ12" s="49" t="s">
        <v>132</v>
      </c>
      <c r="AR12" s="3" t="s">
        <v>21</v>
      </c>
      <c r="AS12" s="11" t="s">
        <v>8</v>
      </c>
      <c r="AT12" s="2" t="s">
        <v>18</v>
      </c>
      <c r="AW12" s="49" t="s">
        <v>132</v>
      </c>
      <c r="AX12" s="3" t="s">
        <v>21</v>
      </c>
      <c r="AY12" s="11" t="s">
        <v>8</v>
      </c>
      <c r="AZ12" s="2" t="s">
        <v>18</v>
      </c>
      <c r="BC12" s="49" t="s">
        <v>132</v>
      </c>
      <c r="BD12" s="3" t="s">
        <v>21</v>
      </c>
      <c r="BE12" s="11" t="s">
        <v>8</v>
      </c>
      <c r="BF12" s="2" t="s">
        <v>18</v>
      </c>
      <c r="BG12" s="2" t="s">
        <v>130</v>
      </c>
      <c r="BH12" s="30" t="s">
        <v>22</v>
      </c>
      <c r="BI12" s="49" t="s">
        <v>132</v>
      </c>
      <c r="BJ12" s="3" t="s">
        <v>21</v>
      </c>
      <c r="BK12" s="11" t="s">
        <v>8</v>
      </c>
      <c r="BL12" s="2" t="s">
        <v>18</v>
      </c>
      <c r="BM12" s="2" t="s">
        <v>130</v>
      </c>
      <c r="BN12" s="30" t="s">
        <v>116</v>
      </c>
      <c r="BO12" s="49" t="s">
        <v>132</v>
      </c>
      <c r="BP12" s="3" t="s">
        <v>21</v>
      </c>
      <c r="BQ12" s="11" t="s">
        <v>8</v>
      </c>
      <c r="BR12" s="2" t="s">
        <v>18</v>
      </c>
      <c r="BS12" s="2" t="s">
        <v>130</v>
      </c>
      <c r="BT12" s="30" t="s">
        <v>23</v>
      </c>
    </row>
    <row r="13" spans="1:72" ht="12" customHeight="1" x14ac:dyDescent="0.15">
      <c r="A13" s="49" t="s">
        <v>132</v>
      </c>
      <c r="B13" s="3" t="s">
        <v>21</v>
      </c>
      <c r="C13" s="11" t="s">
        <v>8</v>
      </c>
      <c r="D13" s="2" t="s">
        <v>19</v>
      </c>
      <c r="G13" s="49" t="s">
        <v>132</v>
      </c>
      <c r="H13" s="3" t="s">
        <v>21</v>
      </c>
      <c r="I13" s="11" t="s">
        <v>8</v>
      </c>
      <c r="J13" s="2" t="s">
        <v>19</v>
      </c>
      <c r="M13" s="49" t="s">
        <v>132</v>
      </c>
      <c r="N13" s="3" t="s">
        <v>21</v>
      </c>
      <c r="O13" s="11" t="s">
        <v>8</v>
      </c>
      <c r="P13" s="2" t="s">
        <v>19</v>
      </c>
      <c r="S13" s="49" t="s">
        <v>132</v>
      </c>
      <c r="T13" s="3" t="s">
        <v>21</v>
      </c>
      <c r="U13" s="11" t="s">
        <v>8</v>
      </c>
      <c r="V13" s="2" t="s">
        <v>19</v>
      </c>
      <c r="Y13" s="49" t="s">
        <v>132</v>
      </c>
      <c r="Z13" s="3" t="s">
        <v>21</v>
      </c>
      <c r="AA13" s="11" t="s">
        <v>8</v>
      </c>
      <c r="AB13" s="2" t="s">
        <v>19</v>
      </c>
      <c r="AE13" s="49" t="s">
        <v>132</v>
      </c>
      <c r="AF13" s="3" t="s">
        <v>21</v>
      </c>
      <c r="AG13" s="11" t="s">
        <v>8</v>
      </c>
      <c r="AH13" s="2" t="s">
        <v>19</v>
      </c>
      <c r="AK13" s="49" t="s">
        <v>132</v>
      </c>
      <c r="AL13" s="3" t="s">
        <v>21</v>
      </c>
      <c r="AM13" s="11" t="s">
        <v>8</v>
      </c>
      <c r="AN13" s="2" t="s">
        <v>19</v>
      </c>
      <c r="AQ13" s="49" t="s">
        <v>132</v>
      </c>
      <c r="AR13" s="3" t="s">
        <v>21</v>
      </c>
      <c r="AS13" s="11" t="s">
        <v>8</v>
      </c>
      <c r="AT13" s="2" t="s">
        <v>19</v>
      </c>
      <c r="AW13" s="49" t="s">
        <v>132</v>
      </c>
      <c r="AX13" s="3" t="s">
        <v>21</v>
      </c>
      <c r="AY13" s="11" t="s">
        <v>8</v>
      </c>
      <c r="AZ13" s="2" t="s">
        <v>19</v>
      </c>
      <c r="BC13" s="49" t="s">
        <v>132</v>
      </c>
      <c r="BD13" s="3" t="s">
        <v>21</v>
      </c>
      <c r="BE13" s="11" t="s">
        <v>8</v>
      </c>
      <c r="BF13" s="2" t="s">
        <v>19</v>
      </c>
      <c r="BG13" s="2" t="s">
        <v>130</v>
      </c>
      <c r="BH13" s="34" t="s">
        <v>22</v>
      </c>
      <c r="BI13" s="49" t="s">
        <v>132</v>
      </c>
      <c r="BJ13" s="3" t="s">
        <v>21</v>
      </c>
      <c r="BK13" s="11" t="s">
        <v>8</v>
      </c>
      <c r="BL13" s="2" t="s">
        <v>19</v>
      </c>
      <c r="BM13" s="2" t="s">
        <v>130</v>
      </c>
      <c r="BN13" s="34" t="s">
        <v>116</v>
      </c>
      <c r="BO13" s="49" t="s">
        <v>132</v>
      </c>
      <c r="BP13" s="3" t="s">
        <v>21</v>
      </c>
      <c r="BQ13" s="11" t="s">
        <v>8</v>
      </c>
      <c r="BR13" s="2" t="s">
        <v>19</v>
      </c>
      <c r="BS13" s="2" t="s">
        <v>130</v>
      </c>
      <c r="BT13" s="34" t="s">
        <v>23</v>
      </c>
    </row>
    <row r="14" spans="1:72" ht="12" customHeight="1" x14ac:dyDescent="0.15">
      <c r="A14" s="49" t="s">
        <v>132</v>
      </c>
      <c r="B14" s="3" t="s">
        <v>21</v>
      </c>
      <c r="C14" s="11" t="s">
        <v>8</v>
      </c>
      <c r="D14" s="2" t="s">
        <v>0</v>
      </c>
      <c r="G14" s="49" t="s">
        <v>132</v>
      </c>
      <c r="H14" s="3" t="s">
        <v>21</v>
      </c>
      <c r="I14" s="11" t="s">
        <v>8</v>
      </c>
      <c r="J14" s="2" t="s">
        <v>0</v>
      </c>
      <c r="M14" s="49" t="s">
        <v>132</v>
      </c>
      <c r="N14" s="3" t="s">
        <v>21</v>
      </c>
      <c r="O14" s="11" t="s">
        <v>8</v>
      </c>
      <c r="P14" s="2" t="s">
        <v>0</v>
      </c>
      <c r="S14" s="49" t="s">
        <v>132</v>
      </c>
      <c r="T14" s="3" t="s">
        <v>21</v>
      </c>
      <c r="U14" s="11" t="s">
        <v>8</v>
      </c>
      <c r="V14" s="2" t="s">
        <v>0</v>
      </c>
      <c r="Y14" s="49" t="s">
        <v>132</v>
      </c>
      <c r="Z14" s="3" t="s">
        <v>21</v>
      </c>
      <c r="AA14" s="11" t="s">
        <v>8</v>
      </c>
      <c r="AB14" s="2" t="s">
        <v>0</v>
      </c>
      <c r="AE14" s="49" t="s">
        <v>132</v>
      </c>
      <c r="AF14" s="3" t="s">
        <v>21</v>
      </c>
      <c r="AG14" s="11" t="s">
        <v>8</v>
      </c>
      <c r="AH14" s="2" t="s">
        <v>0</v>
      </c>
      <c r="AK14" s="49" t="s">
        <v>132</v>
      </c>
      <c r="AL14" s="3" t="s">
        <v>21</v>
      </c>
      <c r="AM14" s="11" t="s">
        <v>8</v>
      </c>
      <c r="AN14" s="2" t="s">
        <v>0</v>
      </c>
      <c r="AQ14" s="49" t="s">
        <v>132</v>
      </c>
      <c r="AR14" s="3" t="s">
        <v>21</v>
      </c>
      <c r="AS14" s="11" t="s">
        <v>8</v>
      </c>
      <c r="AT14" s="2" t="s">
        <v>0</v>
      </c>
      <c r="AW14" s="49" t="s">
        <v>132</v>
      </c>
      <c r="AX14" s="3" t="s">
        <v>21</v>
      </c>
      <c r="AY14" s="11" t="s">
        <v>8</v>
      </c>
      <c r="AZ14" s="2" t="s">
        <v>0</v>
      </c>
      <c r="BC14" s="49" t="s">
        <v>132</v>
      </c>
      <c r="BD14" s="3" t="s">
        <v>21</v>
      </c>
      <c r="BE14" s="11" t="s">
        <v>8</v>
      </c>
      <c r="BF14" s="2" t="s">
        <v>0</v>
      </c>
      <c r="BG14" s="2">
        <v>0</v>
      </c>
      <c r="BH14" s="35" t="s">
        <v>22</v>
      </c>
      <c r="BI14" s="49" t="s">
        <v>132</v>
      </c>
      <c r="BJ14" s="3" t="s">
        <v>21</v>
      </c>
      <c r="BK14" s="11" t="s">
        <v>8</v>
      </c>
      <c r="BL14" s="2" t="s">
        <v>0</v>
      </c>
      <c r="BM14" s="2">
        <v>0</v>
      </c>
      <c r="BN14" s="35" t="s">
        <v>116</v>
      </c>
      <c r="BO14" s="49" t="s">
        <v>132</v>
      </c>
      <c r="BP14" s="3" t="s">
        <v>21</v>
      </c>
      <c r="BQ14" s="11" t="s">
        <v>8</v>
      </c>
      <c r="BR14" s="2" t="s">
        <v>0</v>
      </c>
      <c r="BS14" s="2">
        <v>0</v>
      </c>
      <c r="BT14" s="35" t="s">
        <v>23</v>
      </c>
    </row>
    <row r="15" spans="1:72" ht="12" customHeight="1" x14ac:dyDescent="0.15">
      <c r="A15" s="49" t="s">
        <v>1</v>
      </c>
      <c r="B15" s="22" t="s">
        <v>9</v>
      </c>
      <c r="C15" s="22" t="s">
        <v>11</v>
      </c>
      <c r="D15" s="23" t="s">
        <v>18</v>
      </c>
      <c r="E15" s="24">
        <v>160</v>
      </c>
      <c r="F15" s="29" t="s">
        <v>24</v>
      </c>
      <c r="G15" s="49" t="s">
        <v>1</v>
      </c>
      <c r="H15" s="22" t="s">
        <v>9</v>
      </c>
      <c r="I15" s="22" t="s">
        <v>11</v>
      </c>
      <c r="J15" s="23" t="s">
        <v>18</v>
      </c>
      <c r="K15" s="24">
        <v>350</v>
      </c>
      <c r="L15" s="29" t="s">
        <v>25</v>
      </c>
      <c r="M15" s="49" t="s">
        <v>1</v>
      </c>
      <c r="N15" s="22" t="s">
        <v>9</v>
      </c>
      <c r="O15" s="22" t="s">
        <v>11</v>
      </c>
      <c r="P15" s="23" t="s">
        <v>18</v>
      </c>
      <c r="Q15" s="24">
        <v>220</v>
      </c>
      <c r="R15" s="29" t="s">
        <v>26</v>
      </c>
      <c r="S15" s="49" t="s">
        <v>1</v>
      </c>
      <c r="T15" s="22" t="s">
        <v>9</v>
      </c>
      <c r="U15" s="22" t="s">
        <v>11</v>
      </c>
      <c r="V15" s="23" t="s">
        <v>18</v>
      </c>
      <c r="W15" s="24">
        <v>260</v>
      </c>
      <c r="X15" s="29" t="s">
        <v>121</v>
      </c>
      <c r="Y15" s="49" t="s">
        <v>1</v>
      </c>
      <c r="Z15" s="22" t="s">
        <v>9</v>
      </c>
      <c r="AA15" s="22" t="s">
        <v>11</v>
      </c>
      <c r="AB15" s="23" t="s">
        <v>18</v>
      </c>
      <c r="AC15" s="24">
        <v>160</v>
      </c>
      <c r="AD15" s="29" t="s">
        <v>27</v>
      </c>
      <c r="AE15" s="49" t="s">
        <v>1</v>
      </c>
      <c r="AF15" s="22" t="s">
        <v>9</v>
      </c>
      <c r="AG15" s="22" t="s">
        <v>11</v>
      </c>
      <c r="AH15" s="23" t="s">
        <v>18</v>
      </c>
      <c r="AI15" s="24">
        <v>120</v>
      </c>
      <c r="AJ15" s="29" t="s">
        <v>28</v>
      </c>
      <c r="AK15" s="49" t="s">
        <v>1</v>
      </c>
      <c r="AL15" s="22" t="s">
        <v>9</v>
      </c>
      <c r="AM15" s="22" t="s">
        <v>11</v>
      </c>
      <c r="AN15" s="23" t="s">
        <v>18</v>
      </c>
      <c r="AO15" s="23">
        <v>110</v>
      </c>
      <c r="AP15" s="29" t="s">
        <v>29</v>
      </c>
      <c r="AQ15" s="49" t="s">
        <v>1</v>
      </c>
      <c r="AR15" s="22" t="s">
        <v>9</v>
      </c>
      <c r="AS15" s="22" t="s">
        <v>11</v>
      </c>
      <c r="AT15" s="23" t="s">
        <v>18</v>
      </c>
      <c r="AU15" s="24">
        <v>130</v>
      </c>
      <c r="AV15" s="31" t="s">
        <v>179</v>
      </c>
      <c r="AW15" s="49" t="s">
        <v>1</v>
      </c>
      <c r="AX15" s="22" t="s">
        <v>9</v>
      </c>
      <c r="AY15" s="22" t="s">
        <v>11</v>
      </c>
      <c r="AZ15" s="23" t="s">
        <v>18</v>
      </c>
      <c r="BA15" s="24">
        <v>66</v>
      </c>
      <c r="BB15" s="29" t="s">
        <v>30</v>
      </c>
      <c r="BC15" s="49" t="s">
        <v>1</v>
      </c>
      <c r="BD15" s="22" t="s">
        <v>9</v>
      </c>
      <c r="BE15" s="22" t="s">
        <v>11</v>
      </c>
      <c r="BF15" s="23" t="s">
        <v>18</v>
      </c>
      <c r="BG15" s="24">
        <v>22</v>
      </c>
      <c r="BH15" s="29" t="s">
        <v>31</v>
      </c>
      <c r="BI15" s="49" t="s">
        <v>1</v>
      </c>
      <c r="BJ15" s="22" t="s">
        <v>9</v>
      </c>
      <c r="BK15" s="22" t="s">
        <v>11</v>
      </c>
      <c r="BL15" s="23" t="s">
        <v>18</v>
      </c>
      <c r="BM15" s="24">
        <v>23</v>
      </c>
      <c r="BN15" s="29" t="s">
        <v>151</v>
      </c>
      <c r="BO15" s="49" t="s">
        <v>1</v>
      </c>
      <c r="BP15" s="22" t="s">
        <v>9</v>
      </c>
      <c r="BQ15" s="22" t="s">
        <v>11</v>
      </c>
      <c r="BR15" s="23" t="s">
        <v>18</v>
      </c>
      <c r="BS15" s="24">
        <v>52</v>
      </c>
      <c r="BT15" s="29" t="s">
        <v>33</v>
      </c>
    </row>
    <row r="16" spans="1:72" ht="12" customHeight="1" x14ac:dyDescent="0.15">
      <c r="A16" s="49" t="s">
        <v>1</v>
      </c>
      <c r="B16" s="22" t="s">
        <v>9</v>
      </c>
      <c r="C16" s="19" t="s">
        <v>11</v>
      </c>
      <c r="D16" s="23" t="s">
        <v>19</v>
      </c>
      <c r="E16" s="24">
        <v>270</v>
      </c>
      <c r="F16" s="34" t="s">
        <v>24</v>
      </c>
      <c r="G16" s="49" t="s">
        <v>1</v>
      </c>
      <c r="H16" s="22" t="s">
        <v>9</v>
      </c>
      <c r="I16" s="19" t="s">
        <v>11</v>
      </c>
      <c r="J16" s="23" t="s">
        <v>19</v>
      </c>
      <c r="K16" s="24">
        <v>530</v>
      </c>
      <c r="L16" s="34" t="s">
        <v>25</v>
      </c>
      <c r="M16" s="49" t="s">
        <v>1</v>
      </c>
      <c r="N16" s="22" t="s">
        <v>9</v>
      </c>
      <c r="O16" s="19" t="s">
        <v>11</v>
      </c>
      <c r="P16" s="23" t="s">
        <v>19</v>
      </c>
      <c r="Q16" s="24">
        <v>340</v>
      </c>
      <c r="R16" s="34" t="s">
        <v>26</v>
      </c>
      <c r="S16" s="49" t="s">
        <v>1</v>
      </c>
      <c r="T16" s="22" t="s">
        <v>9</v>
      </c>
      <c r="U16" s="19" t="s">
        <v>11</v>
      </c>
      <c r="V16" s="23" t="s">
        <v>19</v>
      </c>
      <c r="W16" s="24">
        <v>400</v>
      </c>
      <c r="X16" s="34" t="s">
        <v>121</v>
      </c>
      <c r="Y16" s="49" t="s">
        <v>1</v>
      </c>
      <c r="Z16" s="22" t="s">
        <v>9</v>
      </c>
      <c r="AA16" s="19" t="s">
        <v>11</v>
      </c>
      <c r="AB16" s="23" t="s">
        <v>19</v>
      </c>
      <c r="AC16" s="24">
        <v>260</v>
      </c>
      <c r="AD16" s="34" t="s">
        <v>27</v>
      </c>
      <c r="AE16" s="49" t="s">
        <v>1</v>
      </c>
      <c r="AF16" s="22" t="s">
        <v>9</v>
      </c>
      <c r="AG16" s="19" t="s">
        <v>11</v>
      </c>
      <c r="AH16" s="23" t="s">
        <v>19</v>
      </c>
      <c r="AI16" s="24">
        <v>200</v>
      </c>
      <c r="AJ16" s="34" t="s">
        <v>28</v>
      </c>
      <c r="AK16" s="49" t="s">
        <v>1</v>
      </c>
      <c r="AL16" s="22" t="s">
        <v>9</v>
      </c>
      <c r="AM16" s="19" t="s">
        <v>11</v>
      </c>
      <c r="AN16" s="23" t="s">
        <v>19</v>
      </c>
      <c r="AO16" s="24">
        <v>180</v>
      </c>
      <c r="AP16" s="34" t="s">
        <v>29</v>
      </c>
      <c r="AQ16" s="49" t="s">
        <v>1</v>
      </c>
      <c r="AR16" s="22" t="s">
        <v>9</v>
      </c>
      <c r="AS16" s="19" t="s">
        <v>11</v>
      </c>
      <c r="AT16" s="23" t="s">
        <v>19</v>
      </c>
      <c r="AU16" s="24">
        <v>230</v>
      </c>
      <c r="AV16" s="34" t="s">
        <v>147</v>
      </c>
      <c r="AW16" s="49" t="s">
        <v>1</v>
      </c>
      <c r="AX16" s="22" t="s">
        <v>9</v>
      </c>
      <c r="AY16" s="19" t="s">
        <v>11</v>
      </c>
      <c r="AZ16" s="23" t="s">
        <v>19</v>
      </c>
      <c r="BA16" s="23">
        <v>110</v>
      </c>
      <c r="BB16" s="34" t="s">
        <v>30</v>
      </c>
      <c r="BC16" s="49" t="s">
        <v>1</v>
      </c>
      <c r="BD16" s="22" t="s">
        <v>9</v>
      </c>
      <c r="BE16" s="19" t="s">
        <v>11</v>
      </c>
      <c r="BF16" s="23" t="s">
        <v>19</v>
      </c>
      <c r="BG16" s="24">
        <v>42</v>
      </c>
      <c r="BH16" s="34" t="s">
        <v>31</v>
      </c>
      <c r="BI16" s="49" t="s">
        <v>1</v>
      </c>
      <c r="BJ16" s="22" t="s">
        <v>9</v>
      </c>
      <c r="BK16" s="19" t="s">
        <v>11</v>
      </c>
      <c r="BL16" s="23" t="s">
        <v>19</v>
      </c>
      <c r="BM16" s="24">
        <v>44</v>
      </c>
      <c r="BN16" s="34" t="s">
        <v>54</v>
      </c>
      <c r="BO16" s="49" t="s">
        <v>1</v>
      </c>
      <c r="BP16" s="22" t="s">
        <v>9</v>
      </c>
      <c r="BQ16" s="19" t="s">
        <v>11</v>
      </c>
      <c r="BR16" s="23" t="s">
        <v>19</v>
      </c>
      <c r="BS16" s="24">
        <v>93</v>
      </c>
      <c r="BT16" s="34" t="s">
        <v>33</v>
      </c>
    </row>
    <row r="17" spans="1:72" ht="12" customHeight="1" x14ac:dyDescent="0.15">
      <c r="A17" s="49" t="s">
        <v>1</v>
      </c>
      <c r="B17" s="22" t="s">
        <v>9</v>
      </c>
      <c r="C17" s="19" t="s">
        <v>11</v>
      </c>
      <c r="D17" s="23" t="s">
        <v>0</v>
      </c>
      <c r="E17" s="24">
        <v>430</v>
      </c>
      <c r="F17" s="35" t="s">
        <v>24</v>
      </c>
      <c r="G17" s="49" t="s">
        <v>1</v>
      </c>
      <c r="H17" s="22" t="s">
        <v>9</v>
      </c>
      <c r="I17" s="19" t="s">
        <v>11</v>
      </c>
      <c r="J17" s="23" t="s">
        <v>0</v>
      </c>
      <c r="K17" s="24">
        <v>880</v>
      </c>
      <c r="L17" s="35" t="s">
        <v>25</v>
      </c>
      <c r="M17" s="49" t="s">
        <v>1</v>
      </c>
      <c r="N17" s="22" t="s">
        <v>9</v>
      </c>
      <c r="O17" s="19" t="s">
        <v>11</v>
      </c>
      <c r="P17" s="23" t="s">
        <v>0</v>
      </c>
      <c r="Q17" s="24">
        <v>560</v>
      </c>
      <c r="R17" s="35" t="s">
        <v>26</v>
      </c>
      <c r="S17" s="49" t="s">
        <v>1</v>
      </c>
      <c r="T17" s="22" t="s">
        <v>9</v>
      </c>
      <c r="U17" s="19" t="s">
        <v>11</v>
      </c>
      <c r="V17" s="23" t="s">
        <v>0</v>
      </c>
      <c r="W17" s="24">
        <v>660</v>
      </c>
      <c r="X17" s="35" t="s">
        <v>121</v>
      </c>
      <c r="Y17" s="49" t="s">
        <v>1</v>
      </c>
      <c r="Z17" s="22" t="s">
        <v>9</v>
      </c>
      <c r="AA17" s="19" t="s">
        <v>11</v>
      </c>
      <c r="AB17" s="23" t="s">
        <v>0</v>
      </c>
      <c r="AC17" s="24">
        <v>420</v>
      </c>
      <c r="AD17" s="35" t="s">
        <v>27</v>
      </c>
      <c r="AE17" s="49" t="s">
        <v>1</v>
      </c>
      <c r="AF17" s="22" t="s">
        <v>9</v>
      </c>
      <c r="AG17" s="19" t="s">
        <v>11</v>
      </c>
      <c r="AH17" s="23" t="s">
        <v>0</v>
      </c>
      <c r="AI17" s="24">
        <v>320</v>
      </c>
      <c r="AJ17" s="35" t="s">
        <v>28</v>
      </c>
      <c r="AK17" s="49" t="s">
        <v>1</v>
      </c>
      <c r="AL17" s="22" t="s">
        <v>9</v>
      </c>
      <c r="AM17" s="19" t="s">
        <v>11</v>
      </c>
      <c r="AN17" s="23" t="s">
        <v>0</v>
      </c>
      <c r="AO17" s="24">
        <v>290</v>
      </c>
      <c r="AP17" s="35" t="s">
        <v>29</v>
      </c>
      <c r="AQ17" s="49" t="s">
        <v>1</v>
      </c>
      <c r="AR17" s="22" t="s">
        <v>9</v>
      </c>
      <c r="AS17" s="19" t="s">
        <v>11</v>
      </c>
      <c r="AT17" s="23" t="s">
        <v>0</v>
      </c>
      <c r="AU17" s="24">
        <v>360</v>
      </c>
      <c r="AV17" s="35" t="s">
        <v>147</v>
      </c>
      <c r="AW17" s="49" t="s">
        <v>1</v>
      </c>
      <c r="AX17" s="22" t="s">
        <v>9</v>
      </c>
      <c r="AY17" s="19" t="s">
        <v>11</v>
      </c>
      <c r="AZ17" s="23" t="s">
        <v>0</v>
      </c>
      <c r="BA17" s="24">
        <v>176</v>
      </c>
      <c r="BB17" s="35" t="s">
        <v>30</v>
      </c>
      <c r="BC17" s="49" t="s">
        <v>1</v>
      </c>
      <c r="BD17" s="22" t="s">
        <v>9</v>
      </c>
      <c r="BE17" s="19" t="s">
        <v>11</v>
      </c>
      <c r="BF17" s="23" t="s">
        <v>0</v>
      </c>
      <c r="BG17" s="24">
        <v>64</v>
      </c>
      <c r="BH17" s="35" t="s">
        <v>31</v>
      </c>
      <c r="BI17" s="49" t="s">
        <v>1</v>
      </c>
      <c r="BJ17" s="22" t="s">
        <v>9</v>
      </c>
      <c r="BK17" s="19" t="s">
        <v>11</v>
      </c>
      <c r="BL17" s="23" t="s">
        <v>0</v>
      </c>
      <c r="BM17" s="24">
        <v>67</v>
      </c>
      <c r="BN17" s="35" t="s">
        <v>54</v>
      </c>
      <c r="BO17" s="49" t="s">
        <v>1</v>
      </c>
      <c r="BP17" s="22" t="s">
        <v>9</v>
      </c>
      <c r="BQ17" s="19" t="s">
        <v>11</v>
      </c>
      <c r="BR17" s="23" t="s">
        <v>0</v>
      </c>
      <c r="BS17" s="24">
        <v>145</v>
      </c>
      <c r="BT17" s="35" t="s">
        <v>33</v>
      </c>
    </row>
    <row r="18" spans="1:72" ht="12" customHeight="1" x14ac:dyDescent="0.15">
      <c r="A18" s="49" t="s">
        <v>1</v>
      </c>
      <c r="B18" s="22" t="s">
        <v>9</v>
      </c>
      <c r="C18" s="22" t="s">
        <v>15</v>
      </c>
      <c r="D18" s="23" t="s">
        <v>18</v>
      </c>
      <c r="E18" s="24">
        <v>780</v>
      </c>
      <c r="F18" s="29" t="s">
        <v>24</v>
      </c>
      <c r="G18" s="49" t="s">
        <v>1</v>
      </c>
      <c r="H18" s="22" t="s">
        <v>9</v>
      </c>
      <c r="I18" s="22" t="s">
        <v>15</v>
      </c>
      <c r="J18" s="23" t="s">
        <v>18</v>
      </c>
      <c r="K18" s="24">
        <v>800</v>
      </c>
      <c r="L18" s="29" t="s">
        <v>25</v>
      </c>
      <c r="M18" s="49" t="s">
        <v>1</v>
      </c>
      <c r="N18" s="22" t="s">
        <v>9</v>
      </c>
      <c r="O18" s="22" t="s">
        <v>15</v>
      </c>
      <c r="P18" s="23" t="s">
        <v>18</v>
      </c>
      <c r="Q18" s="24">
        <v>680</v>
      </c>
      <c r="R18" s="29" t="s">
        <v>26</v>
      </c>
      <c r="S18" s="49" t="s">
        <v>1</v>
      </c>
      <c r="T18" s="22" t="s">
        <v>9</v>
      </c>
      <c r="U18" s="22" t="s">
        <v>15</v>
      </c>
      <c r="V18" s="23" t="s">
        <v>18</v>
      </c>
      <c r="W18" s="24">
        <v>570</v>
      </c>
      <c r="X18" s="29" t="s">
        <v>121</v>
      </c>
      <c r="Y18" s="49" t="s">
        <v>1</v>
      </c>
      <c r="Z18" s="22" t="s">
        <v>9</v>
      </c>
      <c r="AA18" s="22" t="s">
        <v>15</v>
      </c>
      <c r="AB18" s="23" t="s">
        <v>18</v>
      </c>
      <c r="AC18" s="24">
        <v>610</v>
      </c>
      <c r="AD18" s="29" t="s">
        <v>27</v>
      </c>
      <c r="AE18" s="49" t="s">
        <v>1</v>
      </c>
      <c r="AF18" s="22" t="s">
        <v>9</v>
      </c>
      <c r="AG18" s="22" t="s">
        <v>15</v>
      </c>
      <c r="AH18" s="23" t="s">
        <v>18</v>
      </c>
      <c r="AI18" s="24">
        <v>380</v>
      </c>
      <c r="AJ18" s="29" t="s">
        <v>28</v>
      </c>
      <c r="AK18" s="49" t="s">
        <v>1</v>
      </c>
      <c r="AL18" s="22" t="s">
        <v>9</v>
      </c>
      <c r="AM18" s="22" t="s">
        <v>15</v>
      </c>
      <c r="AN18" s="23" t="s">
        <v>18</v>
      </c>
      <c r="AO18" s="24">
        <v>350</v>
      </c>
      <c r="AP18" s="29" t="s">
        <v>29</v>
      </c>
      <c r="AQ18" s="49" t="s">
        <v>1</v>
      </c>
      <c r="AR18" s="22" t="s">
        <v>9</v>
      </c>
      <c r="AS18" s="22" t="s">
        <v>15</v>
      </c>
      <c r="AT18" s="23" t="s">
        <v>18</v>
      </c>
      <c r="AU18" s="24">
        <v>160</v>
      </c>
      <c r="AV18" s="31" t="s">
        <v>147</v>
      </c>
      <c r="AW18" s="49" t="s">
        <v>1</v>
      </c>
      <c r="AX18" s="22" t="s">
        <v>9</v>
      </c>
      <c r="AY18" s="22" t="s">
        <v>15</v>
      </c>
      <c r="AZ18" s="23" t="s">
        <v>18</v>
      </c>
      <c r="BA18" s="24">
        <v>250</v>
      </c>
      <c r="BB18" s="29" t="s">
        <v>30</v>
      </c>
      <c r="BC18" s="49" t="s">
        <v>1</v>
      </c>
      <c r="BD18" s="22" t="s">
        <v>9</v>
      </c>
      <c r="BE18" s="22" t="s">
        <v>15</v>
      </c>
      <c r="BF18" s="23" t="s">
        <v>18</v>
      </c>
      <c r="BG18" s="24">
        <v>68</v>
      </c>
      <c r="BH18" s="29" t="s">
        <v>31</v>
      </c>
      <c r="BI18" s="49" t="s">
        <v>1</v>
      </c>
      <c r="BJ18" s="22" t="s">
        <v>9</v>
      </c>
      <c r="BK18" s="22" t="s">
        <v>15</v>
      </c>
      <c r="BL18" s="23" t="s">
        <v>18</v>
      </c>
      <c r="BM18" s="23">
        <v>100</v>
      </c>
      <c r="BN18" s="29" t="s">
        <v>32</v>
      </c>
      <c r="BO18" s="49" t="s">
        <v>1</v>
      </c>
      <c r="BP18" s="22" t="s">
        <v>9</v>
      </c>
      <c r="BQ18" s="22" t="s">
        <v>15</v>
      </c>
      <c r="BR18" s="23" t="s">
        <v>18</v>
      </c>
      <c r="BS18" s="24">
        <v>200</v>
      </c>
      <c r="BT18" s="29" t="s">
        <v>33</v>
      </c>
    </row>
    <row r="19" spans="1:72" ht="12" customHeight="1" x14ac:dyDescent="0.15">
      <c r="A19" s="49" t="s">
        <v>1</v>
      </c>
      <c r="B19" s="22" t="s">
        <v>9</v>
      </c>
      <c r="C19" s="19" t="s">
        <v>15</v>
      </c>
      <c r="D19" s="23" t="s">
        <v>19</v>
      </c>
      <c r="E19" s="25">
        <v>1100</v>
      </c>
      <c r="F19" s="34" t="s">
        <v>24</v>
      </c>
      <c r="G19" s="49" t="s">
        <v>1</v>
      </c>
      <c r="H19" s="22" t="s">
        <v>9</v>
      </c>
      <c r="I19" s="19" t="s">
        <v>15</v>
      </c>
      <c r="J19" s="23" t="s">
        <v>19</v>
      </c>
      <c r="K19" s="25">
        <v>1200</v>
      </c>
      <c r="L19" s="34" t="s">
        <v>25</v>
      </c>
      <c r="M19" s="49" t="s">
        <v>1</v>
      </c>
      <c r="N19" s="22" t="s">
        <v>9</v>
      </c>
      <c r="O19" s="19" t="s">
        <v>15</v>
      </c>
      <c r="P19" s="23" t="s">
        <v>19</v>
      </c>
      <c r="Q19" s="25">
        <v>1000</v>
      </c>
      <c r="R19" s="34" t="s">
        <v>26</v>
      </c>
      <c r="S19" s="49" t="s">
        <v>1</v>
      </c>
      <c r="T19" s="22" t="s">
        <v>9</v>
      </c>
      <c r="U19" s="19" t="s">
        <v>15</v>
      </c>
      <c r="V19" s="23" t="s">
        <v>19</v>
      </c>
      <c r="W19" s="24">
        <v>900</v>
      </c>
      <c r="X19" s="34" t="s">
        <v>121</v>
      </c>
      <c r="Y19" s="49" t="s">
        <v>1</v>
      </c>
      <c r="Z19" s="22" t="s">
        <v>9</v>
      </c>
      <c r="AA19" s="19" t="s">
        <v>15</v>
      </c>
      <c r="AB19" s="23" t="s">
        <v>19</v>
      </c>
      <c r="AC19" s="24">
        <v>980</v>
      </c>
      <c r="AD19" s="34" t="s">
        <v>27</v>
      </c>
      <c r="AE19" s="49" t="s">
        <v>1</v>
      </c>
      <c r="AF19" s="22" t="s">
        <v>9</v>
      </c>
      <c r="AG19" s="19" t="s">
        <v>15</v>
      </c>
      <c r="AH19" s="23" t="s">
        <v>19</v>
      </c>
      <c r="AI19" s="24">
        <v>650</v>
      </c>
      <c r="AJ19" s="34" t="s">
        <v>28</v>
      </c>
      <c r="AK19" s="49" t="s">
        <v>1</v>
      </c>
      <c r="AL19" s="22" t="s">
        <v>9</v>
      </c>
      <c r="AM19" s="19" t="s">
        <v>15</v>
      </c>
      <c r="AN19" s="23" t="s">
        <v>19</v>
      </c>
      <c r="AO19" s="24">
        <v>600</v>
      </c>
      <c r="AP19" s="34" t="s">
        <v>29</v>
      </c>
      <c r="AQ19" s="49" t="s">
        <v>1</v>
      </c>
      <c r="AR19" s="22" t="s">
        <v>9</v>
      </c>
      <c r="AS19" s="19" t="s">
        <v>15</v>
      </c>
      <c r="AT19" s="23" t="s">
        <v>19</v>
      </c>
      <c r="AU19" s="24">
        <v>280</v>
      </c>
      <c r="AV19" s="34" t="s">
        <v>147</v>
      </c>
      <c r="AW19" s="49" t="s">
        <v>1</v>
      </c>
      <c r="AX19" s="22" t="s">
        <v>9</v>
      </c>
      <c r="AY19" s="19" t="s">
        <v>15</v>
      </c>
      <c r="AZ19" s="23" t="s">
        <v>19</v>
      </c>
      <c r="BA19" s="24">
        <v>430</v>
      </c>
      <c r="BB19" s="34" t="s">
        <v>30</v>
      </c>
      <c r="BC19" s="49" t="s">
        <v>1</v>
      </c>
      <c r="BD19" s="22" t="s">
        <v>9</v>
      </c>
      <c r="BE19" s="19" t="s">
        <v>15</v>
      </c>
      <c r="BF19" s="23" t="s">
        <v>19</v>
      </c>
      <c r="BG19" s="24">
        <v>130</v>
      </c>
      <c r="BH19" s="34" t="s">
        <v>31</v>
      </c>
      <c r="BI19" s="49" t="s">
        <v>1</v>
      </c>
      <c r="BJ19" s="22" t="s">
        <v>9</v>
      </c>
      <c r="BK19" s="19" t="s">
        <v>15</v>
      </c>
      <c r="BL19" s="23" t="s">
        <v>19</v>
      </c>
      <c r="BM19" s="24">
        <v>180</v>
      </c>
      <c r="BN19" s="34" t="s">
        <v>32</v>
      </c>
      <c r="BO19" s="49" t="s">
        <v>1</v>
      </c>
      <c r="BP19" s="22" t="s">
        <v>9</v>
      </c>
      <c r="BQ19" s="19" t="s">
        <v>15</v>
      </c>
      <c r="BR19" s="23" t="s">
        <v>19</v>
      </c>
      <c r="BS19" s="24">
        <v>350</v>
      </c>
      <c r="BT19" s="34" t="s">
        <v>33</v>
      </c>
    </row>
    <row r="20" spans="1:72" ht="12" customHeight="1" x14ac:dyDescent="0.15">
      <c r="A20" s="49" t="s">
        <v>1</v>
      </c>
      <c r="B20" s="22" t="s">
        <v>9</v>
      </c>
      <c r="C20" s="19" t="s">
        <v>15</v>
      </c>
      <c r="D20" s="23" t="s">
        <v>0</v>
      </c>
      <c r="E20" s="25">
        <v>1880</v>
      </c>
      <c r="F20" s="35" t="s">
        <v>24</v>
      </c>
      <c r="G20" s="49" t="s">
        <v>1</v>
      </c>
      <c r="H20" s="22" t="s">
        <v>9</v>
      </c>
      <c r="I20" s="19" t="s">
        <v>15</v>
      </c>
      <c r="J20" s="23" t="s">
        <v>0</v>
      </c>
      <c r="K20" s="25">
        <v>2000</v>
      </c>
      <c r="L20" s="35" t="s">
        <v>25</v>
      </c>
      <c r="M20" s="49" t="s">
        <v>1</v>
      </c>
      <c r="N20" s="22" t="s">
        <v>9</v>
      </c>
      <c r="O20" s="19" t="s">
        <v>15</v>
      </c>
      <c r="P20" s="23" t="s">
        <v>0</v>
      </c>
      <c r="Q20" s="25">
        <v>1680</v>
      </c>
      <c r="R20" s="35" t="s">
        <v>26</v>
      </c>
      <c r="S20" s="49" t="s">
        <v>1</v>
      </c>
      <c r="T20" s="22" t="s">
        <v>9</v>
      </c>
      <c r="U20" s="19" t="s">
        <v>15</v>
      </c>
      <c r="V20" s="23" t="s">
        <v>0</v>
      </c>
      <c r="W20" s="25">
        <v>1470</v>
      </c>
      <c r="X20" s="35" t="s">
        <v>121</v>
      </c>
      <c r="Y20" s="49" t="s">
        <v>1</v>
      </c>
      <c r="Z20" s="22" t="s">
        <v>9</v>
      </c>
      <c r="AA20" s="19" t="s">
        <v>15</v>
      </c>
      <c r="AB20" s="23" t="s">
        <v>0</v>
      </c>
      <c r="AC20" s="25">
        <v>1590</v>
      </c>
      <c r="AD20" s="35" t="s">
        <v>27</v>
      </c>
      <c r="AE20" s="49" t="s">
        <v>1</v>
      </c>
      <c r="AF20" s="22" t="s">
        <v>9</v>
      </c>
      <c r="AG20" s="19" t="s">
        <v>15</v>
      </c>
      <c r="AH20" s="23" t="s">
        <v>0</v>
      </c>
      <c r="AI20" s="25">
        <v>1030</v>
      </c>
      <c r="AJ20" s="35" t="s">
        <v>28</v>
      </c>
      <c r="AK20" s="49" t="s">
        <v>1</v>
      </c>
      <c r="AL20" s="22" t="s">
        <v>9</v>
      </c>
      <c r="AM20" s="19" t="s">
        <v>15</v>
      </c>
      <c r="AN20" s="23" t="s">
        <v>0</v>
      </c>
      <c r="AO20" s="24">
        <v>950</v>
      </c>
      <c r="AP20" s="35" t="s">
        <v>29</v>
      </c>
      <c r="AQ20" s="49" t="s">
        <v>1</v>
      </c>
      <c r="AR20" s="22" t="s">
        <v>9</v>
      </c>
      <c r="AS20" s="19" t="s">
        <v>15</v>
      </c>
      <c r="AT20" s="23" t="s">
        <v>0</v>
      </c>
      <c r="AU20" s="24">
        <v>440</v>
      </c>
      <c r="AV20" s="35" t="s">
        <v>147</v>
      </c>
      <c r="AW20" s="49" t="s">
        <v>1</v>
      </c>
      <c r="AX20" s="22" t="s">
        <v>9</v>
      </c>
      <c r="AY20" s="19" t="s">
        <v>15</v>
      </c>
      <c r="AZ20" s="23" t="s">
        <v>0</v>
      </c>
      <c r="BA20" s="24">
        <v>680</v>
      </c>
      <c r="BB20" s="35" t="s">
        <v>30</v>
      </c>
      <c r="BC20" s="49" t="s">
        <v>1</v>
      </c>
      <c r="BD20" s="22" t="s">
        <v>9</v>
      </c>
      <c r="BE20" s="19" t="s">
        <v>15</v>
      </c>
      <c r="BF20" s="23" t="s">
        <v>0</v>
      </c>
      <c r="BG20" s="24">
        <v>198</v>
      </c>
      <c r="BH20" s="35" t="s">
        <v>31</v>
      </c>
      <c r="BI20" s="49" t="s">
        <v>1</v>
      </c>
      <c r="BJ20" s="22" t="s">
        <v>9</v>
      </c>
      <c r="BK20" s="19" t="s">
        <v>15</v>
      </c>
      <c r="BL20" s="23" t="s">
        <v>0</v>
      </c>
      <c r="BM20" s="24">
        <v>280</v>
      </c>
      <c r="BN20" s="35" t="s">
        <v>32</v>
      </c>
      <c r="BO20" s="49" t="s">
        <v>1</v>
      </c>
      <c r="BP20" s="22" t="s">
        <v>9</v>
      </c>
      <c r="BQ20" s="19" t="s">
        <v>15</v>
      </c>
      <c r="BR20" s="23" t="s">
        <v>0</v>
      </c>
      <c r="BS20" s="24">
        <v>550</v>
      </c>
      <c r="BT20" s="35" t="s">
        <v>33</v>
      </c>
    </row>
    <row r="21" spans="1:72" ht="12" customHeight="1" x14ac:dyDescent="0.15">
      <c r="A21" s="49" t="s">
        <v>1</v>
      </c>
      <c r="B21" s="22" t="s">
        <v>20</v>
      </c>
      <c r="C21" s="22" t="s">
        <v>11</v>
      </c>
      <c r="D21" s="23" t="s">
        <v>18</v>
      </c>
      <c r="E21" s="14"/>
      <c r="F21" s="17"/>
      <c r="G21" s="49" t="s">
        <v>1</v>
      </c>
      <c r="H21" s="22" t="s">
        <v>20</v>
      </c>
      <c r="I21" s="22" t="s">
        <v>11</v>
      </c>
      <c r="J21" s="23" t="s">
        <v>18</v>
      </c>
      <c r="K21" s="17"/>
      <c r="L21" s="17"/>
      <c r="M21" s="49" t="s">
        <v>1</v>
      </c>
      <c r="N21" s="22" t="s">
        <v>20</v>
      </c>
      <c r="O21" s="22" t="s">
        <v>11</v>
      </c>
      <c r="P21" s="23" t="s">
        <v>18</v>
      </c>
      <c r="Q21" s="17"/>
      <c r="R21" s="15"/>
      <c r="S21" s="49" t="s">
        <v>1</v>
      </c>
      <c r="T21" s="22" t="s">
        <v>20</v>
      </c>
      <c r="U21" s="22" t="s">
        <v>11</v>
      </c>
      <c r="V21" s="23" t="s">
        <v>18</v>
      </c>
      <c r="W21" s="24">
        <v>220</v>
      </c>
      <c r="X21" s="29" t="s">
        <v>122</v>
      </c>
      <c r="Y21" s="49" t="s">
        <v>1</v>
      </c>
      <c r="Z21" s="22" t="s">
        <v>20</v>
      </c>
      <c r="AA21" s="22" t="s">
        <v>11</v>
      </c>
      <c r="AB21" s="23" t="s">
        <v>18</v>
      </c>
      <c r="AC21" s="24">
        <v>150</v>
      </c>
      <c r="AD21" s="29" t="s">
        <v>34</v>
      </c>
      <c r="AE21" s="49" t="s">
        <v>1</v>
      </c>
      <c r="AF21" s="22" t="s">
        <v>20</v>
      </c>
      <c r="AG21" s="22" t="s">
        <v>11</v>
      </c>
      <c r="AH21" s="23" t="s">
        <v>18</v>
      </c>
      <c r="AI21" s="24">
        <v>120</v>
      </c>
      <c r="AJ21" s="29" t="s">
        <v>35</v>
      </c>
      <c r="AK21" s="49" t="s">
        <v>1</v>
      </c>
      <c r="AL21" s="22" t="s">
        <v>20</v>
      </c>
      <c r="AM21" s="22" t="s">
        <v>11</v>
      </c>
      <c r="AN21" s="23" t="s">
        <v>18</v>
      </c>
      <c r="AO21" s="24">
        <v>120</v>
      </c>
      <c r="AP21" s="29" t="s">
        <v>36</v>
      </c>
      <c r="AQ21" s="49" t="s">
        <v>1</v>
      </c>
      <c r="AR21" s="22" t="s">
        <v>20</v>
      </c>
      <c r="AS21" s="22" t="s">
        <v>11</v>
      </c>
      <c r="AT21" s="23" t="s">
        <v>18</v>
      </c>
      <c r="AU21" s="24">
        <v>120</v>
      </c>
      <c r="AV21" s="31" t="s">
        <v>181</v>
      </c>
      <c r="AW21" s="49" t="s">
        <v>1</v>
      </c>
      <c r="AX21" s="22" t="s">
        <v>20</v>
      </c>
      <c r="AY21" s="22" t="s">
        <v>11</v>
      </c>
      <c r="AZ21" s="23" t="s">
        <v>18</v>
      </c>
      <c r="BA21" s="24">
        <v>98</v>
      </c>
      <c r="BB21" s="29" t="s">
        <v>37</v>
      </c>
      <c r="BC21" s="49" t="s">
        <v>1</v>
      </c>
      <c r="BD21" s="22" t="s">
        <v>20</v>
      </c>
      <c r="BE21" s="22" t="s">
        <v>11</v>
      </c>
      <c r="BF21" s="23" t="s">
        <v>18</v>
      </c>
      <c r="BG21" s="24">
        <v>32</v>
      </c>
      <c r="BH21" s="29" t="s">
        <v>31</v>
      </c>
      <c r="BI21" s="49" t="s">
        <v>1</v>
      </c>
      <c r="BJ21" s="22" t="s">
        <v>20</v>
      </c>
      <c r="BK21" s="22" t="s">
        <v>11</v>
      </c>
      <c r="BL21" s="23" t="s">
        <v>18</v>
      </c>
      <c r="BM21" s="24">
        <v>37</v>
      </c>
      <c r="BN21" s="29" t="s">
        <v>32</v>
      </c>
      <c r="BO21" s="49" t="s">
        <v>1</v>
      </c>
      <c r="BP21" s="22" t="s">
        <v>20</v>
      </c>
      <c r="BQ21" s="22" t="s">
        <v>11</v>
      </c>
      <c r="BR21" s="23" t="s">
        <v>18</v>
      </c>
      <c r="BS21" s="24">
        <v>62</v>
      </c>
      <c r="BT21" s="29" t="s">
        <v>38</v>
      </c>
    </row>
    <row r="22" spans="1:72" ht="12" customHeight="1" x14ac:dyDescent="0.15">
      <c r="A22" s="49" t="s">
        <v>1</v>
      </c>
      <c r="B22" s="22" t="s">
        <v>20</v>
      </c>
      <c r="C22" s="19" t="s">
        <v>11</v>
      </c>
      <c r="D22" s="23" t="s">
        <v>19</v>
      </c>
      <c r="E22" s="14"/>
      <c r="F22" s="17"/>
      <c r="G22" s="49" t="s">
        <v>1</v>
      </c>
      <c r="H22" s="22" t="s">
        <v>20</v>
      </c>
      <c r="I22" s="19" t="s">
        <v>11</v>
      </c>
      <c r="J22" s="23" t="s">
        <v>19</v>
      </c>
      <c r="K22" s="17"/>
      <c r="L22" s="17"/>
      <c r="M22" s="49" t="s">
        <v>1</v>
      </c>
      <c r="N22" s="22" t="s">
        <v>20</v>
      </c>
      <c r="O22" s="19" t="s">
        <v>11</v>
      </c>
      <c r="P22" s="23" t="s">
        <v>19</v>
      </c>
      <c r="Q22" s="17"/>
      <c r="R22" s="15"/>
      <c r="S22" s="49" t="s">
        <v>1</v>
      </c>
      <c r="T22" s="22" t="s">
        <v>20</v>
      </c>
      <c r="U22" s="19" t="s">
        <v>11</v>
      </c>
      <c r="V22" s="23" t="s">
        <v>19</v>
      </c>
      <c r="W22" s="24">
        <v>340</v>
      </c>
      <c r="X22" s="34" t="s">
        <v>122</v>
      </c>
      <c r="Y22" s="49" t="s">
        <v>1</v>
      </c>
      <c r="Z22" s="22" t="s">
        <v>20</v>
      </c>
      <c r="AA22" s="19" t="s">
        <v>11</v>
      </c>
      <c r="AB22" s="23" t="s">
        <v>19</v>
      </c>
      <c r="AC22" s="24">
        <v>230</v>
      </c>
      <c r="AD22" s="34" t="s">
        <v>34</v>
      </c>
      <c r="AE22" s="49" t="s">
        <v>1</v>
      </c>
      <c r="AF22" s="22" t="s">
        <v>20</v>
      </c>
      <c r="AG22" s="19" t="s">
        <v>11</v>
      </c>
      <c r="AH22" s="23" t="s">
        <v>19</v>
      </c>
      <c r="AI22" s="24">
        <v>190</v>
      </c>
      <c r="AJ22" s="34" t="s">
        <v>35</v>
      </c>
      <c r="AK22" s="49" t="s">
        <v>1</v>
      </c>
      <c r="AL22" s="22" t="s">
        <v>20</v>
      </c>
      <c r="AM22" s="19" t="s">
        <v>11</v>
      </c>
      <c r="AN22" s="23" t="s">
        <v>19</v>
      </c>
      <c r="AO22" s="24">
        <v>200</v>
      </c>
      <c r="AP22" s="34" t="s">
        <v>36</v>
      </c>
      <c r="AQ22" s="49" t="s">
        <v>1</v>
      </c>
      <c r="AR22" s="22" t="s">
        <v>20</v>
      </c>
      <c r="AS22" s="19" t="s">
        <v>11</v>
      </c>
      <c r="AT22" s="23" t="s">
        <v>19</v>
      </c>
      <c r="AU22" s="24">
        <v>210</v>
      </c>
      <c r="AV22" s="34" t="s">
        <v>180</v>
      </c>
      <c r="AW22" s="49" t="s">
        <v>1</v>
      </c>
      <c r="AX22" s="22" t="s">
        <v>20</v>
      </c>
      <c r="AY22" s="19" t="s">
        <v>11</v>
      </c>
      <c r="AZ22" s="23" t="s">
        <v>19</v>
      </c>
      <c r="BA22" s="24">
        <v>170</v>
      </c>
      <c r="BB22" s="34" t="s">
        <v>37</v>
      </c>
      <c r="BC22" s="49" t="s">
        <v>1</v>
      </c>
      <c r="BD22" s="22" t="s">
        <v>20</v>
      </c>
      <c r="BE22" s="19" t="s">
        <v>11</v>
      </c>
      <c r="BF22" s="23" t="s">
        <v>19</v>
      </c>
      <c r="BG22" s="24">
        <v>59</v>
      </c>
      <c r="BH22" s="34" t="s">
        <v>31</v>
      </c>
      <c r="BI22" s="49" t="s">
        <v>1</v>
      </c>
      <c r="BJ22" s="22" t="s">
        <v>20</v>
      </c>
      <c r="BK22" s="19" t="s">
        <v>11</v>
      </c>
      <c r="BL22" s="23" t="s">
        <v>19</v>
      </c>
      <c r="BM22" s="23">
        <v>70</v>
      </c>
      <c r="BN22" s="34" t="s">
        <v>32</v>
      </c>
      <c r="BO22" s="49" t="s">
        <v>1</v>
      </c>
      <c r="BP22" s="22" t="s">
        <v>20</v>
      </c>
      <c r="BQ22" s="19" t="s">
        <v>11</v>
      </c>
      <c r="BR22" s="23" t="s">
        <v>19</v>
      </c>
      <c r="BS22" s="23">
        <v>100</v>
      </c>
      <c r="BT22" s="34" t="s">
        <v>38</v>
      </c>
    </row>
    <row r="23" spans="1:72" ht="12" customHeight="1" x14ac:dyDescent="0.15">
      <c r="A23" s="49" t="s">
        <v>1</v>
      </c>
      <c r="B23" s="22" t="s">
        <v>20</v>
      </c>
      <c r="C23" s="19" t="s">
        <v>11</v>
      </c>
      <c r="D23" s="23" t="s">
        <v>0</v>
      </c>
      <c r="E23" s="14"/>
      <c r="F23" s="17"/>
      <c r="G23" s="49" t="s">
        <v>1</v>
      </c>
      <c r="H23" s="22" t="s">
        <v>20</v>
      </c>
      <c r="I23" s="19" t="s">
        <v>11</v>
      </c>
      <c r="J23" s="23" t="s">
        <v>0</v>
      </c>
      <c r="K23" s="17"/>
      <c r="L23" s="17"/>
      <c r="M23" s="49" t="s">
        <v>1</v>
      </c>
      <c r="N23" s="22" t="s">
        <v>20</v>
      </c>
      <c r="O23" s="19" t="s">
        <v>11</v>
      </c>
      <c r="P23" s="23" t="s">
        <v>0</v>
      </c>
      <c r="Q23" s="17"/>
      <c r="R23" s="15"/>
      <c r="S23" s="49" t="s">
        <v>1</v>
      </c>
      <c r="T23" s="22" t="s">
        <v>20</v>
      </c>
      <c r="U23" s="19" t="s">
        <v>11</v>
      </c>
      <c r="V23" s="23" t="s">
        <v>0</v>
      </c>
      <c r="W23" s="24">
        <v>560</v>
      </c>
      <c r="X23" s="35" t="s">
        <v>122</v>
      </c>
      <c r="Y23" s="49" t="s">
        <v>1</v>
      </c>
      <c r="Z23" s="22" t="s">
        <v>20</v>
      </c>
      <c r="AA23" s="19" t="s">
        <v>11</v>
      </c>
      <c r="AB23" s="23" t="s">
        <v>0</v>
      </c>
      <c r="AC23" s="24">
        <v>380</v>
      </c>
      <c r="AD23" s="35" t="s">
        <v>34</v>
      </c>
      <c r="AE23" s="49" t="s">
        <v>1</v>
      </c>
      <c r="AF23" s="22" t="s">
        <v>20</v>
      </c>
      <c r="AG23" s="19" t="s">
        <v>11</v>
      </c>
      <c r="AH23" s="23" t="s">
        <v>0</v>
      </c>
      <c r="AI23" s="24">
        <v>310</v>
      </c>
      <c r="AJ23" s="35" t="s">
        <v>35</v>
      </c>
      <c r="AK23" s="49" t="s">
        <v>1</v>
      </c>
      <c r="AL23" s="22" t="s">
        <v>20</v>
      </c>
      <c r="AM23" s="19" t="s">
        <v>11</v>
      </c>
      <c r="AN23" s="23" t="s">
        <v>0</v>
      </c>
      <c r="AO23" s="24">
        <v>320</v>
      </c>
      <c r="AP23" s="35" t="s">
        <v>36</v>
      </c>
      <c r="AQ23" s="49" t="s">
        <v>1</v>
      </c>
      <c r="AR23" s="22" t="s">
        <v>20</v>
      </c>
      <c r="AS23" s="19" t="s">
        <v>11</v>
      </c>
      <c r="AT23" s="23" t="s">
        <v>0</v>
      </c>
      <c r="AU23" s="24">
        <v>330</v>
      </c>
      <c r="AV23" s="35" t="s">
        <v>180</v>
      </c>
      <c r="AW23" s="49" t="s">
        <v>1</v>
      </c>
      <c r="AX23" s="22" t="s">
        <v>20</v>
      </c>
      <c r="AY23" s="19" t="s">
        <v>11</v>
      </c>
      <c r="AZ23" s="23" t="s">
        <v>0</v>
      </c>
      <c r="BA23" s="24">
        <v>268</v>
      </c>
      <c r="BB23" s="35" t="s">
        <v>37</v>
      </c>
      <c r="BC23" s="49" t="s">
        <v>1</v>
      </c>
      <c r="BD23" s="22" t="s">
        <v>20</v>
      </c>
      <c r="BE23" s="19" t="s">
        <v>11</v>
      </c>
      <c r="BF23" s="23" t="s">
        <v>0</v>
      </c>
      <c r="BG23" s="24">
        <v>91</v>
      </c>
      <c r="BH23" s="35" t="s">
        <v>31</v>
      </c>
      <c r="BI23" s="49" t="s">
        <v>1</v>
      </c>
      <c r="BJ23" s="22" t="s">
        <v>20</v>
      </c>
      <c r="BK23" s="19" t="s">
        <v>11</v>
      </c>
      <c r="BL23" s="23" t="s">
        <v>0</v>
      </c>
      <c r="BM23" s="23">
        <v>107</v>
      </c>
      <c r="BN23" s="35" t="s">
        <v>32</v>
      </c>
      <c r="BO23" s="49" t="s">
        <v>1</v>
      </c>
      <c r="BP23" s="22" t="s">
        <v>20</v>
      </c>
      <c r="BQ23" s="19" t="s">
        <v>11</v>
      </c>
      <c r="BR23" s="23" t="s">
        <v>0</v>
      </c>
      <c r="BS23" s="24">
        <v>162</v>
      </c>
      <c r="BT23" s="35" t="s">
        <v>38</v>
      </c>
    </row>
    <row r="24" spans="1:72" ht="12" customHeight="1" x14ac:dyDescent="0.15">
      <c r="A24" s="49" t="s">
        <v>1</v>
      </c>
      <c r="B24" s="22" t="s">
        <v>20</v>
      </c>
      <c r="C24" s="22" t="s">
        <v>15</v>
      </c>
      <c r="D24" s="23" t="s">
        <v>18</v>
      </c>
      <c r="E24" s="14"/>
      <c r="F24" s="17"/>
      <c r="G24" s="49" t="s">
        <v>1</v>
      </c>
      <c r="H24" s="22" t="s">
        <v>20</v>
      </c>
      <c r="I24" s="22" t="s">
        <v>15</v>
      </c>
      <c r="J24" s="23" t="s">
        <v>18</v>
      </c>
      <c r="K24" s="17"/>
      <c r="L24" s="17"/>
      <c r="M24" s="49" t="s">
        <v>1</v>
      </c>
      <c r="N24" s="22" t="s">
        <v>20</v>
      </c>
      <c r="O24" s="22" t="s">
        <v>15</v>
      </c>
      <c r="P24" s="23" t="s">
        <v>18</v>
      </c>
      <c r="Q24" s="17"/>
      <c r="R24" s="15"/>
      <c r="S24" s="49" t="s">
        <v>1</v>
      </c>
      <c r="T24" s="22" t="s">
        <v>20</v>
      </c>
      <c r="U24" s="22" t="s">
        <v>15</v>
      </c>
      <c r="V24" s="23" t="s">
        <v>18</v>
      </c>
      <c r="W24" s="24">
        <v>840</v>
      </c>
      <c r="X24" s="29" t="s">
        <v>122</v>
      </c>
      <c r="Y24" s="49" t="s">
        <v>1</v>
      </c>
      <c r="Z24" s="22" t="s">
        <v>20</v>
      </c>
      <c r="AA24" s="22" t="s">
        <v>15</v>
      </c>
      <c r="AB24" s="23" t="s">
        <v>18</v>
      </c>
      <c r="AC24" s="24">
        <v>600</v>
      </c>
      <c r="AD24" s="29" t="s">
        <v>34</v>
      </c>
      <c r="AE24" s="49" t="s">
        <v>1</v>
      </c>
      <c r="AF24" s="22" t="s">
        <v>20</v>
      </c>
      <c r="AG24" s="22" t="s">
        <v>15</v>
      </c>
      <c r="AH24" s="23" t="s">
        <v>18</v>
      </c>
      <c r="AI24" s="24">
        <v>510</v>
      </c>
      <c r="AJ24" s="29" t="s">
        <v>35</v>
      </c>
      <c r="AK24" s="49" t="s">
        <v>1</v>
      </c>
      <c r="AL24" s="22" t="s">
        <v>20</v>
      </c>
      <c r="AM24" s="22" t="s">
        <v>15</v>
      </c>
      <c r="AN24" s="23" t="s">
        <v>18</v>
      </c>
      <c r="AO24" s="24">
        <v>530</v>
      </c>
      <c r="AP24" s="29" t="s">
        <v>36</v>
      </c>
      <c r="AQ24" s="49" t="s">
        <v>1</v>
      </c>
      <c r="AR24" s="22" t="s">
        <v>20</v>
      </c>
      <c r="AS24" s="22" t="s">
        <v>15</v>
      </c>
      <c r="AT24" s="23" t="s">
        <v>18</v>
      </c>
      <c r="AU24" s="24">
        <v>540</v>
      </c>
      <c r="AV24" s="31" t="s">
        <v>180</v>
      </c>
      <c r="AW24" s="49" t="s">
        <v>1</v>
      </c>
      <c r="AX24" s="22" t="s">
        <v>20</v>
      </c>
      <c r="AY24" s="22" t="s">
        <v>15</v>
      </c>
      <c r="AZ24" s="23" t="s">
        <v>18</v>
      </c>
      <c r="BA24" s="24">
        <v>500</v>
      </c>
      <c r="BB24" s="29" t="s">
        <v>37</v>
      </c>
      <c r="BC24" s="49" t="s">
        <v>1</v>
      </c>
      <c r="BD24" s="22" t="s">
        <v>20</v>
      </c>
      <c r="BE24" s="22" t="s">
        <v>15</v>
      </c>
      <c r="BF24" s="23" t="s">
        <v>18</v>
      </c>
      <c r="BG24" s="24">
        <v>180</v>
      </c>
      <c r="BH24" s="29" t="s">
        <v>31</v>
      </c>
      <c r="BI24" s="49" t="s">
        <v>1</v>
      </c>
      <c r="BJ24" s="22" t="s">
        <v>20</v>
      </c>
      <c r="BK24" s="22" t="s">
        <v>15</v>
      </c>
      <c r="BL24" s="23" t="s">
        <v>18</v>
      </c>
      <c r="BM24" s="24">
        <v>220</v>
      </c>
      <c r="BN24" s="29" t="s">
        <v>32</v>
      </c>
      <c r="BO24" s="49" t="s">
        <v>1</v>
      </c>
      <c r="BP24" s="22" t="s">
        <v>20</v>
      </c>
      <c r="BQ24" s="22" t="s">
        <v>15</v>
      </c>
      <c r="BR24" s="23" t="s">
        <v>18</v>
      </c>
      <c r="BS24" s="24">
        <v>280</v>
      </c>
      <c r="BT24" s="29" t="s">
        <v>38</v>
      </c>
    </row>
    <row r="25" spans="1:72" ht="12" customHeight="1" x14ac:dyDescent="0.15">
      <c r="A25" s="49" t="s">
        <v>1</v>
      </c>
      <c r="B25" s="22" t="s">
        <v>20</v>
      </c>
      <c r="C25" s="19" t="s">
        <v>15</v>
      </c>
      <c r="D25" s="23" t="s">
        <v>19</v>
      </c>
      <c r="E25" s="14"/>
      <c r="F25" s="17"/>
      <c r="G25" s="49" t="s">
        <v>1</v>
      </c>
      <c r="H25" s="22" t="s">
        <v>20</v>
      </c>
      <c r="I25" s="19" t="s">
        <v>15</v>
      </c>
      <c r="J25" s="23" t="s">
        <v>19</v>
      </c>
      <c r="K25" s="17"/>
      <c r="L25" s="17"/>
      <c r="M25" s="49" t="s">
        <v>1</v>
      </c>
      <c r="N25" s="22" t="s">
        <v>20</v>
      </c>
      <c r="O25" s="19" t="s">
        <v>15</v>
      </c>
      <c r="P25" s="23" t="s">
        <v>19</v>
      </c>
      <c r="Q25" s="17"/>
      <c r="R25" s="15"/>
      <c r="S25" s="49" t="s">
        <v>1</v>
      </c>
      <c r="T25" s="22" t="s">
        <v>20</v>
      </c>
      <c r="U25" s="19" t="s">
        <v>15</v>
      </c>
      <c r="V25" s="23" t="s">
        <v>19</v>
      </c>
      <c r="W25" s="24">
        <v>1300</v>
      </c>
      <c r="X25" s="34" t="s">
        <v>122</v>
      </c>
      <c r="Y25" s="49" t="s">
        <v>1</v>
      </c>
      <c r="Z25" s="22" t="s">
        <v>20</v>
      </c>
      <c r="AA25" s="19" t="s">
        <v>15</v>
      </c>
      <c r="AB25" s="23" t="s">
        <v>19</v>
      </c>
      <c r="AC25" s="24">
        <v>970</v>
      </c>
      <c r="AD25" s="34" t="s">
        <v>34</v>
      </c>
      <c r="AE25" s="49" t="s">
        <v>1</v>
      </c>
      <c r="AF25" s="22" t="s">
        <v>20</v>
      </c>
      <c r="AG25" s="19" t="s">
        <v>15</v>
      </c>
      <c r="AH25" s="23" t="s">
        <v>19</v>
      </c>
      <c r="AI25" s="24">
        <v>840</v>
      </c>
      <c r="AJ25" s="34" t="s">
        <v>35</v>
      </c>
      <c r="AK25" s="49" t="s">
        <v>1</v>
      </c>
      <c r="AL25" s="22" t="s">
        <v>20</v>
      </c>
      <c r="AM25" s="19" t="s">
        <v>15</v>
      </c>
      <c r="AN25" s="23" t="s">
        <v>19</v>
      </c>
      <c r="AO25" s="24">
        <v>880</v>
      </c>
      <c r="AP25" s="34" t="s">
        <v>36</v>
      </c>
      <c r="AQ25" s="49" t="s">
        <v>1</v>
      </c>
      <c r="AR25" s="22" t="s">
        <v>20</v>
      </c>
      <c r="AS25" s="19" t="s">
        <v>15</v>
      </c>
      <c r="AT25" s="23" t="s">
        <v>19</v>
      </c>
      <c r="AU25" s="24">
        <v>910</v>
      </c>
      <c r="AV25" s="34" t="s">
        <v>180</v>
      </c>
      <c r="AW25" s="49" t="s">
        <v>1</v>
      </c>
      <c r="AX25" s="22" t="s">
        <v>20</v>
      </c>
      <c r="AY25" s="19" t="s">
        <v>15</v>
      </c>
      <c r="AZ25" s="23" t="s">
        <v>19</v>
      </c>
      <c r="BA25" s="24">
        <v>870</v>
      </c>
      <c r="BB25" s="34" t="s">
        <v>37</v>
      </c>
      <c r="BC25" s="49" t="s">
        <v>1</v>
      </c>
      <c r="BD25" s="22" t="s">
        <v>20</v>
      </c>
      <c r="BE25" s="19" t="s">
        <v>15</v>
      </c>
      <c r="BF25" s="23" t="s">
        <v>19</v>
      </c>
      <c r="BG25" s="24">
        <v>330</v>
      </c>
      <c r="BH25" s="34" t="s">
        <v>31</v>
      </c>
      <c r="BI25" s="49" t="s">
        <v>1</v>
      </c>
      <c r="BJ25" s="22" t="s">
        <v>20</v>
      </c>
      <c r="BK25" s="19" t="s">
        <v>15</v>
      </c>
      <c r="BL25" s="23" t="s">
        <v>19</v>
      </c>
      <c r="BM25" s="24">
        <v>400</v>
      </c>
      <c r="BN25" s="34" t="s">
        <v>32</v>
      </c>
      <c r="BO25" s="49" t="s">
        <v>1</v>
      </c>
      <c r="BP25" s="22" t="s">
        <v>20</v>
      </c>
      <c r="BQ25" s="19" t="s">
        <v>15</v>
      </c>
      <c r="BR25" s="23" t="s">
        <v>19</v>
      </c>
      <c r="BS25" s="24">
        <v>560</v>
      </c>
      <c r="BT25" s="34" t="s">
        <v>38</v>
      </c>
    </row>
    <row r="26" spans="1:72" ht="12" customHeight="1" x14ac:dyDescent="0.15">
      <c r="A26" s="49" t="s">
        <v>1</v>
      </c>
      <c r="B26" s="22" t="s">
        <v>20</v>
      </c>
      <c r="C26" s="19" t="s">
        <v>15</v>
      </c>
      <c r="D26" s="23" t="s">
        <v>0</v>
      </c>
      <c r="E26" s="12"/>
      <c r="F26" s="10"/>
      <c r="G26" s="49" t="s">
        <v>1</v>
      </c>
      <c r="H26" s="22" t="s">
        <v>20</v>
      </c>
      <c r="I26" s="19" t="s">
        <v>15</v>
      </c>
      <c r="J26" s="23" t="s">
        <v>0</v>
      </c>
      <c r="K26" s="10"/>
      <c r="L26" s="10"/>
      <c r="M26" s="49" t="s">
        <v>1</v>
      </c>
      <c r="N26" s="22" t="s">
        <v>20</v>
      </c>
      <c r="O26" s="19" t="s">
        <v>15</v>
      </c>
      <c r="P26" s="23" t="s">
        <v>0</v>
      </c>
      <c r="Q26" s="10"/>
      <c r="R26" s="13"/>
      <c r="S26" s="49" t="s">
        <v>1</v>
      </c>
      <c r="T26" s="22" t="s">
        <v>20</v>
      </c>
      <c r="U26" s="19" t="s">
        <v>15</v>
      </c>
      <c r="V26" s="23" t="s">
        <v>0</v>
      </c>
      <c r="W26" s="25">
        <v>2140</v>
      </c>
      <c r="X26" s="35" t="s">
        <v>122</v>
      </c>
      <c r="Y26" s="49" t="s">
        <v>1</v>
      </c>
      <c r="Z26" s="22" t="s">
        <v>20</v>
      </c>
      <c r="AA26" s="19" t="s">
        <v>15</v>
      </c>
      <c r="AB26" s="23" t="s">
        <v>0</v>
      </c>
      <c r="AC26" s="25">
        <v>1570</v>
      </c>
      <c r="AD26" s="35" t="s">
        <v>34</v>
      </c>
      <c r="AE26" s="49" t="s">
        <v>1</v>
      </c>
      <c r="AF26" s="22" t="s">
        <v>20</v>
      </c>
      <c r="AG26" s="19" t="s">
        <v>15</v>
      </c>
      <c r="AH26" s="23" t="s">
        <v>0</v>
      </c>
      <c r="AI26" s="25">
        <v>1350</v>
      </c>
      <c r="AJ26" s="35" t="s">
        <v>35</v>
      </c>
      <c r="AK26" s="49" t="s">
        <v>1</v>
      </c>
      <c r="AL26" s="22" t="s">
        <v>20</v>
      </c>
      <c r="AM26" s="19" t="s">
        <v>15</v>
      </c>
      <c r="AN26" s="23" t="s">
        <v>0</v>
      </c>
      <c r="AO26" s="25">
        <v>1410</v>
      </c>
      <c r="AP26" s="35" t="s">
        <v>36</v>
      </c>
      <c r="AQ26" s="49" t="s">
        <v>1</v>
      </c>
      <c r="AR26" s="22" t="s">
        <v>20</v>
      </c>
      <c r="AS26" s="19" t="s">
        <v>15</v>
      </c>
      <c r="AT26" s="23" t="s">
        <v>0</v>
      </c>
      <c r="AU26" s="25">
        <v>1450</v>
      </c>
      <c r="AV26" s="35" t="s">
        <v>180</v>
      </c>
      <c r="AW26" s="49" t="s">
        <v>1</v>
      </c>
      <c r="AX26" s="22" t="s">
        <v>20</v>
      </c>
      <c r="AY26" s="19" t="s">
        <v>15</v>
      </c>
      <c r="AZ26" s="23" t="s">
        <v>0</v>
      </c>
      <c r="BA26" s="25">
        <v>1370</v>
      </c>
      <c r="BB26" s="35" t="s">
        <v>37</v>
      </c>
      <c r="BC26" s="49" t="s">
        <v>1</v>
      </c>
      <c r="BD26" s="22" t="s">
        <v>20</v>
      </c>
      <c r="BE26" s="19" t="s">
        <v>15</v>
      </c>
      <c r="BF26" s="23" t="s">
        <v>0</v>
      </c>
      <c r="BG26" s="24">
        <v>510</v>
      </c>
      <c r="BH26" s="35" t="s">
        <v>31</v>
      </c>
      <c r="BI26" s="49" t="s">
        <v>1</v>
      </c>
      <c r="BJ26" s="22" t="s">
        <v>20</v>
      </c>
      <c r="BK26" s="19" t="s">
        <v>15</v>
      </c>
      <c r="BL26" s="23" t="s">
        <v>0</v>
      </c>
      <c r="BM26" s="24">
        <v>620</v>
      </c>
      <c r="BN26" s="35" t="s">
        <v>32</v>
      </c>
      <c r="BO26" s="49" t="s">
        <v>1</v>
      </c>
      <c r="BP26" s="22" t="s">
        <v>20</v>
      </c>
      <c r="BQ26" s="19" t="s">
        <v>15</v>
      </c>
      <c r="BR26" s="23" t="s">
        <v>0</v>
      </c>
      <c r="BS26" s="24">
        <v>840</v>
      </c>
      <c r="BT26" s="35" t="s">
        <v>38</v>
      </c>
    </row>
    <row r="27" spans="1:72" ht="12" customHeight="1" x14ac:dyDescent="0.15">
      <c r="A27" s="49" t="s">
        <v>1</v>
      </c>
      <c r="B27" s="11" t="s">
        <v>21</v>
      </c>
      <c r="C27" s="11" t="s">
        <v>8</v>
      </c>
      <c r="D27" s="2" t="s">
        <v>18</v>
      </c>
      <c r="E27" s="2" t="s">
        <v>130</v>
      </c>
      <c r="F27" s="30" t="s">
        <v>39</v>
      </c>
      <c r="G27" s="49" t="s">
        <v>1</v>
      </c>
      <c r="H27" s="11" t="s">
        <v>21</v>
      </c>
      <c r="I27" s="11" t="s">
        <v>8</v>
      </c>
      <c r="J27" s="2" t="s">
        <v>18</v>
      </c>
      <c r="K27" s="5">
        <v>0.99</v>
      </c>
      <c r="L27" s="30" t="s">
        <v>40</v>
      </c>
      <c r="M27" s="49" t="s">
        <v>1</v>
      </c>
      <c r="N27" s="11" t="s">
        <v>21</v>
      </c>
      <c r="O27" s="11" t="s">
        <v>8</v>
      </c>
      <c r="P27" s="2" t="s">
        <v>18</v>
      </c>
      <c r="Q27" s="5">
        <v>2.2999999999999998</v>
      </c>
      <c r="R27" s="30" t="s">
        <v>41</v>
      </c>
      <c r="S27" s="49" t="s">
        <v>1</v>
      </c>
      <c r="T27" s="11" t="s">
        <v>21</v>
      </c>
      <c r="U27" s="11" t="s">
        <v>8</v>
      </c>
      <c r="V27" s="2" t="s">
        <v>18</v>
      </c>
      <c r="W27" s="5">
        <v>2.2000000000000002</v>
      </c>
      <c r="X27" s="30" t="s">
        <v>123</v>
      </c>
      <c r="Y27" s="49" t="s">
        <v>1</v>
      </c>
      <c r="Z27" s="11" t="s">
        <v>21</v>
      </c>
      <c r="AA27" s="11" t="s">
        <v>8</v>
      </c>
      <c r="AB27" s="2" t="s">
        <v>18</v>
      </c>
      <c r="AC27" s="46">
        <v>1.8</v>
      </c>
      <c r="AD27" s="30" t="s">
        <v>42</v>
      </c>
      <c r="AE27" s="49" t="s">
        <v>1</v>
      </c>
      <c r="AF27" s="11" t="s">
        <v>21</v>
      </c>
      <c r="AG27" s="11" t="s">
        <v>8</v>
      </c>
      <c r="AH27" s="2" t="s">
        <v>18</v>
      </c>
      <c r="AI27" s="46">
        <v>7.8</v>
      </c>
      <c r="AJ27" s="30" t="s">
        <v>60</v>
      </c>
      <c r="AK27" s="49" t="s">
        <v>1</v>
      </c>
      <c r="AL27" s="11" t="s">
        <v>21</v>
      </c>
      <c r="AM27" s="11" t="s">
        <v>8</v>
      </c>
      <c r="AN27" s="2" t="s">
        <v>18</v>
      </c>
      <c r="AO27" s="2" t="s">
        <v>130</v>
      </c>
      <c r="AP27" s="30" t="s">
        <v>29</v>
      </c>
      <c r="AQ27" s="49" t="s">
        <v>1</v>
      </c>
      <c r="AR27" s="11" t="s">
        <v>21</v>
      </c>
      <c r="AS27" s="11" t="s">
        <v>8</v>
      </c>
      <c r="AT27" s="2" t="s">
        <v>18</v>
      </c>
      <c r="AU27" s="5">
        <v>2.6</v>
      </c>
      <c r="AV27" s="32" t="s">
        <v>183</v>
      </c>
      <c r="AW27" s="49" t="s">
        <v>1</v>
      </c>
      <c r="AX27" s="11" t="s">
        <v>21</v>
      </c>
      <c r="AY27" s="11" t="s">
        <v>8</v>
      </c>
      <c r="AZ27" s="2" t="s">
        <v>18</v>
      </c>
      <c r="BA27" s="46">
        <v>1.9</v>
      </c>
      <c r="BB27" s="30" t="s">
        <v>43</v>
      </c>
      <c r="BC27" s="49" t="s">
        <v>1</v>
      </c>
      <c r="BD27" s="11" t="s">
        <v>21</v>
      </c>
      <c r="BE27" s="11" t="s">
        <v>8</v>
      </c>
      <c r="BF27" s="2" t="s">
        <v>18</v>
      </c>
      <c r="BG27" s="46">
        <v>1.5</v>
      </c>
      <c r="BH27" s="30" t="s">
        <v>44</v>
      </c>
      <c r="BI27" s="49" t="s">
        <v>1</v>
      </c>
      <c r="BJ27" s="11" t="s">
        <v>21</v>
      </c>
      <c r="BK27" s="11" t="s">
        <v>8</v>
      </c>
      <c r="BL27" s="2" t="s">
        <v>18</v>
      </c>
      <c r="BM27" s="46">
        <v>1.7</v>
      </c>
      <c r="BN27" s="30" t="s">
        <v>45</v>
      </c>
      <c r="BO27" s="49" t="s">
        <v>1</v>
      </c>
      <c r="BP27" s="11" t="s">
        <v>21</v>
      </c>
      <c r="BQ27" s="11" t="s">
        <v>8</v>
      </c>
      <c r="BR27" s="2" t="s">
        <v>18</v>
      </c>
      <c r="BS27" s="5">
        <v>1.3</v>
      </c>
      <c r="BT27" s="30" t="s">
        <v>46</v>
      </c>
    </row>
    <row r="28" spans="1:72" ht="12" customHeight="1" x14ac:dyDescent="0.15">
      <c r="A28" s="49" t="s">
        <v>1</v>
      </c>
      <c r="B28" s="11" t="s">
        <v>21</v>
      </c>
      <c r="C28" s="11" t="s">
        <v>8</v>
      </c>
      <c r="D28" s="2" t="s">
        <v>19</v>
      </c>
      <c r="E28" s="2" t="s">
        <v>130</v>
      </c>
      <c r="F28" s="34" t="s">
        <v>39</v>
      </c>
      <c r="G28" s="49" t="s">
        <v>1</v>
      </c>
      <c r="H28" s="11" t="s">
        <v>21</v>
      </c>
      <c r="I28" s="11" t="s">
        <v>8</v>
      </c>
      <c r="J28" s="2" t="s">
        <v>19</v>
      </c>
      <c r="K28" s="5">
        <v>1.2</v>
      </c>
      <c r="L28" s="34" t="s">
        <v>40</v>
      </c>
      <c r="M28" s="49" t="s">
        <v>1</v>
      </c>
      <c r="N28" s="11" t="s">
        <v>21</v>
      </c>
      <c r="O28" s="11" t="s">
        <v>8</v>
      </c>
      <c r="P28" s="2" t="s">
        <v>19</v>
      </c>
      <c r="Q28" s="5">
        <v>3.6</v>
      </c>
      <c r="R28" s="34" t="s">
        <v>41</v>
      </c>
      <c r="S28" s="49" t="s">
        <v>1</v>
      </c>
      <c r="T28" s="11" t="s">
        <v>21</v>
      </c>
      <c r="U28" s="11" t="s">
        <v>8</v>
      </c>
      <c r="V28" s="2" t="s">
        <v>19</v>
      </c>
      <c r="W28" s="5">
        <v>3.8</v>
      </c>
      <c r="X28" s="34" t="s">
        <v>123</v>
      </c>
      <c r="Y28" s="49" t="s">
        <v>1</v>
      </c>
      <c r="Z28" s="11" t="s">
        <v>21</v>
      </c>
      <c r="AA28" s="11" t="s">
        <v>8</v>
      </c>
      <c r="AB28" s="2" t="s">
        <v>19</v>
      </c>
      <c r="AC28" s="5">
        <v>3.4</v>
      </c>
      <c r="AD28" s="34" t="s">
        <v>42</v>
      </c>
      <c r="AE28" s="49" t="s">
        <v>1</v>
      </c>
      <c r="AF28" s="11" t="s">
        <v>21</v>
      </c>
      <c r="AG28" s="11" t="s">
        <v>8</v>
      </c>
      <c r="AH28" s="2" t="s">
        <v>19</v>
      </c>
      <c r="AI28" s="5">
        <v>2.8</v>
      </c>
      <c r="AJ28" s="34" t="s">
        <v>60</v>
      </c>
      <c r="AK28" s="49" t="s">
        <v>1</v>
      </c>
      <c r="AL28" s="11" t="s">
        <v>21</v>
      </c>
      <c r="AM28" s="11" t="s">
        <v>8</v>
      </c>
      <c r="AN28" s="2" t="s">
        <v>19</v>
      </c>
      <c r="AO28" s="2" t="s">
        <v>130</v>
      </c>
      <c r="AP28" s="34" t="s">
        <v>29</v>
      </c>
      <c r="AQ28" s="49" t="s">
        <v>1</v>
      </c>
      <c r="AR28" s="11" t="s">
        <v>21</v>
      </c>
      <c r="AS28" s="11" t="s">
        <v>8</v>
      </c>
      <c r="AT28" s="2" t="s">
        <v>19</v>
      </c>
      <c r="AU28" s="5">
        <v>4.5999999999999996</v>
      </c>
      <c r="AV28" s="34" t="s">
        <v>182</v>
      </c>
      <c r="AW28" s="49" t="s">
        <v>1</v>
      </c>
      <c r="AX28" s="11" t="s">
        <v>21</v>
      </c>
      <c r="AY28" s="11" t="s">
        <v>8</v>
      </c>
      <c r="AZ28" s="2" t="s">
        <v>19</v>
      </c>
      <c r="BA28" s="5">
        <v>4.0999999999999996</v>
      </c>
      <c r="BB28" s="34" t="s">
        <v>43</v>
      </c>
      <c r="BC28" s="49" t="s">
        <v>1</v>
      </c>
      <c r="BD28" s="11" t="s">
        <v>21</v>
      </c>
      <c r="BE28" s="11" t="s">
        <v>8</v>
      </c>
      <c r="BF28" s="2" t="s">
        <v>19</v>
      </c>
      <c r="BG28" s="5">
        <v>2.9</v>
      </c>
      <c r="BH28" s="34" t="s">
        <v>44</v>
      </c>
      <c r="BI28" s="49" t="s">
        <v>1</v>
      </c>
      <c r="BJ28" s="11" t="s">
        <v>21</v>
      </c>
      <c r="BK28" s="11" t="s">
        <v>8</v>
      </c>
      <c r="BL28" s="2" t="s">
        <v>19</v>
      </c>
      <c r="BM28" s="5">
        <v>3.2</v>
      </c>
      <c r="BN28" s="34" t="s">
        <v>45</v>
      </c>
      <c r="BO28" s="49" t="s">
        <v>1</v>
      </c>
      <c r="BP28" s="11" t="s">
        <v>21</v>
      </c>
      <c r="BQ28" s="11" t="s">
        <v>8</v>
      </c>
      <c r="BR28" s="2" t="s">
        <v>19</v>
      </c>
      <c r="BS28" s="5">
        <v>3.1</v>
      </c>
      <c r="BT28" s="34" t="s">
        <v>46</v>
      </c>
    </row>
    <row r="29" spans="1:72" ht="12" customHeight="1" x14ac:dyDescent="0.15">
      <c r="A29" s="49" t="s">
        <v>1</v>
      </c>
      <c r="B29" s="11" t="s">
        <v>21</v>
      </c>
      <c r="C29" s="11" t="s">
        <v>8</v>
      </c>
      <c r="D29" s="2" t="s">
        <v>0</v>
      </c>
      <c r="E29" s="2" t="s">
        <v>130</v>
      </c>
      <c r="F29" s="35" t="s">
        <v>39</v>
      </c>
      <c r="G29" s="49" t="s">
        <v>1</v>
      </c>
      <c r="H29" s="11" t="s">
        <v>21</v>
      </c>
      <c r="I29" s="11" t="s">
        <v>8</v>
      </c>
      <c r="J29" s="2" t="s">
        <v>0</v>
      </c>
      <c r="K29" s="5">
        <v>2.19</v>
      </c>
      <c r="L29" s="35" t="s">
        <v>40</v>
      </c>
      <c r="M29" s="49" t="s">
        <v>1</v>
      </c>
      <c r="N29" s="11" t="s">
        <v>21</v>
      </c>
      <c r="O29" s="11" t="s">
        <v>8</v>
      </c>
      <c r="P29" s="2" t="s">
        <v>0</v>
      </c>
      <c r="Q29" s="5">
        <v>5.9</v>
      </c>
      <c r="R29" s="35" t="s">
        <v>41</v>
      </c>
      <c r="S29" s="49" t="s">
        <v>1</v>
      </c>
      <c r="T29" s="11" t="s">
        <v>21</v>
      </c>
      <c r="U29" s="11" t="s">
        <v>8</v>
      </c>
      <c r="V29" s="2" t="s">
        <v>0</v>
      </c>
      <c r="W29" s="7">
        <v>6</v>
      </c>
      <c r="X29" s="35" t="s">
        <v>123</v>
      </c>
      <c r="Y29" s="49" t="s">
        <v>1</v>
      </c>
      <c r="Z29" s="11" t="s">
        <v>21</v>
      </c>
      <c r="AA29" s="11" t="s">
        <v>8</v>
      </c>
      <c r="AB29" s="2" t="s">
        <v>0</v>
      </c>
      <c r="AC29" s="5">
        <v>5.2</v>
      </c>
      <c r="AD29" s="35" t="s">
        <v>42</v>
      </c>
      <c r="AE29" s="49" t="s">
        <v>1</v>
      </c>
      <c r="AF29" s="11" t="s">
        <v>21</v>
      </c>
      <c r="AG29" s="11" t="s">
        <v>8</v>
      </c>
      <c r="AH29" s="2" t="s">
        <v>0</v>
      </c>
      <c r="AI29" s="5">
        <v>3.58</v>
      </c>
      <c r="AJ29" s="35" t="s">
        <v>60</v>
      </c>
      <c r="AK29" s="49" t="s">
        <v>1</v>
      </c>
      <c r="AL29" s="11" t="s">
        <v>21</v>
      </c>
      <c r="AM29" s="11" t="s">
        <v>8</v>
      </c>
      <c r="AN29" s="2" t="s">
        <v>0</v>
      </c>
      <c r="AO29" s="2" t="s">
        <v>130</v>
      </c>
      <c r="AP29" s="35" t="s">
        <v>29</v>
      </c>
      <c r="AQ29" s="49" t="s">
        <v>1</v>
      </c>
      <c r="AR29" s="11" t="s">
        <v>21</v>
      </c>
      <c r="AS29" s="11" t="s">
        <v>8</v>
      </c>
      <c r="AT29" s="2" t="s">
        <v>0</v>
      </c>
      <c r="AU29" s="2">
        <v>7.2</v>
      </c>
      <c r="AV29" s="35" t="s">
        <v>182</v>
      </c>
      <c r="AW29" s="49" t="s">
        <v>1</v>
      </c>
      <c r="AX29" s="11" t="s">
        <v>21</v>
      </c>
      <c r="AY29" s="11" t="s">
        <v>8</v>
      </c>
      <c r="AZ29" s="2" t="s">
        <v>0</v>
      </c>
      <c r="BA29" s="5">
        <v>6</v>
      </c>
      <c r="BB29" s="35" t="s">
        <v>43</v>
      </c>
      <c r="BC29" s="49" t="s">
        <v>1</v>
      </c>
      <c r="BD29" s="11" t="s">
        <v>21</v>
      </c>
      <c r="BE29" s="11" t="s">
        <v>8</v>
      </c>
      <c r="BF29" s="2" t="s">
        <v>0</v>
      </c>
      <c r="BG29" s="5">
        <v>4.4000000000000004</v>
      </c>
      <c r="BH29" s="35" t="s">
        <v>44</v>
      </c>
      <c r="BI29" s="49" t="s">
        <v>1</v>
      </c>
      <c r="BJ29" s="11" t="s">
        <v>21</v>
      </c>
      <c r="BK29" s="11" t="s">
        <v>8</v>
      </c>
      <c r="BL29" s="2" t="s">
        <v>0</v>
      </c>
      <c r="BM29" s="5">
        <v>4.9000000000000004</v>
      </c>
      <c r="BN29" s="35" t="s">
        <v>45</v>
      </c>
      <c r="BO29" s="49" t="s">
        <v>1</v>
      </c>
      <c r="BP29" s="11" t="s">
        <v>21</v>
      </c>
      <c r="BQ29" s="11" t="s">
        <v>8</v>
      </c>
      <c r="BR29" s="2" t="s">
        <v>0</v>
      </c>
      <c r="BS29" s="5">
        <v>4.4000000000000004</v>
      </c>
      <c r="BT29" s="35" t="s">
        <v>46</v>
      </c>
    </row>
    <row r="30" spans="1:72" ht="12" customHeight="1" x14ac:dyDescent="0.15">
      <c r="A30" s="49" t="s">
        <v>2</v>
      </c>
      <c r="B30" s="19" t="s">
        <v>9</v>
      </c>
      <c r="C30" s="22" t="s">
        <v>11</v>
      </c>
      <c r="D30" s="23" t="s">
        <v>18</v>
      </c>
      <c r="E30" s="24">
        <v>71</v>
      </c>
      <c r="F30" s="29" t="s">
        <v>47</v>
      </c>
      <c r="G30" s="49" t="s">
        <v>2</v>
      </c>
      <c r="H30" s="19" t="s">
        <v>9</v>
      </c>
      <c r="I30" s="22" t="s">
        <v>11</v>
      </c>
      <c r="J30" s="23" t="s">
        <v>18</v>
      </c>
      <c r="K30" s="24">
        <v>73</v>
      </c>
      <c r="L30" s="29" t="s">
        <v>40</v>
      </c>
      <c r="M30" s="49" t="s">
        <v>2</v>
      </c>
      <c r="N30" s="19" t="s">
        <v>9</v>
      </c>
      <c r="O30" s="22" t="s">
        <v>11</v>
      </c>
      <c r="P30" s="23" t="s">
        <v>18</v>
      </c>
      <c r="Q30" s="24">
        <v>68</v>
      </c>
      <c r="R30" s="29" t="s">
        <v>48</v>
      </c>
      <c r="S30" s="49" t="s">
        <v>2</v>
      </c>
      <c r="T30" s="19" t="s">
        <v>9</v>
      </c>
      <c r="U30" s="22" t="s">
        <v>11</v>
      </c>
      <c r="V30" s="23" t="s">
        <v>18</v>
      </c>
      <c r="W30" s="24">
        <v>91</v>
      </c>
      <c r="X30" s="29" t="s">
        <v>103</v>
      </c>
      <c r="Y30" s="49" t="s">
        <v>2</v>
      </c>
      <c r="Z30" s="19" t="s">
        <v>9</v>
      </c>
      <c r="AA30" s="22" t="s">
        <v>11</v>
      </c>
      <c r="AB30" s="23" t="s">
        <v>18</v>
      </c>
      <c r="AC30" s="24">
        <v>110</v>
      </c>
      <c r="AD30" s="29" t="s">
        <v>104</v>
      </c>
      <c r="AE30" s="49" t="s">
        <v>2</v>
      </c>
      <c r="AF30" s="19" t="s">
        <v>9</v>
      </c>
      <c r="AG30" s="22" t="s">
        <v>11</v>
      </c>
      <c r="AH30" s="23" t="s">
        <v>18</v>
      </c>
      <c r="AI30" s="24">
        <v>67</v>
      </c>
      <c r="AJ30" s="29" t="s">
        <v>49</v>
      </c>
      <c r="AK30" s="49" t="s">
        <v>2</v>
      </c>
      <c r="AL30" s="19" t="s">
        <v>9</v>
      </c>
      <c r="AM30" s="22" t="s">
        <v>11</v>
      </c>
      <c r="AN30" s="23" t="s">
        <v>18</v>
      </c>
      <c r="AO30" s="24">
        <v>85</v>
      </c>
      <c r="AP30" s="29" t="s">
        <v>50</v>
      </c>
      <c r="AQ30" s="49" t="s">
        <v>2</v>
      </c>
      <c r="AR30" s="19" t="s">
        <v>9</v>
      </c>
      <c r="AS30" s="22" t="s">
        <v>11</v>
      </c>
      <c r="AT30" s="23" t="s">
        <v>18</v>
      </c>
      <c r="AU30" s="24">
        <v>35</v>
      </c>
      <c r="AV30" s="29" t="s">
        <v>51</v>
      </c>
      <c r="AW30" s="49" t="s">
        <v>2</v>
      </c>
      <c r="AX30" s="19" t="s">
        <v>9</v>
      </c>
      <c r="AY30" s="22" t="s">
        <v>11</v>
      </c>
      <c r="AZ30" s="23" t="s">
        <v>18</v>
      </c>
      <c r="BA30" s="24">
        <v>29</v>
      </c>
      <c r="BB30" s="29" t="s">
        <v>52</v>
      </c>
      <c r="BC30" s="49" t="s">
        <v>2</v>
      </c>
      <c r="BD30" s="19" t="s">
        <v>9</v>
      </c>
      <c r="BE30" s="22" t="s">
        <v>11</v>
      </c>
      <c r="BF30" s="23" t="s">
        <v>18</v>
      </c>
      <c r="BG30" s="24">
        <v>23</v>
      </c>
      <c r="BH30" s="29" t="s">
        <v>53</v>
      </c>
      <c r="BI30" s="49" t="s">
        <v>2</v>
      </c>
      <c r="BJ30" s="19" t="s">
        <v>9</v>
      </c>
      <c r="BK30" s="22" t="s">
        <v>11</v>
      </c>
      <c r="BL30" s="23" t="s">
        <v>18</v>
      </c>
      <c r="BM30" s="24">
        <v>11</v>
      </c>
      <c r="BN30" s="29" t="s">
        <v>54</v>
      </c>
      <c r="BO30" s="49" t="s">
        <v>2</v>
      </c>
      <c r="BP30" s="19" t="s">
        <v>9</v>
      </c>
      <c r="BQ30" s="22" t="s">
        <v>11</v>
      </c>
      <c r="BR30" s="23" t="s">
        <v>18</v>
      </c>
      <c r="BS30" s="24">
        <v>16</v>
      </c>
      <c r="BT30" s="29" t="s">
        <v>55</v>
      </c>
    </row>
    <row r="31" spans="1:72" ht="12" customHeight="1" x14ac:dyDescent="0.15">
      <c r="A31" s="49" t="s">
        <v>2</v>
      </c>
      <c r="B31" s="19" t="s">
        <v>9</v>
      </c>
      <c r="C31" s="19" t="s">
        <v>11</v>
      </c>
      <c r="D31" s="23" t="s">
        <v>19</v>
      </c>
      <c r="E31" s="24">
        <v>130</v>
      </c>
      <c r="F31" s="34" t="s">
        <v>47</v>
      </c>
      <c r="G31" s="49" t="s">
        <v>2</v>
      </c>
      <c r="H31" s="19" t="s">
        <v>9</v>
      </c>
      <c r="I31" s="19" t="s">
        <v>11</v>
      </c>
      <c r="J31" s="23" t="s">
        <v>19</v>
      </c>
      <c r="K31" s="24">
        <v>140</v>
      </c>
      <c r="L31" s="34" t="s">
        <v>40</v>
      </c>
      <c r="M31" s="49" t="s">
        <v>2</v>
      </c>
      <c r="N31" s="19" t="s">
        <v>9</v>
      </c>
      <c r="O31" s="19" t="s">
        <v>11</v>
      </c>
      <c r="P31" s="23" t="s">
        <v>19</v>
      </c>
      <c r="Q31" s="24">
        <v>140</v>
      </c>
      <c r="R31" s="34" t="s">
        <v>48</v>
      </c>
      <c r="S31" s="49" t="s">
        <v>2</v>
      </c>
      <c r="T31" s="19" t="s">
        <v>9</v>
      </c>
      <c r="U31" s="19" t="s">
        <v>11</v>
      </c>
      <c r="V31" s="23" t="s">
        <v>19</v>
      </c>
      <c r="W31" s="24">
        <v>190</v>
      </c>
      <c r="X31" s="34" t="s">
        <v>103</v>
      </c>
      <c r="Y31" s="49" t="s">
        <v>2</v>
      </c>
      <c r="Z31" s="19" t="s">
        <v>9</v>
      </c>
      <c r="AA31" s="19" t="s">
        <v>11</v>
      </c>
      <c r="AB31" s="23" t="s">
        <v>19</v>
      </c>
      <c r="AC31" s="24">
        <v>250</v>
      </c>
      <c r="AD31" s="34" t="s">
        <v>104</v>
      </c>
      <c r="AE31" s="49" t="s">
        <v>2</v>
      </c>
      <c r="AF31" s="19" t="s">
        <v>9</v>
      </c>
      <c r="AG31" s="19" t="s">
        <v>11</v>
      </c>
      <c r="AH31" s="23" t="s">
        <v>19</v>
      </c>
      <c r="AI31" s="24">
        <v>150</v>
      </c>
      <c r="AJ31" s="34" t="s">
        <v>49</v>
      </c>
      <c r="AK31" s="49" t="s">
        <v>2</v>
      </c>
      <c r="AL31" s="19" t="s">
        <v>9</v>
      </c>
      <c r="AM31" s="19" t="s">
        <v>11</v>
      </c>
      <c r="AN31" s="23" t="s">
        <v>19</v>
      </c>
      <c r="AO31" s="24">
        <v>190</v>
      </c>
      <c r="AP31" s="34" t="s">
        <v>50</v>
      </c>
      <c r="AQ31" s="49" t="s">
        <v>2</v>
      </c>
      <c r="AR31" s="19" t="s">
        <v>9</v>
      </c>
      <c r="AS31" s="19" t="s">
        <v>11</v>
      </c>
      <c r="AT31" s="23" t="s">
        <v>19</v>
      </c>
      <c r="AU31" s="24">
        <v>88</v>
      </c>
      <c r="AV31" s="34" t="s">
        <v>51</v>
      </c>
      <c r="AW31" s="49" t="s">
        <v>2</v>
      </c>
      <c r="AX31" s="19" t="s">
        <v>9</v>
      </c>
      <c r="AY31" s="19" t="s">
        <v>11</v>
      </c>
      <c r="AZ31" s="23" t="s">
        <v>19</v>
      </c>
      <c r="BA31" s="23">
        <v>77</v>
      </c>
      <c r="BB31" s="34" t="s">
        <v>52</v>
      </c>
      <c r="BC31" s="49" t="s">
        <v>2</v>
      </c>
      <c r="BD31" s="19" t="s">
        <v>9</v>
      </c>
      <c r="BE31" s="19" t="s">
        <v>11</v>
      </c>
      <c r="BF31" s="23" t="s">
        <v>19</v>
      </c>
      <c r="BG31" s="24">
        <v>62</v>
      </c>
      <c r="BH31" s="34" t="s">
        <v>53</v>
      </c>
      <c r="BI31" s="49" t="s">
        <v>2</v>
      </c>
      <c r="BJ31" s="19" t="s">
        <v>9</v>
      </c>
      <c r="BK31" s="19" t="s">
        <v>11</v>
      </c>
      <c r="BL31" s="23" t="s">
        <v>19</v>
      </c>
      <c r="BM31" s="24">
        <v>30</v>
      </c>
      <c r="BN31" s="34" t="s">
        <v>54</v>
      </c>
      <c r="BO31" s="49" t="s">
        <v>2</v>
      </c>
      <c r="BP31" s="19" t="s">
        <v>9</v>
      </c>
      <c r="BQ31" s="19" t="s">
        <v>11</v>
      </c>
      <c r="BR31" s="23" t="s">
        <v>19</v>
      </c>
      <c r="BS31" s="24">
        <v>41</v>
      </c>
      <c r="BT31" s="34" t="s">
        <v>55</v>
      </c>
    </row>
    <row r="32" spans="1:72" ht="12" customHeight="1" x14ac:dyDescent="0.15">
      <c r="A32" s="49" t="s">
        <v>2</v>
      </c>
      <c r="B32" s="19" t="s">
        <v>9</v>
      </c>
      <c r="C32" s="19" t="s">
        <v>11</v>
      </c>
      <c r="D32" s="23" t="s">
        <v>0</v>
      </c>
      <c r="E32" s="24">
        <v>201</v>
      </c>
      <c r="F32" s="35" t="s">
        <v>47</v>
      </c>
      <c r="G32" s="49" t="s">
        <v>2</v>
      </c>
      <c r="H32" s="19" t="s">
        <v>9</v>
      </c>
      <c r="I32" s="19" t="s">
        <v>11</v>
      </c>
      <c r="J32" s="23" t="s">
        <v>0</v>
      </c>
      <c r="K32" s="24">
        <v>213</v>
      </c>
      <c r="L32" s="35" t="s">
        <v>40</v>
      </c>
      <c r="M32" s="49" t="s">
        <v>2</v>
      </c>
      <c r="N32" s="19" t="s">
        <v>9</v>
      </c>
      <c r="O32" s="19" t="s">
        <v>11</v>
      </c>
      <c r="P32" s="23" t="s">
        <v>0</v>
      </c>
      <c r="Q32" s="24">
        <v>208</v>
      </c>
      <c r="R32" s="35" t="s">
        <v>48</v>
      </c>
      <c r="S32" s="49" t="s">
        <v>2</v>
      </c>
      <c r="T32" s="19" t="s">
        <v>9</v>
      </c>
      <c r="U32" s="19" t="s">
        <v>11</v>
      </c>
      <c r="V32" s="23" t="s">
        <v>0</v>
      </c>
      <c r="W32" s="24">
        <v>281</v>
      </c>
      <c r="X32" s="35" t="s">
        <v>103</v>
      </c>
      <c r="Y32" s="49" t="s">
        <v>2</v>
      </c>
      <c r="Z32" s="19" t="s">
        <v>9</v>
      </c>
      <c r="AA32" s="19" t="s">
        <v>11</v>
      </c>
      <c r="AB32" s="23" t="s">
        <v>0</v>
      </c>
      <c r="AC32" s="24">
        <v>360</v>
      </c>
      <c r="AD32" s="35" t="s">
        <v>104</v>
      </c>
      <c r="AE32" s="49" t="s">
        <v>2</v>
      </c>
      <c r="AF32" s="19" t="s">
        <v>9</v>
      </c>
      <c r="AG32" s="19" t="s">
        <v>11</v>
      </c>
      <c r="AH32" s="23" t="s">
        <v>0</v>
      </c>
      <c r="AI32" s="24">
        <v>217</v>
      </c>
      <c r="AJ32" s="35" t="s">
        <v>49</v>
      </c>
      <c r="AK32" s="49" t="s">
        <v>2</v>
      </c>
      <c r="AL32" s="19" t="s">
        <v>9</v>
      </c>
      <c r="AM32" s="19" t="s">
        <v>11</v>
      </c>
      <c r="AN32" s="23" t="s">
        <v>0</v>
      </c>
      <c r="AO32" s="24">
        <v>275</v>
      </c>
      <c r="AP32" s="35" t="s">
        <v>50</v>
      </c>
      <c r="AQ32" s="49" t="s">
        <v>2</v>
      </c>
      <c r="AR32" s="19" t="s">
        <v>9</v>
      </c>
      <c r="AS32" s="19" t="s">
        <v>11</v>
      </c>
      <c r="AT32" s="23" t="s">
        <v>0</v>
      </c>
      <c r="AU32" s="24">
        <v>123</v>
      </c>
      <c r="AV32" s="35" t="s">
        <v>51</v>
      </c>
      <c r="AW32" s="49" t="s">
        <v>2</v>
      </c>
      <c r="AX32" s="19" t="s">
        <v>9</v>
      </c>
      <c r="AY32" s="19" t="s">
        <v>11</v>
      </c>
      <c r="AZ32" s="23" t="s">
        <v>0</v>
      </c>
      <c r="BA32" s="23">
        <v>106</v>
      </c>
      <c r="BB32" s="35" t="s">
        <v>52</v>
      </c>
      <c r="BC32" s="49" t="s">
        <v>2</v>
      </c>
      <c r="BD32" s="19" t="s">
        <v>9</v>
      </c>
      <c r="BE32" s="19" t="s">
        <v>11</v>
      </c>
      <c r="BF32" s="23" t="s">
        <v>0</v>
      </c>
      <c r="BG32" s="24">
        <v>85</v>
      </c>
      <c r="BH32" s="35" t="s">
        <v>53</v>
      </c>
      <c r="BI32" s="49" t="s">
        <v>2</v>
      </c>
      <c r="BJ32" s="19" t="s">
        <v>9</v>
      </c>
      <c r="BK32" s="19" t="s">
        <v>11</v>
      </c>
      <c r="BL32" s="23" t="s">
        <v>0</v>
      </c>
      <c r="BM32" s="24">
        <v>41</v>
      </c>
      <c r="BN32" s="35" t="s">
        <v>54</v>
      </c>
      <c r="BO32" s="49" t="s">
        <v>2</v>
      </c>
      <c r="BP32" s="19" t="s">
        <v>9</v>
      </c>
      <c r="BQ32" s="19" t="s">
        <v>11</v>
      </c>
      <c r="BR32" s="23" t="s">
        <v>0</v>
      </c>
      <c r="BS32" s="24">
        <v>57</v>
      </c>
      <c r="BT32" s="35" t="s">
        <v>55</v>
      </c>
    </row>
    <row r="33" spans="1:72" ht="12" customHeight="1" x14ac:dyDescent="0.15">
      <c r="A33" s="49" t="s">
        <v>2</v>
      </c>
      <c r="B33" s="19" t="s">
        <v>9</v>
      </c>
      <c r="C33" s="22" t="s">
        <v>15</v>
      </c>
      <c r="D33" s="23" t="s">
        <v>18</v>
      </c>
      <c r="E33" s="24">
        <v>250</v>
      </c>
      <c r="F33" s="29" t="s">
        <v>47</v>
      </c>
      <c r="G33" s="49" t="s">
        <v>2</v>
      </c>
      <c r="H33" s="19" t="s">
        <v>9</v>
      </c>
      <c r="I33" s="22" t="s">
        <v>15</v>
      </c>
      <c r="J33" s="23" t="s">
        <v>18</v>
      </c>
      <c r="K33" s="24">
        <v>320</v>
      </c>
      <c r="L33" s="29" t="s">
        <v>40</v>
      </c>
      <c r="M33" s="49" t="s">
        <v>2</v>
      </c>
      <c r="N33" s="19" t="s">
        <v>9</v>
      </c>
      <c r="O33" s="22" t="s">
        <v>15</v>
      </c>
      <c r="P33" s="23" t="s">
        <v>18</v>
      </c>
      <c r="Q33" s="24">
        <v>350</v>
      </c>
      <c r="R33" s="29" t="s">
        <v>48</v>
      </c>
      <c r="S33" s="49" t="s">
        <v>2</v>
      </c>
      <c r="T33" s="19" t="s">
        <v>9</v>
      </c>
      <c r="U33" s="22" t="s">
        <v>15</v>
      </c>
      <c r="V33" s="23" t="s">
        <v>18</v>
      </c>
      <c r="W33" s="24">
        <v>280</v>
      </c>
      <c r="X33" s="29" t="s">
        <v>103</v>
      </c>
      <c r="Y33" s="49" t="s">
        <v>2</v>
      </c>
      <c r="Z33" s="19" t="s">
        <v>9</v>
      </c>
      <c r="AA33" s="22" t="s">
        <v>15</v>
      </c>
      <c r="AB33" s="23" t="s">
        <v>18</v>
      </c>
      <c r="AC33" s="24">
        <v>230</v>
      </c>
      <c r="AD33" s="29" t="s">
        <v>104</v>
      </c>
      <c r="AE33" s="49" t="s">
        <v>2</v>
      </c>
      <c r="AF33" s="19" t="s">
        <v>9</v>
      </c>
      <c r="AG33" s="22" t="s">
        <v>15</v>
      </c>
      <c r="AH33" s="23" t="s">
        <v>18</v>
      </c>
      <c r="AI33" s="24">
        <v>150</v>
      </c>
      <c r="AJ33" s="29" t="s">
        <v>49</v>
      </c>
      <c r="AK33" s="49" t="s">
        <v>2</v>
      </c>
      <c r="AL33" s="19" t="s">
        <v>9</v>
      </c>
      <c r="AM33" s="22" t="s">
        <v>15</v>
      </c>
      <c r="AN33" s="23" t="s">
        <v>18</v>
      </c>
      <c r="AO33" s="24">
        <v>210</v>
      </c>
      <c r="AP33" s="29" t="s">
        <v>50</v>
      </c>
      <c r="AQ33" s="49" t="s">
        <v>2</v>
      </c>
      <c r="AR33" s="19" t="s">
        <v>9</v>
      </c>
      <c r="AS33" s="22" t="s">
        <v>15</v>
      </c>
      <c r="AT33" s="23" t="s">
        <v>18</v>
      </c>
      <c r="AU33" s="24">
        <v>120</v>
      </c>
      <c r="AV33" s="29" t="s">
        <v>51</v>
      </c>
      <c r="AW33" s="49" t="s">
        <v>2</v>
      </c>
      <c r="AX33" s="19" t="s">
        <v>9</v>
      </c>
      <c r="AY33" s="22" t="s">
        <v>15</v>
      </c>
      <c r="AZ33" s="23" t="s">
        <v>18</v>
      </c>
      <c r="BA33" s="24">
        <v>96</v>
      </c>
      <c r="BB33" s="29" t="s">
        <v>52</v>
      </c>
      <c r="BC33" s="49" t="s">
        <v>2</v>
      </c>
      <c r="BD33" s="19" t="s">
        <v>9</v>
      </c>
      <c r="BE33" s="22" t="s">
        <v>15</v>
      </c>
      <c r="BF33" s="23" t="s">
        <v>18</v>
      </c>
      <c r="BG33" s="24">
        <v>74</v>
      </c>
      <c r="BH33" s="29" t="s">
        <v>53</v>
      </c>
      <c r="BI33" s="49" t="s">
        <v>2</v>
      </c>
      <c r="BJ33" s="19" t="s">
        <v>9</v>
      </c>
      <c r="BK33" s="22" t="s">
        <v>15</v>
      </c>
      <c r="BL33" s="23" t="s">
        <v>18</v>
      </c>
      <c r="BM33" s="24">
        <v>63</v>
      </c>
      <c r="BN33" s="29" t="s">
        <v>54</v>
      </c>
      <c r="BO33" s="49" t="s">
        <v>2</v>
      </c>
      <c r="BP33" s="19" t="s">
        <v>9</v>
      </c>
      <c r="BQ33" s="22" t="s">
        <v>15</v>
      </c>
      <c r="BR33" s="23" t="s">
        <v>18</v>
      </c>
      <c r="BS33" s="24">
        <v>80</v>
      </c>
      <c r="BT33" s="29" t="s">
        <v>55</v>
      </c>
    </row>
    <row r="34" spans="1:72" ht="12" customHeight="1" x14ac:dyDescent="0.15">
      <c r="A34" s="49" t="s">
        <v>2</v>
      </c>
      <c r="B34" s="19" t="s">
        <v>9</v>
      </c>
      <c r="C34" s="19" t="s">
        <v>15</v>
      </c>
      <c r="D34" s="23" t="s">
        <v>19</v>
      </c>
      <c r="E34" s="24">
        <v>510</v>
      </c>
      <c r="F34" s="34" t="s">
        <v>47</v>
      </c>
      <c r="G34" s="49" t="s">
        <v>2</v>
      </c>
      <c r="H34" s="19" t="s">
        <v>9</v>
      </c>
      <c r="I34" s="19" t="s">
        <v>15</v>
      </c>
      <c r="J34" s="23" t="s">
        <v>19</v>
      </c>
      <c r="K34" s="24">
        <v>610</v>
      </c>
      <c r="L34" s="34" t="s">
        <v>40</v>
      </c>
      <c r="M34" s="49" t="s">
        <v>2</v>
      </c>
      <c r="N34" s="19" t="s">
        <v>9</v>
      </c>
      <c r="O34" s="19" t="s">
        <v>15</v>
      </c>
      <c r="P34" s="23" t="s">
        <v>19</v>
      </c>
      <c r="Q34" s="24">
        <v>750</v>
      </c>
      <c r="R34" s="34" t="s">
        <v>48</v>
      </c>
      <c r="S34" s="49" t="s">
        <v>2</v>
      </c>
      <c r="T34" s="19" t="s">
        <v>9</v>
      </c>
      <c r="U34" s="19" t="s">
        <v>15</v>
      </c>
      <c r="V34" s="23" t="s">
        <v>19</v>
      </c>
      <c r="W34" s="24">
        <v>580</v>
      </c>
      <c r="X34" s="34" t="s">
        <v>103</v>
      </c>
      <c r="Y34" s="49" t="s">
        <v>2</v>
      </c>
      <c r="Z34" s="19" t="s">
        <v>9</v>
      </c>
      <c r="AA34" s="19" t="s">
        <v>15</v>
      </c>
      <c r="AB34" s="23" t="s">
        <v>19</v>
      </c>
      <c r="AC34" s="24">
        <v>490</v>
      </c>
      <c r="AD34" s="34" t="s">
        <v>104</v>
      </c>
      <c r="AE34" s="49" t="s">
        <v>2</v>
      </c>
      <c r="AF34" s="19" t="s">
        <v>9</v>
      </c>
      <c r="AG34" s="19" t="s">
        <v>15</v>
      </c>
      <c r="AH34" s="23" t="s">
        <v>19</v>
      </c>
      <c r="AI34" s="24">
        <v>350</v>
      </c>
      <c r="AJ34" s="34" t="s">
        <v>49</v>
      </c>
      <c r="AK34" s="49" t="s">
        <v>2</v>
      </c>
      <c r="AL34" s="19" t="s">
        <v>9</v>
      </c>
      <c r="AM34" s="19" t="s">
        <v>15</v>
      </c>
      <c r="AN34" s="23" t="s">
        <v>19</v>
      </c>
      <c r="AO34" s="24">
        <v>460</v>
      </c>
      <c r="AP34" s="34" t="s">
        <v>50</v>
      </c>
      <c r="AQ34" s="49" t="s">
        <v>2</v>
      </c>
      <c r="AR34" s="19" t="s">
        <v>9</v>
      </c>
      <c r="AS34" s="19" t="s">
        <v>15</v>
      </c>
      <c r="AT34" s="23" t="s">
        <v>19</v>
      </c>
      <c r="AU34" s="24">
        <v>260</v>
      </c>
      <c r="AV34" s="34" t="s">
        <v>51</v>
      </c>
      <c r="AW34" s="49" t="s">
        <v>2</v>
      </c>
      <c r="AX34" s="19" t="s">
        <v>9</v>
      </c>
      <c r="AY34" s="19" t="s">
        <v>15</v>
      </c>
      <c r="AZ34" s="23" t="s">
        <v>19</v>
      </c>
      <c r="BA34" s="24">
        <v>230</v>
      </c>
      <c r="BB34" s="34" t="s">
        <v>52</v>
      </c>
      <c r="BC34" s="49" t="s">
        <v>2</v>
      </c>
      <c r="BD34" s="19" t="s">
        <v>9</v>
      </c>
      <c r="BE34" s="19" t="s">
        <v>15</v>
      </c>
      <c r="BF34" s="23" t="s">
        <v>19</v>
      </c>
      <c r="BG34" s="24">
        <v>190</v>
      </c>
      <c r="BH34" s="34" t="s">
        <v>53</v>
      </c>
      <c r="BI34" s="49" t="s">
        <v>2</v>
      </c>
      <c r="BJ34" s="19" t="s">
        <v>9</v>
      </c>
      <c r="BK34" s="19" t="s">
        <v>15</v>
      </c>
      <c r="BL34" s="23" t="s">
        <v>19</v>
      </c>
      <c r="BM34" s="24">
        <v>140</v>
      </c>
      <c r="BN34" s="34" t="s">
        <v>54</v>
      </c>
      <c r="BO34" s="49" t="s">
        <v>2</v>
      </c>
      <c r="BP34" s="19" t="s">
        <v>9</v>
      </c>
      <c r="BQ34" s="19" t="s">
        <v>15</v>
      </c>
      <c r="BR34" s="23" t="s">
        <v>19</v>
      </c>
      <c r="BS34" s="24">
        <v>210</v>
      </c>
      <c r="BT34" s="34" t="s">
        <v>55</v>
      </c>
    </row>
    <row r="35" spans="1:72" ht="12" customHeight="1" x14ac:dyDescent="0.15">
      <c r="A35" s="49" t="s">
        <v>2</v>
      </c>
      <c r="B35" s="19" t="s">
        <v>9</v>
      </c>
      <c r="C35" s="19" t="s">
        <v>15</v>
      </c>
      <c r="D35" s="23" t="s">
        <v>0</v>
      </c>
      <c r="E35" s="24">
        <v>760</v>
      </c>
      <c r="F35" s="35" t="s">
        <v>47</v>
      </c>
      <c r="G35" s="49" t="s">
        <v>2</v>
      </c>
      <c r="H35" s="19" t="s">
        <v>9</v>
      </c>
      <c r="I35" s="19" t="s">
        <v>15</v>
      </c>
      <c r="J35" s="23" t="s">
        <v>0</v>
      </c>
      <c r="K35" s="24">
        <v>930</v>
      </c>
      <c r="L35" s="35" t="s">
        <v>40</v>
      </c>
      <c r="M35" s="49" t="s">
        <v>2</v>
      </c>
      <c r="N35" s="19" t="s">
        <v>9</v>
      </c>
      <c r="O35" s="19" t="s">
        <v>15</v>
      </c>
      <c r="P35" s="23" t="s">
        <v>0</v>
      </c>
      <c r="Q35" s="25">
        <v>1100</v>
      </c>
      <c r="R35" s="35" t="s">
        <v>48</v>
      </c>
      <c r="S35" s="49" t="s">
        <v>2</v>
      </c>
      <c r="T35" s="19" t="s">
        <v>9</v>
      </c>
      <c r="U35" s="19" t="s">
        <v>15</v>
      </c>
      <c r="V35" s="23" t="s">
        <v>0</v>
      </c>
      <c r="W35" s="24">
        <v>860</v>
      </c>
      <c r="X35" s="35" t="s">
        <v>103</v>
      </c>
      <c r="Y35" s="49" t="s">
        <v>2</v>
      </c>
      <c r="Z35" s="19" t="s">
        <v>9</v>
      </c>
      <c r="AA35" s="19" t="s">
        <v>15</v>
      </c>
      <c r="AB35" s="23" t="s">
        <v>0</v>
      </c>
      <c r="AC35" s="24">
        <v>720</v>
      </c>
      <c r="AD35" s="35" t="s">
        <v>104</v>
      </c>
      <c r="AE35" s="49" t="s">
        <v>2</v>
      </c>
      <c r="AF35" s="19" t="s">
        <v>9</v>
      </c>
      <c r="AG35" s="19" t="s">
        <v>15</v>
      </c>
      <c r="AH35" s="23" t="s">
        <v>0</v>
      </c>
      <c r="AI35" s="24">
        <v>500</v>
      </c>
      <c r="AJ35" s="35" t="s">
        <v>49</v>
      </c>
      <c r="AK35" s="49" t="s">
        <v>2</v>
      </c>
      <c r="AL35" s="19" t="s">
        <v>9</v>
      </c>
      <c r="AM35" s="19" t="s">
        <v>15</v>
      </c>
      <c r="AN35" s="23" t="s">
        <v>0</v>
      </c>
      <c r="AO35" s="24">
        <v>670</v>
      </c>
      <c r="AP35" s="35" t="s">
        <v>50</v>
      </c>
      <c r="AQ35" s="49" t="s">
        <v>2</v>
      </c>
      <c r="AR35" s="19" t="s">
        <v>9</v>
      </c>
      <c r="AS35" s="19" t="s">
        <v>15</v>
      </c>
      <c r="AT35" s="23" t="s">
        <v>0</v>
      </c>
      <c r="AU35" s="24">
        <v>380</v>
      </c>
      <c r="AV35" s="35" t="s">
        <v>51</v>
      </c>
      <c r="AW35" s="49" t="s">
        <v>2</v>
      </c>
      <c r="AX35" s="19" t="s">
        <v>9</v>
      </c>
      <c r="AY35" s="19" t="s">
        <v>15</v>
      </c>
      <c r="AZ35" s="23" t="s">
        <v>0</v>
      </c>
      <c r="BA35" s="24">
        <v>326</v>
      </c>
      <c r="BB35" s="35" t="s">
        <v>52</v>
      </c>
      <c r="BC35" s="49" t="s">
        <v>2</v>
      </c>
      <c r="BD35" s="19" t="s">
        <v>9</v>
      </c>
      <c r="BE35" s="19" t="s">
        <v>15</v>
      </c>
      <c r="BF35" s="23" t="s">
        <v>0</v>
      </c>
      <c r="BG35" s="24">
        <v>264</v>
      </c>
      <c r="BH35" s="35" t="s">
        <v>53</v>
      </c>
      <c r="BI35" s="49" t="s">
        <v>2</v>
      </c>
      <c r="BJ35" s="19" t="s">
        <v>9</v>
      </c>
      <c r="BK35" s="19" t="s">
        <v>15</v>
      </c>
      <c r="BL35" s="23" t="s">
        <v>0</v>
      </c>
      <c r="BM35" s="24">
        <v>203</v>
      </c>
      <c r="BN35" s="35" t="s">
        <v>54</v>
      </c>
      <c r="BO35" s="49" t="s">
        <v>2</v>
      </c>
      <c r="BP35" s="19" t="s">
        <v>9</v>
      </c>
      <c r="BQ35" s="19" t="s">
        <v>15</v>
      </c>
      <c r="BR35" s="23" t="s">
        <v>0</v>
      </c>
      <c r="BS35" s="24">
        <v>290</v>
      </c>
      <c r="BT35" s="35" t="s">
        <v>55</v>
      </c>
    </row>
    <row r="36" spans="1:72" ht="12" customHeight="1" x14ac:dyDescent="0.15">
      <c r="A36" s="49" t="s">
        <v>2</v>
      </c>
      <c r="B36" s="19" t="s">
        <v>20</v>
      </c>
      <c r="C36" s="22" t="s">
        <v>11</v>
      </c>
      <c r="D36" s="23" t="s">
        <v>18</v>
      </c>
      <c r="E36" s="24">
        <v>140</v>
      </c>
      <c r="F36" s="29" t="s">
        <v>56</v>
      </c>
      <c r="G36" s="49" t="s">
        <v>2</v>
      </c>
      <c r="H36" s="19" t="s">
        <v>20</v>
      </c>
      <c r="I36" s="22" t="s">
        <v>11</v>
      </c>
      <c r="J36" s="23" t="s">
        <v>18</v>
      </c>
      <c r="K36" s="24">
        <v>160</v>
      </c>
      <c r="L36" s="29" t="s">
        <v>57</v>
      </c>
      <c r="M36" s="49" t="s">
        <v>2</v>
      </c>
      <c r="N36" s="19" t="s">
        <v>20</v>
      </c>
      <c r="O36" s="22" t="s">
        <v>11</v>
      </c>
      <c r="P36" s="23" t="s">
        <v>18</v>
      </c>
      <c r="Q36" s="24">
        <v>120</v>
      </c>
      <c r="R36" s="29" t="s">
        <v>58</v>
      </c>
      <c r="S36" s="49" t="s">
        <v>2</v>
      </c>
      <c r="T36" s="19" t="s">
        <v>20</v>
      </c>
      <c r="U36" s="22" t="s">
        <v>11</v>
      </c>
      <c r="V36" s="23" t="s">
        <v>18</v>
      </c>
      <c r="W36" s="24">
        <v>100</v>
      </c>
      <c r="X36" s="29" t="s">
        <v>124</v>
      </c>
      <c r="Y36" s="49" t="s">
        <v>2</v>
      </c>
      <c r="Z36" s="19" t="s">
        <v>20</v>
      </c>
      <c r="AA36" s="22" t="s">
        <v>11</v>
      </c>
      <c r="AB36" s="23" t="s">
        <v>18</v>
      </c>
      <c r="AC36" s="24">
        <v>130</v>
      </c>
      <c r="AD36" s="29" t="s">
        <v>59</v>
      </c>
      <c r="AE36" s="49" t="s">
        <v>2</v>
      </c>
      <c r="AF36" s="19" t="s">
        <v>20</v>
      </c>
      <c r="AG36" s="22" t="s">
        <v>11</v>
      </c>
      <c r="AH36" s="23" t="s">
        <v>18</v>
      </c>
      <c r="AI36" s="24">
        <v>75</v>
      </c>
      <c r="AJ36" s="29" t="s">
        <v>60</v>
      </c>
      <c r="AK36" s="49" t="s">
        <v>2</v>
      </c>
      <c r="AL36" s="19" t="s">
        <v>20</v>
      </c>
      <c r="AM36" s="22" t="s">
        <v>11</v>
      </c>
      <c r="AN36" s="23" t="s">
        <v>18</v>
      </c>
      <c r="AO36" s="24">
        <v>37</v>
      </c>
      <c r="AP36" s="29" t="s">
        <v>61</v>
      </c>
      <c r="AQ36" s="49" t="s">
        <v>2</v>
      </c>
      <c r="AR36" s="19" t="s">
        <v>20</v>
      </c>
      <c r="AS36" s="22" t="s">
        <v>11</v>
      </c>
      <c r="AT36" s="23" t="s">
        <v>18</v>
      </c>
      <c r="AU36" s="24">
        <v>190</v>
      </c>
      <c r="AV36" s="29" t="s">
        <v>62</v>
      </c>
      <c r="AW36" s="49" t="s">
        <v>2</v>
      </c>
      <c r="AX36" s="19" t="s">
        <v>20</v>
      </c>
      <c r="AY36" s="22" t="s">
        <v>11</v>
      </c>
      <c r="AZ36" s="23" t="s">
        <v>18</v>
      </c>
      <c r="BA36" s="24">
        <v>46</v>
      </c>
      <c r="BB36" s="29" t="s">
        <v>63</v>
      </c>
      <c r="BC36" s="49" t="s">
        <v>2</v>
      </c>
      <c r="BD36" s="19" t="s">
        <v>20</v>
      </c>
      <c r="BE36" s="22" t="s">
        <v>11</v>
      </c>
      <c r="BF36" s="23" t="s">
        <v>18</v>
      </c>
      <c r="BG36" s="24">
        <v>19</v>
      </c>
      <c r="BH36" s="29" t="s">
        <v>64</v>
      </c>
      <c r="BI36" s="49" t="s">
        <v>2</v>
      </c>
      <c r="BJ36" s="19" t="s">
        <v>20</v>
      </c>
      <c r="BK36" s="22" t="s">
        <v>11</v>
      </c>
      <c r="BL36" s="23" t="s">
        <v>18</v>
      </c>
      <c r="BM36" s="24">
        <v>13</v>
      </c>
      <c r="BN36" s="29" t="s">
        <v>65</v>
      </c>
      <c r="BO36" s="49" t="s">
        <v>2</v>
      </c>
      <c r="BP36" s="19" t="s">
        <v>20</v>
      </c>
      <c r="BQ36" s="22" t="s">
        <v>11</v>
      </c>
      <c r="BR36" s="23" t="s">
        <v>18</v>
      </c>
      <c r="BS36" s="24">
        <v>18</v>
      </c>
      <c r="BT36" s="29" t="s">
        <v>66</v>
      </c>
    </row>
    <row r="37" spans="1:72" ht="12" customHeight="1" x14ac:dyDescent="0.15">
      <c r="A37" s="49" t="s">
        <v>2</v>
      </c>
      <c r="B37" s="19" t="s">
        <v>20</v>
      </c>
      <c r="C37" s="19" t="s">
        <v>11</v>
      </c>
      <c r="D37" s="23" t="s">
        <v>19</v>
      </c>
      <c r="E37" s="24">
        <v>260</v>
      </c>
      <c r="F37" s="34" t="s">
        <v>56</v>
      </c>
      <c r="G37" s="49" t="s">
        <v>2</v>
      </c>
      <c r="H37" s="19" t="s">
        <v>20</v>
      </c>
      <c r="I37" s="19" t="s">
        <v>11</v>
      </c>
      <c r="J37" s="23" t="s">
        <v>19</v>
      </c>
      <c r="K37" s="24">
        <v>320</v>
      </c>
      <c r="L37" s="34" t="s">
        <v>57</v>
      </c>
      <c r="M37" s="49" t="s">
        <v>2</v>
      </c>
      <c r="N37" s="19" t="s">
        <v>20</v>
      </c>
      <c r="O37" s="19" t="s">
        <v>11</v>
      </c>
      <c r="P37" s="23" t="s">
        <v>19</v>
      </c>
      <c r="Q37" s="24">
        <v>260</v>
      </c>
      <c r="R37" s="34" t="s">
        <v>58</v>
      </c>
      <c r="S37" s="49" t="s">
        <v>2</v>
      </c>
      <c r="T37" s="19" t="s">
        <v>20</v>
      </c>
      <c r="U37" s="19" t="s">
        <v>11</v>
      </c>
      <c r="V37" s="23" t="s">
        <v>19</v>
      </c>
      <c r="W37" s="24">
        <v>230</v>
      </c>
      <c r="X37" s="34" t="s">
        <v>124</v>
      </c>
      <c r="Y37" s="49" t="s">
        <v>2</v>
      </c>
      <c r="Z37" s="19" t="s">
        <v>20</v>
      </c>
      <c r="AA37" s="19" t="s">
        <v>11</v>
      </c>
      <c r="AB37" s="23" t="s">
        <v>19</v>
      </c>
      <c r="AC37" s="24">
        <v>280</v>
      </c>
      <c r="AD37" s="34" t="s">
        <v>59</v>
      </c>
      <c r="AE37" s="49" t="s">
        <v>2</v>
      </c>
      <c r="AF37" s="19" t="s">
        <v>20</v>
      </c>
      <c r="AG37" s="19" t="s">
        <v>11</v>
      </c>
      <c r="AH37" s="23" t="s">
        <v>19</v>
      </c>
      <c r="AI37" s="24">
        <v>160</v>
      </c>
      <c r="AJ37" s="34" t="s">
        <v>60</v>
      </c>
      <c r="AK37" s="49" t="s">
        <v>2</v>
      </c>
      <c r="AL37" s="19" t="s">
        <v>20</v>
      </c>
      <c r="AM37" s="19" t="s">
        <v>11</v>
      </c>
      <c r="AN37" s="23" t="s">
        <v>19</v>
      </c>
      <c r="AO37" s="24">
        <v>89</v>
      </c>
      <c r="AP37" s="34" t="s">
        <v>61</v>
      </c>
      <c r="AQ37" s="49" t="s">
        <v>2</v>
      </c>
      <c r="AR37" s="19" t="s">
        <v>20</v>
      </c>
      <c r="AS37" s="19" t="s">
        <v>11</v>
      </c>
      <c r="AT37" s="23" t="s">
        <v>19</v>
      </c>
      <c r="AU37" s="26">
        <v>440</v>
      </c>
      <c r="AV37" s="34" t="s">
        <v>62</v>
      </c>
      <c r="AW37" s="49" t="s">
        <v>2</v>
      </c>
      <c r="AX37" s="19" t="s">
        <v>20</v>
      </c>
      <c r="AY37" s="19" t="s">
        <v>11</v>
      </c>
      <c r="AZ37" s="23" t="s">
        <v>19</v>
      </c>
      <c r="BA37" s="24">
        <v>120</v>
      </c>
      <c r="BB37" s="34" t="s">
        <v>63</v>
      </c>
      <c r="BC37" s="49" t="s">
        <v>2</v>
      </c>
      <c r="BD37" s="19" t="s">
        <v>20</v>
      </c>
      <c r="BE37" s="19" t="s">
        <v>11</v>
      </c>
      <c r="BF37" s="23" t="s">
        <v>19</v>
      </c>
      <c r="BG37" s="24">
        <v>54</v>
      </c>
      <c r="BH37" s="34" t="s">
        <v>64</v>
      </c>
      <c r="BI37" s="49" t="s">
        <v>2</v>
      </c>
      <c r="BJ37" s="19" t="s">
        <v>20</v>
      </c>
      <c r="BK37" s="19" t="s">
        <v>11</v>
      </c>
      <c r="BL37" s="23" t="s">
        <v>19</v>
      </c>
      <c r="BM37" s="24">
        <v>36</v>
      </c>
      <c r="BN37" s="34" t="s">
        <v>65</v>
      </c>
      <c r="BO37" s="49" t="s">
        <v>2</v>
      </c>
      <c r="BP37" s="19" t="s">
        <v>20</v>
      </c>
      <c r="BQ37" s="19" t="s">
        <v>11</v>
      </c>
      <c r="BR37" s="23" t="s">
        <v>19</v>
      </c>
      <c r="BS37" s="24">
        <v>40</v>
      </c>
      <c r="BT37" s="34" t="s">
        <v>66</v>
      </c>
    </row>
    <row r="38" spans="1:72" ht="12" customHeight="1" x14ac:dyDescent="0.15">
      <c r="A38" s="49" t="s">
        <v>2</v>
      </c>
      <c r="B38" s="19" t="s">
        <v>20</v>
      </c>
      <c r="C38" s="19" t="s">
        <v>11</v>
      </c>
      <c r="D38" s="23" t="s">
        <v>0</v>
      </c>
      <c r="E38" s="24">
        <v>400</v>
      </c>
      <c r="F38" s="35" t="s">
        <v>56</v>
      </c>
      <c r="G38" s="49" t="s">
        <v>2</v>
      </c>
      <c r="H38" s="19" t="s">
        <v>20</v>
      </c>
      <c r="I38" s="19" t="s">
        <v>11</v>
      </c>
      <c r="J38" s="23" t="s">
        <v>0</v>
      </c>
      <c r="K38" s="24">
        <v>480</v>
      </c>
      <c r="L38" s="35" t="s">
        <v>57</v>
      </c>
      <c r="M38" s="49" t="s">
        <v>2</v>
      </c>
      <c r="N38" s="19" t="s">
        <v>20</v>
      </c>
      <c r="O38" s="19" t="s">
        <v>11</v>
      </c>
      <c r="P38" s="23" t="s">
        <v>0</v>
      </c>
      <c r="Q38" s="24">
        <v>380</v>
      </c>
      <c r="R38" s="35" t="s">
        <v>58</v>
      </c>
      <c r="S38" s="49" t="s">
        <v>2</v>
      </c>
      <c r="T38" s="19" t="s">
        <v>20</v>
      </c>
      <c r="U38" s="19" t="s">
        <v>11</v>
      </c>
      <c r="V38" s="23" t="s">
        <v>0</v>
      </c>
      <c r="W38" s="24">
        <v>330</v>
      </c>
      <c r="X38" s="35" t="s">
        <v>124</v>
      </c>
      <c r="Y38" s="49" t="s">
        <v>2</v>
      </c>
      <c r="Z38" s="19" t="s">
        <v>20</v>
      </c>
      <c r="AA38" s="19" t="s">
        <v>11</v>
      </c>
      <c r="AB38" s="23" t="s">
        <v>0</v>
      </c>
      <c r="AC38" s="24">
        <v>410</v>
      </c>
      <c r="AD38" s="35" t="s">
        <v>59</v>
      </c>
      <c r="AE38" s="49" t="s">
        <v>2</v>
      </c>
      <c r="AF38" s="19" t="s">
        <v>20</v>
      </c>
      <c r="AG38" s="19" t="s">
        <v>11</v>
      </c>
      <c r="AH38" s="23" t="s">
        <v>0</v>
      </c>
      <c r="AI38" s="24">
        <v>235</v>
      </c>
      <c r="AJ38" s="35" t="s">
        <v>60</v>
      </c>
      <c r="AK38" s="49" t="s">
        <v>2</v>
      </c>
      <c r="AL38" s="19" t="s">
        <v>20</v>
      </c>
      <c r="AM38" s="19" t="s">
        <v>11</v>
      </c>
      <c r="AN38" s="23" t="s">
        <v>0</v>
      </c>
      <c r="AO38" s="24">
        <v>126</v>
      </c>
      <c r="AP38" s="35" t="s">
        <v>61</v>
      </c>
      <c r="AQ38" s="49" t="s">
        <v>2</v>
      </c>
      <c r="AR38" s="19" t="s">
        <v>20</v>
      </c>
      <c r="AS38" s="19" t="s">
        <v>11</v>
      </c>
      <c r="AT38" s="23" t="s">
        <v>0</v>
      </c>
      <c r="AU38" s="24">
        <v>630</v>
      </c>
      <c r="AV38" s="35" t="s">
        <v>62</v>
      </c>
      <c r="AW38" s="49" t="s">
        <v>2</v>
      </c>
      <c r="AX38" s="19" t="s">
        <v>20</v>
      </c>
      <c r="AY38" s="19" t="s">
        <v>11</v>
      </c>
      <c r="AZ38" s="23" t="s">
        <v>0</v>
      </c>
      <c r="BA38" s="24">
        <v>166</v>
      </c>
      <c r="BB38" s="35" t="s">
        <v>63</v>
      </c>
      <c r="BC38" s="49" t="s">
        <v>2</v>
      </c>
      <c r="BD38" s="19" t="s">
        <v>20</v>
      </c>
      <c r="BE38" s="19" t="s">
        <v>11</v>
      </c>
      <c r="BF38" s="23" t="s">
        <v>0</v>
      </c>
      <c r="BG38" s="24">
        <v>73</v>
      </c>
      <c r="BH38" s="35" t="s">
        <v>64</v>
      </c>
      <c r="BI38" s="49" t="s">
        <v>2</v>
      </c>
      <c r="BJ38" s="19" t="s">
        <v>20</v>
      </c>
      <c r="BK38" s="19" t="s">
        <v>11</v>
      </c>
      <c r="BL38" s="23" t="s">
        <v>0</v>
      </c>
      <c r="BM38" s="24">
        <v>49</v>
      </c>
      <c r="BN38" s="35" t="s">
        <v>65</v>
      </c>
      <c r="BO38" s="49" t="s">
        <v>2</v>
      </c>
      <c r="BP38" s="19" t="s">
        <v>20</v>
      </c>
      <c r="BQ38" s="19" t="s">
        <v>11</v>
      </c>
      <c r="BR38" s="23" t="s">
        <v>0</v>
      </c>
      <c r="BS38" s="24">
        <v>58</v>
      </c>
      <c r="BT38" s="35" t="s">
        <v>66</v>
      </c>
    </row>
    <row r="39" spans="1:72" ht="12" customHeight="1" x14ac:dyDescent="0.15">
      <c r="A39" s="49" t="s">
        <v>2</v>
      </c>
      <c r="B39" s="19" t="s">
        <v>20</v>
      </c>
      <c r="C39" s="22" t="s">
        <v>15</v>
      </c>
      <c r="D39" s="23" t="s">
        <v>18</v>
      </c>
      <c r="E39" s="24">
        <v>530</v>
      </c>
      <c r="F39" s="29" t="s">
        <v>56</v>
      </c>
      <c r="G39" s="49" t="s">
        <v>2</v>
      </c>
      <c r="H39" s="19" t="s">
        <v>20</v>
      </c>
      <c r="I39" s="22" t="s">
        <v>15</v>
      </c>
      <c r="J39" s="23" t="s">
        <v>18</v>
      </c>
      <c r="K39" s="24">
        <v>560</v>
      </c>
      <c r="L39" s="29" t="s">
        <v>57</v>
      </c>
      <c r="M39" s="49" t="s">
        <v>2</v>
      </c>
      <c r="N39" s="19" t="s">
        <v>20</v>
      </c>
      <c r="O39" s="22" t="s">
        <v>15</v>
      </c>
      <c r="P39" s="23" t="s">
        <v>18</v>
      </c>
      <c r="Q39" s="24">
        <v>420</v>
      </c>
      <c r="R39" s="29" t="s">
        <v>58</v>
      </c>
      <c r="S39" s="49" t="s">
        <v>2</v>
      </c>
      <c r="T39" s="19" t="s">
        <v>20</v>
      </c>
      <c r="U39" s="22" t="s">
        <v>15</v>
      </c>
      <c r="V39" s="23" t="s">
        <v>18</v>
      </c>
      <c r="W39" s="24">
        <v>340</v>
      </c>
      <c r="X39" s="29" t="s">
        <v>124</v>
      </c>
      <c r="Y39" s="49" t="s">
        <v>2</v>
      </c>
      <c r="Z39" s="19" t="s">
        <v>20</v>
      </c>
      <c r="AA39" s="22" t="s">
        <v>15</v>
      </c>
      <c r="AB39" s="23" t="s">
        <v>18</v>
      </c>
      <c r="AC39" s="24">
        <v>390</v>
      </c>
      <c r="AD39" s="29" t="s">
        <v>59</v>
      </c>
      <c r="AE39" s="49" t="s">
        <v>2</v>
      </c>
      <c r="AF39" s="19" t="s">
        <v>20</v>
      </c>
      <c r="AG39" s="22" t="s">
        <v>15</v>
      </c>
      <c r="AH39" s="23" t="s">
        <v>18</v>
      </c>
      <c r="AI39" s="24">
        <v>240</v>
      </c>
      <c r="AJ39" s="29" t="s">
        <v>60</v>
      </c>
      <c r="AK39" s="49" t="s">
        <v>2</v>
      </c>
      <c r="AL39" s="19" t="s">
        <v>20</v>
      </c>
      <c r="AM39" s="22" t="s">
        <v>15</v>
      </c>
      <c r="AN39" s="23" t="s">
        <v>18</v>
      </c>
      <c r="AO39" s="24">
        <v>170</v>
      </c>
      <c r="AP39" s="29" t="s">
        <v>61</v>
      </c>
      <c r="AQ39" s="49" t="s">
        <v>2</v>
      </c>
      <c r="AR39" s="19" t="s">
        <v>20</v>
      </c>
      <c r="AS39" s="22" t="s">
        <v>15</v>
      </c>
      <c r="AT39" s="23" t="s">
        <v>18</v>
      </c>
      <c r="AU39" s="24">
        <v>330</v>
      </c>
      <c r="AV39" s="29" t="s">
        <v>62</v>
      </c>
      <c r="AW39" s="49" t="s">
        <v>2</v>
      </c>
      <c r="AX39" s="19" t="s">
        <v>20</v>
      </c>
      <c r="AY39" s="22" t="s">
        <v>15</v>
      </c>
      <c r="AZ39" s="23" t="s">
        <v>18</v>
      </c>
      <c r="BA39" s="24">
        <v>190</v>
      </c>
      <c r="BB39" s="29" t="s">
        <v>63</v>
      </c>
      <c r="BC39" s="49" t="s">
        <v>2</v>
      </c>
      <c r="BD39" s="19" t="s">
        <v>20</v>
      </c>
      <c r="BE39" s="22" t="s">
        <v>15</v>
      </c>
      <c r="BF39" s="23" t="s">
        <v>18</v>
      </c>
      <c r="BG39" s="24">
        <v>110</v>
      </c>
      <c r="BH39" s="29" t="s">
        <v>64</v>
      </c>
      <c r="BI39" s="49" t="s">
        <v>2</v>
      </c>
      <c r="BJ39" s="19" t="s">
        <v>20</v>
      </c>
      <c r="BK39" s="22" t="s">
        <v>15</v>
      </c>
      <c r="BL39" s="23" t="s">
        <v>18</v>
      </c>
      <c r="BM39" s="24">
        <v>82</v>
      </c>
      <c r="BN39" s="29" t="s">
        <v>65</v>
      </c>
      <c r="BO39" s="49" t="s">
        <v>2</v>
      </c>
      <c r="BP39" s="19" t="s">
        <v>20</v>
      </c>
      <c r="BQ39" s="22" t="s">
        <v>15</v>
      </c>
      <c r="BR39" s="23" t="s">
        <v>18</v>
      </c>
      <c r="BS39" s="24">
        <v>100</v>
      </c>
      <c r="BT39" s="29" t="s">
        <v>66</v>
      </c>
    </row>
    <row r="40" spans="1:72" ht="12" customHeight="1" x14ac:dyDescent="0.15">
      <c r="A40" s="49" t="s">
        <v>2</v>
      </c>
      <c r="B40" s="19" t="s">
        <v>20</v>
      </c>
      <c r="C40" s="19" t="s">
        <v>15</v>
      </c>
      <c r="D40" s="23" t="s">
        <v>19</v>
      </c>
      <c r="E40" s="25">
        <v>1000</v>
      </c>
      <c r="F40" s="34" t="s">
        <v>56</v>
      </c>
      <c r="G40" s="49" t="s">
        <v>2</v>
      </c>
      <c r="H40" s="19" t="s">
        <v>20</v>
      </c>
      <c r="I40" s="19" t="s">
        <v>15</v>
      </c>
      <c r="J40" s="23" t="s">
        <v>19</v>
      </c>
      <c r="K40" s="25">
        <v>1200</v>
      </c>
      <c r="L40" s="34" t="s">
        <v>57</v>
      </c>
      <c r="M40" s="49" t="s">
        <v>2</v>
      </c>
      <c r="N40" s="19" t="s">
        <v>20</v>
      </c>
      <c r="O40" s="19" t="s">
        <v>15</v>
      </c>
      <c r="P40" s="23" t="s">
        <v>19</v>
      </c>
      <c r="Q40" s="24">
        <v>850</v>
      </c>
      <c r="R40" s="34" t="s">
        <v>58</v>
      </c>
      <c r="S40" s="49" t="s">
        <v>2</v>
      </c>
      <c r="T40" s="19" t="s">
        <v>20</v>
      </c>
      <c r="U40" s="19" t="s">
        <v>15</v>
      </c>
      <c r="V40" s="23" t="s">
        <v>19</v>
      </c>
      <c r="W40" s="24">
        <v>750</v>
      </c>
      <c r="X40" s="34" t="s">
        <v>124</v>
      </c>
      <c r="Y40" s="49" t="s">
        <v>2</v>
      </c>
      <c r="Z40" s="19" t="s">
        <v>20</v>
      </c>
      <c r="AA40" s="19" t="s">
        <v>15</v>
      </c>
      <c r="AB40" s="23" t="s">
        <v>19</v>
      </c>
      <c r="AC40" s="24">
        <v>830</v>
      </c>
      <c r="AD40" s="34" t="s">
        <v>59</v>
      </c>
      <c r="AE40" s="49" t="s">
        <v>2</v>
      </c>
      <c r="AF40" s="19" t="s">
        <v>20</v>
      </c>
      <c r="AG40" s="19" t="s">
        <v>15</v>
      </c>
      <c r="AH40" s="23" t="s">
        <v>19</v>
      </c>
      <c r="AI40" s="24">
        <v>520</v>
      </c>
      <c r="AJ40" s="34" t="s">
        <v>60</v>
      </c>
      <c r="AK40" s="49" t="s">
        <v>2</v>
      </c>
      <c r="AL40" s="19" t="s">
        <v>20</v>
      </c>
      <c r="AM40" s="19" t="s">
        <v>15</v>
      </c>
      <c r="AN40" s="23" t="s">
        <v>19</v>
      </c>
      <c r="AO40" s="24">
        <v>410</v>
      </c>
      <c r="AP40" s="34" t="s">
        <v>61</v>
      </c>
      <c r="AQ40" s="49" t="s">
        <v>2</v>
      </c>
      <c r="AR40" s="19" t="s">
        <v>20</v>
      </c>
      <c r="AS40" s="19" t="s">
        <v>15</v>
      </c>
      <c r="AT40" s="23" t="s">
        <v>19</v>
      </c>
      <c r="AU40" s="24">
        <v>790</v>
      </c>
      <c r="AV40" s="34" t="s">
        <v>62</v>
      </c>
      <c r="AW40" s="49" t="s">
        <v>2</v>
      </c>
      <c r="AX40" s="19" t="s">
        <v>20</v>
      </c>
      <c r="AY40" s="19" t="s">
        <v>15</v>
      </c>
      <c r="AZ40" s="23" t="s">
        <v>19</v>
      </c>
      <c r="BA40" s="24">
        <v>460</v>
      </c>
      <c r="BB40" s="34" t="s">
        <v>63</v>
      </c>
      <c r="BC40" s="49" t="s">
        <v>2</v>
      </c>
      <c r="BD40" s="19" t="s">
        <v>20</v>
      </c>
      <c r="BE40" s="19" t="s">
        <v>15</v>
      </c>
      <c r="BF40" s="23" t="s">
        <v>19</v>
      </c>
      <c r="BG40" s="24">
        <v>260</v>
      </c>
      <c r="BH40" s="34" t="s">
        <v>64</v>
      </c>
      <c r="BI40" s="49" t="s">
        <v>2</v>
      </c>
      <c r="BJ40" s="19" t="s">
        <v>20</v>
      </c>
      <c r="BK40" s="19" t="s">
        <v>15</v>
      </c>
      <c r="BL40" s="23" t="s">
        <v>19</v>
      </c>
      <c r="BM40" s="24">
        <v>230</v>
      </c>
      <c r="BN40" s="34" t="s">
        <v>65</v>
      </c>
      <c r="BO40" s="49" t="s">
        <v>2</v>
      </c>
      <c r="BP40" s="19" t="s">
        <v>20</v>
      </c>
      <c r="BQ40" s="19" t="s">
        <v>15</v>
      </c>
      <c r="BR40" s="23" t="s">
        <v>19</v>
      </c>
      <c r="BS40" s="24">
        <v>250</v>
      </c>
      <c r="BT40" s="34" t="s">
        <v>66</v>
      </c>
    </row>
    <row r="41" spans="1:72" ht="12" customHeight="1" x14ac:dyDescent="0.15">
      <c r="A41" s="49" t="s">
        <v>2</v>
      </c>
      <c r="B41" s="19" t="s">
        <v>20</v>
      </c>
      <c r="C41" s="19" t="s">
        <v>15</v>
      </c>
      <c r="D41" s="23" t="s">
        <v>0</v>
      </c>
      <c r="E41" s="25">
        <v>1530</v>
      </c>
      <c r="F41" s="35" t="s">
        <v>56</v>
      </c>
      <c r="G41" s="49" t="s">
        <v>2</v>
      </c>
      <c r="H41" s="19" t="s">
        <v>20</v>
      </c>
      <c r="I41" s="19" t="s">
        <v>15</v>
      </c>
      <c r="J41" s="23" t="s">
        <v>0</v>
      </c>
      <c r="K41" s="25">
        <v>1760</v>
      </c>
      <c r="L41" s="35" t="s">
        <v>57</v>
      </c>
      <c r="M41" s="49" t="s">
        <v>2</v>
      </c>
      <c r="N41" s="19" t="s">
        <v>20</v>
      </c>
      <c r="O41" s="19" t="s">
        <v>15</v>
      </c>
      <c r="P41" s="23" t="s">
        <v>0</v>
      </c>
      <c r="Q41" s="25">
        <v>1270</v>
      </c>
      <c r="R41" s="35" t="s">
        <v>58</v>
      </c>
      <c r="S41" s="49" t="s">
        <v>2</v>
      </c>
      <c r="T41" s="19" t="s">
        <v>20</v>
      </c>
      <c r="U41" s="19" t="s">
        <v>15</v>
      </c>
      <c r="V41" s="23" t="s">
        <v>0</v>
      </c>
      <c r="W41" s="25">
        <v>1090</v>
      </c>
      <c r="X41" s="35" t="s">
        <v>124</v>
      </c>
      <c r="Y41" s="49" t="s">
        <v>2</v>
      </c>
      <c r="Z41" s="19" t="s">
        <v>20</v>
      </c>
      <c r="AA41" s="19" t="s">
        <v>15</v>
      </c>
      <c r="AB41" s="23" t="s">
        <v>0</v>
      </c>
      <c r="AC41" s="25">
        <v>1220</v>
      </c>
      <c r="AD41" s="35" t="s">
        <v>59</v>
      </c>
      <c r="AE41" s="49" t="s">
        <v>2</v>
      </c>
      <c r="AF41" s="19" t="s">
        <v>20</v>
      </c>
      <c r="AG41" s="19" t="s">
        <v>15</v>
      </c>
      <c r="AH41" s="23" t="s">
        <v>0</v>
      </c>
      <c r="AI41" s="24">
        <v>760</v>
      </c>
      <c r="AJ41" s="35" t="s">
        <v>60</v>
      </c>
      <c r="AK41" s="49" t="s">
        <v>2</v>
      </c>
      <c r="AL41" s="19" t="s">
        <v>20</v>
      </c>
      <c r="AM41" s="19" t="s">
        <v>15</v>
      </c>
      <c r="AN41" s="23" t="s">
        <v>0</v>
      </c>
      <c r="AO41" s="24">
        <v>580</v>
      </c>
      <c r="AP41" s="35" t="s">
        <v>61</v>
      </c>
      <c r="AQ41" s="49" t="s">
        <v>2</v>
      </c>
      <c r="AR41" s="19" t="s">
        <v>20</v>
      </c>
      <c r="AS41" s="19" t="s">
        <v>15</v>
      </c>
      <c r="AT41" s="23" t="s">
        <v>0</v>
      </c>
      <c r="AU41" s="25">
        <v>1120</v>
      </c>
      <c r="AV41" s="35" t="s">
        <v>62</v>
      </c>
      <c r="AW41" s="49" t="s">
        <v>2</v>
      </c>
      <c r="AX41" s="19" t="s">
        <v>20</v>
      </c>
      <c r="AY41" s="19" t="s">
        <v>15</v>
      </c>
      <c r="AZ41" s="23" t="s">
        <v>0</v>
      </c>
      <c r="BA41" s="24">
        <v>650</v>
      </c>
      <c r="BB41" s="35" t="s">
        <v>63</v>
      </c>
      <c r="BC41" s="49" t="s">
        <v>2</v>
      </c>
      <c r="BD41" s="19" t="s">
        <v>20</v>
      </c>
      <c r="BE41" s="19" t="s">
        <v>15</v>
      </c>
      <c r="BF41" s="23" t="s">
        <v>0</v>
      </c>
      <c r="BG41" s="24">
        <v>370</v>
      </c>
      <c r="BH41" s="35" t="s">
        <v>64</v>
      </c>
      <c r="BI41" s="49" t="s">
        <v>2</v>
      </c>
      <c r="BJ41" s="19" t="s">
        <v>20</v>
      </c>
      <c r="BK41" s="19" t="s">
        <v>15</v>
      </c>
      <c r="BL41" s="23" t="s">
        <v>0</v>
      </c>
      <c r="BM41" s="24">
        <v>312</v>
      </c>
      <c r="BN41" s="35" t="s">
        <v>65</v>
      </c>
      <c r="BO41" s="49" t="s">
        <v>2</v>
      </c>
      <c r="BP41" s="19" t="s">
        <v>20</v>
      </c>
      <c r="BQ41" s="19" t="s">
        <v>15</v>
      </c>
      <c r="BR41" s="23" t="s">
        <v>0</v>
      </c>
      <c r="BS41" s="24">
        <v>350</v>
      </c>
      <c r="BT41" s="35" t="s">
        <v>66</v>
      </c>
    </row>
    <row r="42" spans="1:72" ht="12" customHeight="1" x14ac:dyDescent="0.15">
      <c r="A42" s="49" t="s">
        <v>2</v>
      </c>
      <c r="B42" s="19" t="s">
        <v>10</v>
      </c>
      <c r="C42" s="22" t="s">
        <v>16</v>
      </c>
      <c r="D42" s="23" t="s">
        <v>18</v>
      </c>
      <c r="E42" s="24">
        <v>330</v>
      </c>
      <c r="F42" s="29" t="s">
        <v>67</v>
      </c>
      <c r="G42" s="49" t="s">
        <v>2</v>
      </c>
      <c r="H42" s="19" t="s">
        <v>10</v>
      </c>
      <c r="I42" s="22" t="s">
        <v>16</v>
      </c>
      <c r="J42" s="23" t="s">
        <v>18</v>
      </c>
      <c r="K42" s="24">
        <v>320</v>
      </c>
      <c r="L42" s="29" t="s">
        <v>68</v>
      </c>
      <c r="M42" s="49" t="s">
        <v>2</v>
      </c>
      <c r="N42" s="19" t="s">
        <v>10</v>
      </c>
      <c r="O42" s="22" t="s">
        <v>16</v>
      </c>
      <c r="P42" s="23" t="s">
        <v>18</v>
      </c>
      <c r="Q42" s="24">
        <v>290</v>
      </c>
      <c r="R42" s="29" t="s">
        <v>69</v>
      </c>
      <c r="S42" s="49" t="s">
        <v>2</v>
      </c>
      <c r="T42" s="19" t="s">
        <v>10</v>
      </c>
      <c r="U42" s="22" t="s">
        <v>16</v>
      </c>
      <c r="V42" s="23" t="s">
        <v>18</v>
      </c>
      <c r="W42" s="24">
        <v>250</v>
      </c>
      <c r="X42" s="29" t="s">
        <v>122</v>
      </c>
      <c r="Y42" s="49" t="s">
        <v>2</v>
      </c>
      <c r="Z42" s="19" t="s">
        <v>10</v>
      </c>
      <c r="AA42" s="22" t="s">
        <v>16</v>
      </c>
      <c r="AB42" s="23" t="s">
        <v>18</v>
      </c>
      <c r="AC42" s="24">
        <v>220</v>
      </c>
      <c r="AD42" s="29" t="s">
        <v>70</v>
      </c>
      <c r="AE42" s="49" t="s">
        <v>2</v>
      </c>
      <c r="AF42" s="19" t="s">
        <v>10</v>
      </c>
      <c r="AG42" s="22" t="s">
        <v>16</v>
      </c>
      <c r="AH42" s="23" t="s">
        <v>18</v>
      </c>
      <c r="AI42" s="24">
        <v>160</v>
      </c>
      <c r="AJ42" s="29" t="s">
        <v>71</v>
      </c>
      <c r="AK42" s="49" t="s">
        <v>2</v>
      </c>
      <c r="AL42" s="19" t="s">
        <v>10</v>
      </c>
      <c r="AM42" s="22" t="s">
        <v>16</v>
      </c>
      <c r="AN42" s="23" t="s">
        <v>18</v>
      </c>
      <c r="AO42" s="24">
        <v>190</v>
      </c>
      <c r="AP42" s="29" t="s">
        <v>72</v>
      </c>
      <c r="AQ42" s="49" t="s">
        <v>2</v>
      </c>
      <c r="AR42" s="19" t="s">
        <v>10</v>
      </c>
      <c r="AS42" s="22" t="s">
        <v>16</v>
      </c>
      <c r="AT42" s="23" t="s">
        <v>18</v>
      </c>
      <c r="AU42" s="24">
        <v>150</v>
      </c>
      <c r="AV42" s="29" t="s">
        <v>73</v>
      </c>
      <c r="AW42" s="49" t="s">
        <v>2</v>
      </c>
      <c r="AX42" s="19" t="s">
        <v>10</v>
      </c>
      <c r="AY42" s="22" t="s">
        <v>16</v>
      </c>
      <c r="AZ42" s="23" t="s">
        <v>18</v>
      </c>
      <c r="BA42" s="24">
        <v>270</v>
      </c>
      <c r="BB42" s="29" t="s">
        <v>74</v>
      </c>
      <c r="BC42" s="49" t="s">
        <v>2</v>
      </c>
      <c r="BD42" s="19" t="s">
        <v>10</v>
      </c>
      <c r="BE42" s="22" t="s">
        <v>16</v>
      </c>
      <c r="BF42" s="23" t="s">
        <v>18</v>
      </c>
      <c r="BG42" s="24">
        <v>220</v>
      </c>
      <c r="BH42" s="29" t="s">
        <v>44</v>
      </c>
      <c r="BI42" s="49" t="s">
        <v>2</v>
      </c>
      <c r="BJ42" s="19" t="s">
        <v>10</v>
      </c>
      <c r="BK42" s="22" t="s">
        <v>16</v>
      </c>
      <c r="BL42" s="23" t="s">
        <v>18</v>
      </c>
      <c r="BM42" s="24">
        <v>200</v>
      </c>
      <c r="BN42" s="29" t="s">
        <v>65</v>
      </c>
      <c r="BO42" s="49" t="s">
        <v>2</v>
      </c>
      <c r="BP42" s="19" t="s">
        <v>10</v>
      </c>
      <c r="BQ42" s="22" t="s">
        <v>16</v>
      </c>
      <c r="BR42" s="23" t="s">
        <v>18</v>
      </c>
      <c r="BS42" s="24">
        <v>160</v>
      </c>
      <c r="BT42" s="29" t="s">
        <v>75</v>
      </c>
    </row>
    <row r="43" spans="1:72" ht="12" customHeight="1" x14ac:dyDescent="0.15">
      <c r="A43" s="49" t="s">
        <v>2</v>
      </c>
      <c r="B43" s="19" t="s">
        <v>10</v>
      </c>
      <c r="C43" s="19" t="s">
        <v>16</v>
      </c>
      <c r="D43" s="23" t="s">
        <v>19</v>
      </c>
      <c r="E43" s="26">
        <v>640</v>
      </c>
      <c r="F43" s="34" t="s">
        <v>67</v>
      </c>
      <c r="G43" s="49" t="s">
        <v>2</v>
      </c>
      <c r="H43" s="19" t="s">
        <v>10</v>
      </c>
      <c r="I43" s="19" t="s">
        <v>16</v>
      </c>
      <c r="J43" s="23" t="s">
        <v>19</v>
      </c>
      <c r="K43" s="24">
        <v>670</v>
      </c>
      <c r="L43" s="34" t="s">
        <v>68</v>
      </c>
      <c r="M43" s="49" t="s">
        <v>2</v>
      </c>
      <c r="N43" s="19" t="s">
        <v>10</v>
      </c>
      <c r="O43" s="19" t="s">
        <v>16</v>
      </c>
      <c r="P43" s="23" t="s">
        <v>19</v>
      </c>
      <c r="Q43" s="24">
        <v>590</v>
      </c>
      <c r="R43" s="34" t="s">
        <v>69</v>
      </c>
      <c r="S43" s="49" t="s">
        <v>2</v>
      </c>
      <c r="T43" s="19" t="s">
        <v>10</v>
      </c>
      <c r="U43" s="19" t="s">
        <v>16</v>
      </c>
      <c r="V43" s="23" t="s">
        <v>19</v>
      </c>
      <c r="W43" s="24">
        <v>530</v>
      </c>
      <c r="X43" s="34" t="s">
        <v>122</v>
      </c>
      <c r="Y43" s="49" t="s">
        <v>2</v>
      </c>
      <c r="Z43" s="19" t="s">
        <v>10</v>
      </c>
      <c r="AA43" s="19" t="s">
        <v>16</v>
      </c>
      <c r="AB43" s="23" t="s">
        <v>19</v>
      </c>
      <c r="AC43" s="24">
        <v>450</v>
      </c>
      <c r="AD43" s="34" t="s">
        <v>70</v>
      </c>
      <c r="AE43" s="49" t="s">
        <v>2</v>
      </c>
      <c r="AF43" s="19" t="s">
        <v>10</v>
      </c>
      <c r="AG43" s="19" t="s">
        <v>16</v>
      </c>
      <c r="AH43" s="23" t="s">
        <v>19</v>
      </c>
      <c r="AI43" s="24">
        <v>370</v>
      </c>
      <c r="AJ43" s="34" t="s">
        <v>71</v>
      </c>
      <c r="AK43" s="49" t="s">
        <v>2</v>
      </c>
      <c r="AL43" s="19" t="s">
        <v>10</v>
      </c>
      <c r="AM43" s="19" t="s">
        <v>16</v>
      </c>
      <c r="AN43" s="23" t="s">
        <v>19</v>
      </c>
      <c r="AO43" s="24">
        <v>410</v>
      </c>
      <c r="AP43" s="34" t="s">
        <v>72</v>
      </c>
      <c r="AQ43" s="49" t="s">
        <v>2</v>
      </c>
      <c r="AR43" s="19" t="s">
        <v>10</v>
      </c>
      <c r="AS43" s="19" t="s">
        <v>16</v>
      </c>
      <c r="AT43" s="23" t="s">
        <v>19</v>
      </c>
      <c r="AU43" s="24">
        <v>360</v>
      </c>
      <c r="AV43" s="34" t="s">
        <v>73</v>
      </c>
      <c r="AW43" s="49" t="s">
        <v>2</v>
      </c>
      <c r="AX43" s="19" t="s">
        <v>10</v>
      </c>
      <c r="AY43" s="19" t="s">
        <v>16</v>
      </c>
      <c r="AZ43" s="23" t="s">
        <v>19</v>
      </c>
      <c r="BA43" s="24">
        <v>630</v>
      </c>
      <c r="BB43" s="34" t="s">
        <v>74</v>
      </c>
      <c r="BC43" s="49" t="s">
        <v>2</v>
      </c>
      <c r="BD43" s="19" t="s">
        <v>10</v>
      </c>
      <c r="BE43" s="19" t="s">
        <v>16</v>
      </c>
      <c r="BF43" s="23" t="s">
        <v>19</v>
      </c>
      <c r="BG43" s="23">
        <v>540</v>
      </c>
      <c r="BH43" s="34" t="s">
        <v>44</v>
      </c>
      <c r="BI43" s="49" t="s">
        <v>2</v>
      </c>
      <c r="BJ43" s="19" t="s">
        <v>10</v>
      </c>
      <c r="BK43" s="19" t="s">
        <v>16</v>
      </c>
      <c r="BL43" s="23" t="s">
        <v>19</v>
      </c>
      <c r="BM43" s="24">
        <v>490</v>
      </c>
      <c r="BN43" s="34" t="s">
        <v>65</v>
      </c>
      <c r="BO43" s="49" t="s">
        <v>2</v>
      </c>
      <c r="BP43" s="19" t="s">
        <v>10</v>
      </c>
      <c r="BQ43" s="19" t="s">
        <v>16</v>
      </c>
      <c r="BR43" s="23" t="s">
        <v>19</v>
      </c>
      <c r="BS43" s="24">
        <v>430</v>
      </c>
      <c r="BT43" s="34" t="s">
        <v>75</v>
      </c>
    </row>
    <row r="44" spans="1:72" ht="12" customHeight="1" x14ac:dyDescent="0.15">
      <c r="A44" s="49" t="s">
        <v>2</v>
      </c>
      <c r="B44" s="19" t="s">
        <v>10</v>
      </c>
      <c r="C44" s="19" t="s">
        <v>16</v>
      </c>
      <c r="D44" s="23" t="s">
        <v>0</v>
      </c>
      <c r="E44" s="24">
        <v>970</v>
      </c>
      <c r="F44" s="35" t="s">
        <v>67</v>
      </c>
      <c r="G44" s="49" t="s">
        <v>2</v>
      </c>
      <c r="H44" s="19" t="s">
        <v>10</v>
      </c>
      <c r="I44" s="19" t="s">
        <v>16</v>
      </c>
      <c r="J44" s="23" t="s">
        <v>0</v>
      </c>
      <c r="K44" s="24">
        <v>990</v>
      </c>
      <c r="L44" s="35" t="s">
        <v>68</v>
      </c>
      <c r="M44" s="49" t="s">
        <v>2</v>
      </c>
      <c r="N44" s="19" t="s">
        <v>10</v>
      </c>
      <c r="O44" s="19" t="s">
        <v>16</v>
      </c>
      <c r="P44" s="23" t="s">
        <v>0</v>
      </c>
      <c r="Q44" s="24">
        <v>880</v>
      </c>
      <c r="R44" s="35" t="s">
        <v>69</v>
      </c>
      <c r="S44" s="49" t="s">
        <v>2</v>
      </c>
      <c r="T44" s="19" t="s">
        <v>10</v>
      </c>
      <c r="U44" s="19" t="s">
        <v>16</v>
      </c>
      <c r="V44" s="23" t="s">
        <v>0</v>
      </c>
      <c r="W44" s="24">
        <v>780</v>
      </c>
      <c r="X44" s="35" t="s">
        <v>122</v>
      </c>
      <c r="Y44" s="49" t="s">
        <v>2</v>
      </c>
      <c r="Z44" s="19" t="s">
        <v>10</v>
      </c>
      <c r="AA44" s="19" t="s">
        <v>16</v>
      </c>
      <c r="AB44" s="23" t="s">
        <v>0</v>
      </c>
      <c r="AC44" s="24">
        <v>670</v>
      </c>
      <c r="AD44" s="35" t="s">
        <v>70</v>
      </c>
      <c r="AE44" s="49" t="s">
        <v>2</v>
      </c>
      <c r="AF44" s="19" t="s">
        <v>10</v>
      </c>
      <c r="AG44" s="19" t="s">
        <v>16</v>
      </c>
      <c r="AH44" s="23" t="s">
        <v>0</v>
      </c>
      <c r="AI44" s="24">
        <v>530</v>
      </c>
      <c r="AJ44" s="35" t="s">
        <v>71</v>
      </c>
      <c r="AK44" s="49" t="s">
        <v>2</v>
      </c>
      <c r="AL44" s="19" t="s">
        <v>10</v>
      </c>
      <c r="AM44" s="19" t="s">
        <v>16</v>
      </c>
      <c r="AN44" s="23" t="s">
        <v>0</v>
      </c>
      <c r="AO44" s="24">
        <v>600</v>
      </c>
      <c r="AP44" s="35" t="s">
        <v>72</v>
      </c>
      <c r="AQ44" s="49" t="s">
        <v>2</v>
      </c>
      <c r="AR44" s="19" t="s">
        <v>10</v>
      </c>
      <c r="AS44" s="19" t="s">
        <v>16</v>
      </c>
      <c r="AT44" s="23" t="s">
        <v>0</v>
      </c>
      <c r="AU44" s="24">
        <v>510</v>
      </c>
      <c r="AV44" s="35" t="s">
        <v>73</v>
      </c>
      <c r="AW44" s="49" t="s">
        <v>2</v>
      </c>
      <c r="AX44" s="19" t="s">
        <v>10</v>
      </c>
      <c r="AY44" s="19" t="s">
        <v>16</v>
      </c>
      <c r="AZ44" s="23" t="s">
        <v>0</v>
      </c>
      <c r="BA44" s="24">
        <v>900</v>
      </c>
      <c r="BB44" s="35" t="s">
        <v>74</v>
      </c>
      <c r="BC44" s="49" t="s">
        <v>2</v>
      </c>
      <c r="BD44" s="19" t="s">
        <v>10</v>
      </c>
      <c r="BE44" s="19" t="s">
        <v>16</v>
      </c>
      <c r="BF44" s="23" t="s">
        <v>0</v>
      </c>
      <c r="BG44" s="24">
        <v>760</v>
      </c>
      <c r="BH44" s="35" t="s">
        <v>44</v>
      </c>
      <c r="BI44" s="49" t="s">
        <v>2</v>
      </c>
      <c r="BJ44" s="19" t="s">
        <v>10</v>
      </c>
      <c r="BK44" s="19" t="s">
        <v>16</v>
      </c>
      <c r="BL44" s="23" t="s">
        <v>0</v>
      </c>
      <c r="BM44" s="24">
        <v>690</v>
      </c>
      <c r="BN44" s="35" t="s">
        <v>65</v>
      </c>
      <c r="BO44" s="49" t="s">
        <v>2</v>
      </c>
      <c r="BP44" s="19" t="s">
        <v>10</v>
      </c>
      <c r="BQ44" s="19" t="s">
        <v>16</v>
      </c>
      <c r="BR44" s="23" t="s">
        <v>0</v>
      </c>
      <c r="BS44" s="24">
        <v>590</v>
      </c>
      <c r="BT44" s="35" t="s">
        <v>75</v>
      </c>
    </row>
    <row r="45" spans="1:72" ht="12" customHeight="1" x14ac:dyDescent="0.15">
      <c r="A45" s="49" t="s">
        <v>2</v>
      </c>
      <c r="B45" s="19" t="s">
        <v>21</v>
      </c>
      <c r="C45" s="22" t="s">
        <v>8</v>
      </c>
      <c r="D45" s="23" t="s">
        <v>18</v>
      </c>
      <c r="E45" s="26">
        <v>1.5</v>
      </c>
      <c r="F45" s="29" t="s">
        <v>76</v>
      </c>
      <c r="G45" s="49" t="s">
        <v>2</v>
      </c>
      <c r="H45" s="19" t="s">
        <v>21</v>
      </c>
      <c r="I45" s="22" t="s">
        <v>8</v>
      </c>
      <c r="J45" s="23" t="s">
        <v>18</v>
      </c>
      <c r="K45" s="26">
        <v>1.4</v>
      </c>
      <c r="L45" s="29" t="s">
        <v>77</v>
      </c>
      <c r="M45" s="49" t="s">
        <v>2</v>
      </c>
      <c r="N45" s="19" t="s">
        <v>21</v>
      </c>
      <c r="O45" s="22" t="s">
        <v>8</v>
      </c>
      <c r="P45" s="23" t="s">
        <v>18</v>
      </c>
      <c r="Q45" s="27">
        <v>1.3</v>
      </c>
      <c r="R45" s="29" t="s">
        <v>41</v>
      </c>
      <c r="S45" s="49" t="s">
        <v>2</v>
      </c>
      <c r="T45" s="19" t="s">
        <v>21</v>
      </c>
      <c r="U45" s="22" t="s">
        <v>8</v>
      </c>
      <c r="V45" s="23" t="s">
        <v>18</v>
      </c>
      <c r="W45" s="23">
        <v>7.2</v>
      </c>
      <c r="X45" s="29" t="s">
        <v>125</v>
      </c>
      <c r="Y45" s="49" t="s">
        <v>2</v>
      </c>
      <c r="Z45" s="19" t="s">
        <v>21</v>
      </c>
      <c r="AA45" s="22" t="s">
        <v>8</v>
      </c>
      <c r="AB45" s="23" t="s">
        <v>18</v>
      </c>
      <c r="AC45" s="27">
        <v>6.1</v>
      </c>
      <c r="AD45" s="29" t="s">
        <v>59</v>
      </c>
      <c r="AE45" s="49" t="s">
        <v>2</v>
      </c>
      <c r="AF45" s="19" t="s">
        <v>21</v>
      </c>
      <c r="AG45" s="22" t="s">
        <v>8</v>
      </c>
      <c r="AH45" s="23" t="s">
        <v>18</v>
      </c>
      <c r="AI45" s="24">
        <v>53</v>
      </c>
      <c r="AJ45" s="29" t="s">
        <v>78</v>
      </c>
      <c r="AK45" s="49" t="s">
        <v>2</v>
      </c>
      <c r="AL45" s="19" t="s">
        <v>21</v>
      </c>
      <c r="AM45" s="22" t="s">
        <v>8</v>
      </c>
      <c r="AN45" s="23" t="s">
        <v>18</v>
      </c>
      <c r="AO45" s="27">
        <v>4</v>
      </c>
      <c r="AP45" s="29" t="s">
        <v>79</v>
      </c>
      <c r="AQ45" s="49" t="s">
        <v>2</v>
      </c>
      <c r="AR45" s="19" t="s">
        <v>21</v>
      </c>
      <c r="AS45" s="22" t="s">
        <v>8</v>
      </c>
      <c r="AT45" s="23" t="s">
        <v>18</v>
      </c>
      <c r="AU45" s="27">
        <v>2</v>
      </c>
      <c r="AV45" s="29" t="s">
        <v>80</v>
      </c>
      <c r="AW45" s="49" t="s">
        <v>2</v>
      </c>
      <c r="AX45" s="19" t="s">
        <v>21</v>
      </c>
      <c r="AY45" s="22" t="s">
        <v>8</v>
      </c>
      <c r="AZ45" s="23" t="s">
        <v>18</v>
      </c>
      <c r="BA45" s="27">
        <v>2.1</v>
      </c>
      <c r="BB45" s="29" t="s">
        <v>63</v>
      </c>
      <c r="BC45" s="49" t="s">
        <v>2</v>
      </c>
      <c r="BD45" s="19" t="s">
        <v>21</v>
      </c>
      <c r="BE45" s="22" t="s">
        <v>8</v>
      </c>
      <c r="BF45" s="23" t="s">
        <v>18</v>
      </c>
      <c r="BG45" s="27">
        <v>2.6</v>
      </c>
      <c r="BH45" s="29" t="s">
        <v>81</v>
      </c>
      <c r="BI45" s="49" t="s">
        <v>2</v>
      </c>
      <c r="BJ45" s="19" t="s">
        <v>21</v>
      </c>
      <c r="BK45" s="22" t="s">
        <v>8</v>
      </c>
      <c r="BL45" s="23" t="s">
        <v>18</v>
      </c>
      <c r="BM45" s="27">
        <v>2.2999999999999998</v>
      </c>
      <c r="BN45" s="29" t="s">
        <v>82</v>
      </c>
      <c r="BO45" s="49" t="s">
        <v>2</v>
      </c>
      <c r="BP45" s="19" t="s">
        <v>21</v>
      </c>
      <c r="BQ45" s="22" t="s">
        <v>8</v>
      </c>
      <c r="BR45" s="23" t="s">
        <v>18</v>
      </c>
      <c r="BS45" s="46">
        <v>3.5</v>
      </c>
      <c r="BT45" s="29" t="s">
        <v>83</v>
      </c>
    </row>
    <row r="46" spans="1:72" ht="12" customHeight="1" x14ac:dyDescent="0.15">
      <c r="A46" s="49" t="s">
        <v>2</v>
      </c>
      <c r="B46" s="19" t="s">
        <v>21</v>
      </c>
      <c r="C46" s="19" t="s">
        <v>8</v>
      </c>
      <c r="D46" s="23" t="s">
        <v>19</v>
      </c>
      <c r="E46" s="24">
        <v>3.3</v>
      </c>
      <c r="F46" s="34" t="s">
        <v>76</v>
      </c>
      <c r="G46" s="49" t="s">
        <v>2</v>
      </c>
      <c r="H46" s="19" t="s">
        <v>21</v>
      </c>
      <c r="I46" s="19" t="s">
        <v>8</v>
      </c>
      <c r="J46" s="23" t="s">
        <v>19</v>
      </c>
      <c r="K46" s="27">
        <v>3.2</v>
      </c>
      <c r="L46" s="34" t="s">
        <v>77</v>
      </c>
      <c r="M46" s="49" t="s">
        <v>2</v>
      </c>
      <c r="N46" s="19" t="s">
        <v>21</v>
      </c>
      <c r="O46" s="19" t="s">
        <v>8</v>
      </c>
      <c r="P46" s="23" t="s">
        <v>19</v>
      </c>
      <c r="Q46" s="27">
        <v>3.3</v>
      </c>
      <c r="R46" s="34" t="s">
        <v>41</v>
      </c>
      <c r="S46" s="49" t="s">
        <v>2</v>
      </c>
      <c r="T46" s="19" t="s">
        <v>21</v>
      </c>
      <c r="U46" s="19" t="s">
        <v>8</v>
      </c>
      <c r="V46" s="23" t="s">
        <v>19</v>
      </c>
      <c r="W46" s="24">
        <v>16</v>
      </c>
      <c r="X46" s="34" t="s">
        <v>125</v>
      </c>
      <c r="Y46" s="49" t="s">
        <v>2</v>
      </c>
      <c r="Z46" s="19" t="s">
        <v>21</v>
      </c>
      <c r="AA46" s="19" t="s">
        <v>8</v>
      </c>
      <c r="AB46" s="23" t="s">
        <v>19</v>
      </c>
      <c r="AC46" s="24">
        <v>15</v>
      </c>
      <c r="AD46" s="34" t="s">
        <v>59</v>
      </c>
      <c r="AE46" s="49" t="s">
        <v>2</v>
      </c>
      <c r="AF46" s="19" t="s">
        <v>21</v>
      </c>
      <c r="AG46" s="19" t="s">
        <v>8</v>
      </c>
      <c r="AH46" s="23" t="s">
        <v>19</v>
      </c>
      <c r="AI46" s="24">
        <v>14</v>
      </c>
      <c r="AJ46" s="34" t="s">
        <v>78</v>
      </c>
      <c r="AK46" s="49" t="s">
        <v>2</v>
      </c>
      <c r="AL46" s="19" t="s">
        <v>21</v>
      </c>
      <c r="AM46" s="19" t="s">
        <v>8</v>
      </c>
      <c r="AN46" s="23" t="s">
        <v>19</v>
      </c>
      <c r="AO46" s="27">
        <v>9.1999999999999993</v>
      </c>
      <c r="AP46" s="34" t="s">
        <v>79</v>
      </c>
      <c r="AQ46" s="49" t="s">
        <v>2</v>
      </c>
      <c r="AR46" s="19" t="s">
        <v>21</v>
      </c>
      <c r="AS46" s="19" t="s">
        <v>8</v>
      </c>
      <c r="AT46" s="23" t="s">
        <v>19</v>
      </c>
      <c r="AU46" s="36">
        <v>6.7</v>
      </c>
      <c r="AV46" s="34" t="s">
        <v>80</v>
      </c>
      <c r="AW46" s="49" t="s">
        <v>2</v>
      </c>
      <c r="AX46" s="19" t="s">
        <v>21</v>
      </c>
      <c r="AY46" s="19" t="s">
        <v>8</v>
      </c>
      <c r="AZ46" s="23" t="s">
        <v>19</v>
      </c>
      <c r="BA46" s="27">
        <v>4.9000000000000004</v>
      </c>
      <c r="BB46" s="34" t="s">
        <v>63</v>
      </c>
      <c r="BC46" s="49" t="s">
        <v>2</v>
      </c>
      <c r="BD46" s="19" t="s">
        <v>21</v>
      </c>
      <c r="BE46" s="19" t="s">
        <v>8</v>
      </c>
      <c r="BF46" s="23" t="s">
        <v>19</v>
      </c>
      <c r="BG46" s="23">
        <v>7.8</v>
      </c>
      <c r="BH46" s="34" t="s">
        <v>81</v>
      </c>
      <c r="BI46" s="49" t="s">
        <v>2</v>
      </c>
      <c r="BJ46" s="19" t="s">
        <v>21</v>
      </c>
      <c r="BK46" s="19" t="s">
        <v>8</v>
      </c>
      <c r="BL46" s="23" t="s">
        <v>19</v>
      </c>
      <c r="BM46" s="46">
        <v>5.3</v>
      </c>
      <c r="BN46" s="34" t="s">
        <v>82</v>
      </c>
      <c r="BO46" s="49" t="s">
        <v>2</v>
      </c>
      <c r="BP46" s="19" t="s">
        <v>21</v>
      </c>
      <c r="BQ46" s="19" t="s">
        <v>8</v>
      </c>
      <c r="BR46" s="23" t="s">
        <v>19</v>
      </c>
      <c r="BS46" s="46">
        <v>8.6999999999999993</v>
      </c>
      <c r="BT46" s="34" t="s">
        <v>83</v>
      </c>
    </row>
    <row r="47" spans="1:72" ht="12" customHeight="1" x14ac:dyDescent="0.15">
      <c r="A47" s="49" t="s">
        <v>2</v>
      </c>
      <c r="B47" s="19" t="s">
        <v>21</v>
      </c>
      <c r="C47" s="19" t="s">
        <v>8</v>
      </c>
      <c r="D47" s="23" t="s">
        <v>0</v>
      </c>
      <c r="E47" s="27">
        <v>4.8</v>
      </c>
      <c r="F47" s="35" t="s">
        <v>76</v>
      </c>
      <c r="G47" s="49" t="s">
        <v>2</v>
      </c>
      <c r="H47" s="19" t="s">
        <v>21</v>
      </c>
      <c r="I47" s="19" t="s">
        <v>8</v>
      </c>
      <c r="J47" s="23" t="s">
        <v>0</v>
      </c>
      <c r="K47" s="27">
        <v>4.5999999999999996</v>
      </c>
      <c r="L47" s="35" t="s">
        <v>77</v>
      </c>
      <c r="M47" s="49" t="s">
        <v>2</v>
      </c>
      <c r="N47" s="19" t="s">
        <v>21</v>
      </c>
      <c r="O47" s="19" t="s">
        <v>8</v>
      </c>
      <c r="P47" s="23" t="s">
        <v>0</v>
      </c>
      <c r="Q47" s="27">
        <v>4.5999999999999996</v>
      </c>
      <c r="R47" s="35" t="s">
        <v>41</v>
      </c>
      <c r="S47" s="49" t="s">
        <v>2</v>
      </c>
      <c r="T47" s="19" t="s">
        <v>21</v>
      </c>
      <c r="U47" s="19" t="s">
        <v>8</v>
      </c>
      <c r="V47" s="23" t="s">
        <v>0</v>
      </c>
      <c r="W47" s="27">
        <v>23.2</v>
      </c>
      <c r="X47" s="35" t="s">
        <v>125</v>
      </c>
      <c r="Y47" s="49" t="s">
        <v>2</v>
      </c>
      <c r="Z47" s="19" t="s">
        <v>21</v>
      </c>
      <c r="AA47" s="19" t="s">
        <v>8</v>
      </c>
      <c r="AB47" s="23" t="s">
        <v>0</v>
      </c>
      <c r="AC47" s="27">
        <v>21.1</v>
      </c>
      <c r="AD47" s="35" t="s">
        <v>59</v>
      </c>
      <c r="AE47" s="49" t="s">
        <v>2</v>
      </c>
      <c r="AF47" s="19" t="s">
        <v>21</v>
      </c>
      <c r="AG47" s="19" t="s">
        <v>8</v>
      </c>
      <c r="AH47" s="23" t="s">
        <v>0</v>
      </c>
      <c r="AI47" s="27">
        <v>19.3</v>
      </c>
      <c r="AJ47" s="35" t="s">
        <v>78</v>
      </c>
      <c r="AK47" s="49" t="s">
        <v>2</v>
      </c>
      <c r="AL47" s="19" t="s">
        <v>21</v>
      </c>
      <c r="AM47" s="19" t="s">
        <v>8</v>
      </c>
      <c r="AN47" s="23" t="s">
        <v>0</v>
      </c>
      <c r="AO47" s="27">
        <v>13.2</v>
      </c>
      <c r="AP47" s="35" t="s">
        <v>79</v>
      </c>
      <c r="AQ47" s="49" t="s">
        <v>2</v>
      </c>
      <c r="AR47" s="19" t="s">
        <v>21</v>
      </c>
      <c r="AS47" s="19" t="s">
        <v>8</v>
      </c>
      <c r="AT47" s="23" t="s">
        <v>0</v>
      </c>
      <c r="AU47" s="27">
        <v>8.6999999999999993</v>
      </c>
      <c r="AV47" s="35" t="s">
        <v>80</v>
      </c>
      <c r="AW47" s="49" t="s">
        <v>2</v>
      </c>
      <c r="AX47" s="19" t="s">
        <v>21</v>
      </c>
      <c r="AY47" s="19" t="s">
        <v>8</v>
      </c>
      <c r="AZ47" s="23" t="s">
        <v>0</v>
      </c>
      <c r="BA47" s="23">
        <v>7</v>
      </c>
      <c r="BB47" s="35" t="s">
        <v>63</v>
      </c>
      <c r="BC47" s="49" t="s">
        <v>2</v>
      </c>
      <c r="BD47" s="19" t="s">
        <v>21</v>
      </c>
      <c r="BE47" s="19" t="s">
        <v>8</v>
      </c>
      <c r="BF47" s="23" t="s">
        <v>0</v>
      </c>
      <c r="BG47" s="27">
        <v>10.4</v>
      </c>
      <c r="BH47" s="35" t="s">
        <v>81</v>
      </c>
      <c r="BI47" s="49" t="s">
        <v>2</v>
      </c>
      <c r="BJ47" s="19" t="s">
        <v>21</v>
      </c>
      <c r="BK47" s="19" t="s">
        <v>8</v>
      </c>
      <c r="BL47" s="23" t="s">
        <v>0</v>
      </c>
      <c r="BM47" s="23">
        <v>7.6</v>
      </c>
      <c r="BN47" s="35" t="s">
        <v>82</v>
      </c>
      <c r="BO47" s="49" t="s">
        <v>2</v>
      </c>
      <c r="BP47" s="19" t="s">
        <v>21</v>
      </c>
      <c r="BQ47" s="19" t="s">
        <v>8</v>
      </c>
      <c r="BR47" s="23" t="s">
        <v>0</v>
      </c>
      <c r="BS47" s="27">
        <v>12.2</v>
      </c>
      <c r="BT47" s="35" t="s">
        <v>83</v>
      </c>
    </row>
    <row r="48" spans="1:72" ht="12" customHeight="1" x14ac:dyDescent="0.15">
      <c r="A48" s="49" t="s">
        <v>3</v>
      </c>
      <c r="B48" s="21" t="s">
        <v>9</v>
      </c>
      <c r="C48" s="22" t="s">
        <v>11</v>
      </c>
      <c r="D48" s="23" t="s">
        <v>18</v>
      </c>
      <c r="E48" s="24">
        <v>45</v>
      </c>
      <c r="F48" s="29" t="s">
        <v>76</v>
      </c>
      <c r="G48" s="49" t="s">
        <v>3</v>
      </c>
      <c r="H48" s="21" t="s">
        <v>9</v>
      </c>
      <c r="I48" s="22" t="s">
        <v>11</v>
      </c>
      <c r="J48" s="23" t="s">
        <v>18</v>
      </c>
      <c r="K48" s="24">
        <v>45</v>
      </c>
      <c r="L48" s="29" t="s">
        <v>84</v>
      </c>
      <c r="M48" s="49" t="s">
        <v>3</v>
      </c>
      <c r="N48" s="21" t="s">
        <v>9</v>
      </c>
      <c r="O48" s="22" t="s">
        <v>11</v>
      </c>
      <c r="P48" s="23" t="s">
        <v>18</v>
      </c>
      <c r="Q48" s="24">
        <v>40</v>
      </c>
      <c r="R48" s="29" t="s">
        <v>85</v>
      </c>
      <c r="S48" s="49" t="s">
        <v>3</v>
      </c>
      <c r="T48" s="21" t="s">
        <v>9</v>
      </c>
      <c r="U48" s="22" t="s">
        <v>11</v>
      </c>
      <c r="V48" s="23" t="s">
        <v>18</v>
      </c>
      <c r="W48" s="24">
        <v>50</v>
      </c>
      <c r="X48" s="29" t="s">
        <v>126</v>
      </c>
      <c r="Y48" s="49" t="s">
        <v>3</v>
      </c>
      <c r="Z48" s="21" t="s">
        <v>9</v>
      </c>
      <c r="AA48" s="22" t="s">
        <v>11</v>
      </c>
      <c r="AB48" s="23" t="s">
        <v>18</v>
      </c>
      <c r="AC48" s="24">
        <v>42</v>
      </c>
      <c r="AD48" s="29" t="s">
        <v>104</v>
      </c>
      <c r="AE48" s="49" t="s">
        <v>3</v>
      </c>
      <c r="AF48" s="21" t="s">
        <v>9</v>
      </c>
      <c r="AG48" s="22" t="s">
        <v>11</v>
      </c>
      <c r="AH48" s="23" t="s">
        <v>18</v>
      </c>
      <c r="AI48" s="24">
        <v>30</v>
      </c>
      <c r="AJ48" s="29" t="s">
        <v>86</v>
      </c>
      <c r="AK48" s="49" t="s">
        <v>3</v>
      </c>
      <c r="AL48" s="21" t="s">
        <v>9</v>
      </c>
      <c r="AM48" s="22" t="s">
        <v>11</v>
      </c>
      <c r="AN48" s="23" t="s">
        <v>18</v>
      </c>
      <c r="AO48" s="24">
        <v>32</v>
      </c>
      <c r="AP48" s="29" t="s">
        <v>133</v>
      </c>
      <c r="AQ48" s="49" t="s">
        <v>3</v>
      </c>
      <c r="AR48" s="21" t="s">
        <v>9</v>
      </c>
      <c r="AS48" s="22" t="s">
        <v>11</v>
      </c>
      <c r="AT48" s="23" t="s">
        <v>18</v>
      </c>
      <c r="AU48" s="24">
        <v>23</v>
      </c>
      <c r="AV48" s="29" t="s">
        <v>80</v>
      </c>
      <c r="AW48" s="49" t="s">
        <v>3</v>
      </c>
      <c r="AX48" s="21" t="s">
        <v>9</v>
      </c>
      <c r="AY48" s="22" t="s">
        <v>11</v>
      </c>
      <c r="AZ48" s="23" t="s">
        <v>18</v>
      </c>
      <c r="BA48" s="24">
        <v>14</v>
      </c>
      <c r="BB48" s="29" t="s">
        <v>37</v>
      </c>
      <c r="BC48" s="49" t="s">
        <v>3</v>
      </c>
      <c r="BD48" s="21" t="s">
        <v>9</v>
      </c>
      <c r="BE48" s="22" t="s">
        <v>11</v>
      </c>
      <c r="BF48" s="23" t="s">
        <v>18</v>
      </c>
      <c r="BG48" s="24">
        <v>11</v>
      </c>
      <c r="BH48" s="29" t="s">
        <v>87</v>
      </c>
      <c r="BI48" s="49" t="s">
        <v>3</v>
      </c>
      <c r="BJ48" s="21" t="s">
        <v>9</v>
      </c>
      <c r="BK48" s="22" t="s">
        <v>11</v>
      </c>
      <c r="BL48" s="23" t="s">
        <v>18</v>
      </c>
      <c r="BM48" s="24">
        <v>15</v>
      </c>
      <c r="BN48" s="29" t="s">
        <v>88</v>
      </c>
      <c r="BO48" s="49" t="s">
        <v>3</v>
      </c>
      <c r="BP48" s="21" t="s">
        <v>9</v>
      </c>
      <c r="BQ48" s="22" t="s">
        <v>11</v>
      </c>
      <c r="BR48" s="23" t="s">
        <v>18</v>
      </c>
      <c r="BS48" s="27">
        <v>6.1</v>
      </c>
      <c r="BT48" s="29" t="s">
        <v>89</v>
      </c>
    </row>
    <row r="49" spans="1:72" ht="12" customHeight="1" x14ac:dyDescent="0.15">
      <c r="A49" s="49" t="s">
        <v>3</v>
      </c>
      <c r="B49" s="21" t="s">
        <v>9</v>
      </c>
      <c r="C49" s="22" t="s">
        <v>11</v>
      </c>
      <c r="D49" s="23" t="s">
        <v>19</v>
      </c>
      <c r="E49" s="23">
        <v>110</v>
      </c>
      <c r="F49" s="34" t="s">
        <v>76</v>
      </c>
      <c r="G49" s="49" t="s">
        <v>3</v>
      </c>
      <c r="H49" s="21" t="s">
        <v>9</v>
      </c>
      <c r="I49" s="22" t="s">
        <v>11</v>
      </c>
      <c r="J49" s="23" t="s">
        <v>19</v>
      </c>
      <c r="K49" s="24">
        <v>130</v>
      </c>
      <c r="L49" s="34" t="s">
        <v>84</v>
      </c>
      <c r="M49" s="49" t="s">
        <v>3</v>
      </c>
      <c r="N49" s="21" t="s">
        <v>9</v>
      </c>
      <c r="O49" s="22" t="s">
        <v>11</v>
      </c>
      <c r="P49" s="23" t="s">
        <v>19</v>
      </c>
      <c r="Q49" s="23">
        <v>110</v>
      </c>
      <c r="R49" s="34" t="s">
        <v>85</v>
      </c>
      <c r="S49" s="49" t="s">
        <v>3</v>
      </c>
      <c r="T49" s="21" t="s">
        <v>9</v>
      </c>
      <c r="U49" s="22" t="s">
        <v>11</v>
      </c>
      <c r="V49" s="23" t="s">
        <v>19</v>
      </c>
      <c r="W49" s="24">
        <v>140</v>
      </c>
      <c r="X49" s="34" t="s">
        <v>126</v>
      </c>
      <c r="Y49" s="49" t="s">
        <v>3</v>
      </c>
      <c r="Z49" s="21" t="s">
        <v>9</v>
      </c>
      <c r="AA49" s="22" t="s">
        <v>11</v>
      </c>
      <c r="AB49" s="23" t="s">
        <v>19</v>
      </c>
      <c r="AC49" s="24">
        <v>140</v>
      </c>
      <c r="AD49" s="34" t="s">
        <v>104</v>
      </c>
      <c r="AE49" s="49" t="s">
        <v>3</v>
      </c>
      <c r="AF49" s="21" t="s">
        <v>9</v>
      </c>
      <c r="AG49" s="22" t="s">
        <v>11</v>
      </c>
      <c r="AH49" s="23" t="s">
        <v>19</v>
      </c>
      <c r="AI49" s="24">
        <v>96</v>
      </c>
      <c r="AJ49" s="34" t="s">
        <v>86</v>
      </c>
      <c r="AK49" s="49" t="s">
        <v>3</v>
      </c>
      <c r="AL49" s="21" t="s">
        <v>9</v>
      </c>
      <c r="AM49" s="22" t="s">
        <v>11</v>
      </c>
      <c r="AN49" s="23" t="s">
        <v>19</v>
      </c>
      <c r="AO49" s="24">
        <v>98</v>
      </c>
      <c r="AP49" s="34" t="s">
        <v>133</v>
      </c>
      <c r="AQ49" s="49" t="s">
        <v>3</v>
      </c>
      <c r="AR49" s="21" t="s">
        <v>9</v>
      </c>
      <c r="AS49" s="22" t="s">
        <v>11</v>
      </c>
      <c r="AT49" s="23" t="s">
        <v>19</v>
      </c>
      <c r="AU49" s="24">
        <v>68</v>
      </c>
      <c r="AV49" s="34" t="s">
        <v>80</v>
      </c>
      <c r="AW49" s="49" t="s">
        <v>3</v>
      </c>
      <c r="AX49" s="21" t="s">
        <v>9</v>
      </c>
      <c r="AY49" s="22" t="s">
        <v>11</v>
      </c>
      <c r="AZ49" s="23" t="s">
        <v>19</v>
      </c>
      <c r="BA49" s="24">
        <v>48</v>
      </c>
      <c r="BB49" s="34" t="s">
        <v>37</v>
      </c>
      <c r="BC49" s="49" t="s">
        <v>3</v>
      </c>
      <c r="BD49" s="21" t="s">
        <v>9</v>
      </c>
      <c r="BE49" s="22" t="s">
        <v>11</v>
      </c>
      <c r="BF49" s="23" t="s">
        <v>19</v>
      </c>
      <c r="BG49" s="24">
        <v>36</v>
      </c>
      <c r="BH49" s="34" t="s">
        <v>87</v>
      </c>
      <c r="BI49" s="49" t="s">
        <v>3</v>
      </c>
      <c r="BJ49" s="21" t="s">
        <v>9</v>
      </c>
      <c r="BK49" s="22" t="s">
        <v>11</v>
      </c>
      <c r="BL49" s="23" t="s">
        <v>19</v>
      </c>
      <c r="BM49" s="24">
        <v>49</v>
      </c>
      <c r="BN49" s="34" t="s">
        <v>88</v>
      </c>
      <c r="BO49" s="49" t="s">
        <v>3</v>
      </c>
      <c r="BP49" s="21" t="s">
        <v>9</v>
      </c>
      <c r="BQ49" s="22" t="s">
        <v>11</v>
      </c>
      <c r="BR49" s="23" t="s">
        <v>19</v>
      </c>
      <c r="BS49" s="24">
        <v>22</v>
      </c>
      <c r="BT49" s="34" t="s">
        <v>89</v>
      </c>
    </row>
    <row r="50" spans="1:72" ht="12" customHeight="1" x14ac:dyDescent="0.15">
      <c r="A50" s="49" t="s">
        <v>3</v>
      </c>
      <c r="B50" s="21" t="s">
        <v>9</v>
      </c>
      <c r="C50" s="22" t="s">
        <v>11</v>
      </c>
      <c r="D50" s="23" t="s">
        <v>0</v>
      </c>
      <c r="E50" s="24">
        <v>155</v>
      </c>
      <c r="F50" s="35" t="s">
        <v>76</v>
      </c>
      <c r="G50" s="49" t="s">
        <v>3</v>
      </c>
      <c r="H50" s="21" t="s">
        <v>9</v>
      </c>
      <c r="I50" s="22" t="s">
        <v>11</v>
      </c>
      <c r="J50" s="23" t="s">
        <v>0</v>
      </c>
      <c r="K50" s="24">
        <v>175</v>
      </c>
      <c r="L50" s="35" t="s">
        <v>84</v>
      </c>
      <c r="M50" s="49" t="s">
        <v>3</v>
      </c>
      <c r="N50" s="21" t="s">
        <v>9</v>
      </c>
      <c r="O50" s="22" t="s">
        <v>11</v>
      </c>
      <c r="P50" s="23" t="s">
        <v>0</v>
      </c>
      <c r="Q50" s="24">
        <v>150</v>
      </c>
      <c r="R50" s="35" t="s">
        <v>85</v>
      </c>
      <c r="S50" s="49" t="s">
        <v>3</v>
      </c>
      <c r="T50" s="21" t="s">
        <v>9</v>
      </c>
      <c r="U50" s="22" t="s">
        <v>11</v>
      </c>
      <c r="V50" s="23" t="s">
        <v>0</v>
      </c>
      <c r="W50" s="24">
        <v>190</v>
      </c>
      <c r="X50" s="35" t="s">
        <v>126</v>
      </c>
      <c r="Y50" s="49" t="s">
        <v>3</v>
      </c>
      <c r="Z50" s="21" t="s">
        <v>9</v>
      </c>
      <c r="AA50" s="22" t="s">
        <v>11</v>
      </c>
      <c r="AB50" s="23" t="s">
        <v>0</v>
      </c>
      <c r="AC50" s="24">
        <v>182</v>
      </c>
      <c r="AD50" s="35" t="s">
        <v>104</v>
      </c>
      <c r="AE50" s="49" t="s">
        <v>3</v>
      </c>
      <c r="AF50" s="21" t="s">
        <v>9</v>
      </c>
      <c r="AG50" s="22" t="s">
        <v>11</v>
      </c>
      <c r="AH50" s="23" t="s">
        <v>0</v>
      </c>
      <c r="AI50" s="24">
        <v>126</v>
      </c>
      <c r="AJ50" s="35" t="s">
        <v>86</v>
      </c>
      <c r="AK50" s="49" t="s">
        <v>3</v>
      </c>
      <c r="AL50" s="21" t="s">
        <v>9</v>
      </c>
      <c r="AM50" s="22" t="s">
        <v>11</v>
      </c>
      <c r="AN50" s="23" t="s">
        <v>0</v>
      </c>
      <c r="AO50" s="24">
        <v>130</v>
      </c>
      <c r="AP50" s="35" t="s">
        <v>133</v>
      </c>
      <c r="AQ50" s="49" t="s">
        <v>3</v>
      </c>
      <c r="AR50" s="21" t="s">
        <v>9</v>
      </c>
      <c r="AS50" s="22" t="s">
        <v>11</v>
      </c>
      <c r="AT50" s="23" t="s">
        <v>0</v>
      </c>
      <c r="AU50" s="24">
        <v>91</v>
      </c>
      <c r="AV50" s="35" t="s">
        <v>80</v>
      </c>
      <c r="AW50" s="49" t="s">
        <v>3</v>
      </c>
      <c r="AX50" s="21" t="s">
        <v>9</v>
      </c>
      <c r="AY50" s="22" t="s">
        <v>11</v>
      </c>
      <c r="AZ50" s="23" t="s">
        <v>0</v>
      </c>
      <c r="BA50" s="24">
        <v>62</v>
      </c>
      <c r="BB50" s="35" t="s">
        <v>37</v>
      </c>
      <c r="BC50" s="49" t="s">
        <v>3</v>
      </c>
      <c r="BD50" s="21" t="s">
        <v>9</v>
      </c>
      <c r="BE50" s="22" t="s">
        <v>11</v>
      </c>
      <c r="BF50" s="23" t="s">
        <v>0</v>
      </c>
      <c r="BG50" s="24">
        <v>47</v>
      </c>
      <c r="BH50" s="35" t="s">
        <v>87</v>
      </c>
      <c r="BI50" s="49" t="s">
        <v>3</v>
      </c>
      <c r="BJ50" s="21" t="s">
        <v>9</v>
      </c>
      <c r="BK50" s="22" t="s">
        <v>11</v>
      </c>
      <c r="BL50" s="23" t="s">
        <v>0</v>
      </c>
      <c r="BM50" s="24">
        <v>64</v>
      </c>
      <c r="BN50" s="35" t="s">
        <v>88</v>
      </c>
      <c r="BO50" s="49" t="s">
        <v>3</v>
      </c>
      <c r="BP50" s="21" t="s">
        <v>9</v>
      </c>
      <c r="BQ50" s="22" t="s">
        <v>11</v>
      </c>
      <c r="BR50" s="23" t="s">
        <v>0</v>
      </c>
      <c r="BS50" s="27">
        <v>28.1</v>
      </c>
      <c r="BT50" s="35" t="s">
        <v>89</v>
      </c>
    </row>
    <row r="51" spans="1:72" ht="12" customHeight="1" x14ac:dyDescent="0.15">
      <c r="A51" s="49" t="s">
        <v>3</v>
      </c>
      <c r="B51" s="21" t="s">
        <v>9</v>
      </c>
      <c r="C51" s="22" t="s">
        <v>15</v>
      </c>
      <c r="D51" s="23" t="s">
        <v>18</v>
      </c>
      <c r="E51" s="24">
        <v>120</v>
      </c>
      <c r="F51" s="29" t="s">
        <v>76</v>
      </c>
      <c r="G51" s="49" t="s">
        <v>3</v>
      </c>
      <c r="H51" s="21" t="s">
        <v>9</v>
      </c>
      <c r="I51" s="22" t="s">
        <v>15</v>
      </c>
      <c r="J51" s="23" t="s">
        <v>18</v>
      </c>
      <c r="K51" s="24">
        <v>200</v>
      </c>
      <c r="L51" s="29" t="s">
        <v>84</v>
      </c>
      <c r="M51" s="49" t="s">
        <v>3</v>
      </c>
      <c r="N51" s="21" t="s">
        <v>9</v>
      </c>
      <c r="O51" s="22" t="s">
        <v>15</v>
      </c>
      <c r="P51" s="23" t="s">
        <v>18</v>
      </c>
      <c r="Q51" s="24">
        <v>140</v>
      </c>
      <c r="R51" s="29" t="s">
        <v>85</v>
      </c>
      <c r="S51" s="49" t="s">
        <v>3</v>
      </c>
      <c r="T51" s="21" t="s">
        <v>9</v>
      </c>
      <c r="U51" s="22" t="s">
        <v>15</v>
      </c>
      <c r="V51" s="23" t="s">
        <v>18</v>
      </c>
      <c r="W51" s="24">
        <v>56</v>
      </c>
      <c r="X51" s="29" t="s">
        <v>126</v>
      </c>
      <c r="Y51" s="49" t="s">
        <v>3</v>
      </c>
      <c r="Z51" s="21" t="s">
        <v>9</v>
      </c>
      <c r="AA51" s="22" t="s">
        <v>15</v>
      </c>
      <c r="AB51" s="23" t="s">
        <v>18</v>
      </c>
      <c r="AC51" s="23">
        <v>100</v>
      </c>
      <c r="AD51" s="29" t="s">
        <v>104</v>
      </c>
      <c r="AE51" s="49" t="s">
        <v>3</v>
      </c>
      <c r="AF51" s="21" t="s">
        <v>9</v>
      </c>
      <c r="AG51" s="22" t="s">
        <v>15</v>
      </c>
      <c r="AH51" s="23" t="s">
        <v>18</v>
      </c>
      <c r="AI51" s="23">
        <v>110</v>
      </c>
      <c r="AJ51" s="29" t="s">
        <v>86</v>
      </c>
      <c r="AK51" s="49" t="s">
        <v>3</v>
      </c>
      <c r="AL51" s="21" t="s">
        <v>9</v>
      </c>
      <c r="AM51" s="22" t="s">
        <v>15</v>
      </c>
      <c r="AN51" s="23" t="s">
        <v>18</v>
      </c>
      <c r="AO51" s="24">
        <v>81</v>
      </c>
      <c r="AP51" s="29" t="s">
        <v>133</v>
      </c>
      <c r="AQ51" s="49" t="s">
        <v>3</v>
      </c>
      <c r="AR51" s="21" t="s">
        <v>9</v>
      </c>
      <c r="AS51" s="22" t="s">
        <v>15</v>
      </c>
      <c r="AT51" s="23" t="s">
        <v>18</v>
      </c>
      <c r="AU51" s="24">
        <v>78</v>
      </c>
      <c r="AV51" s="29" t="s">
        <v>80</v>
      </c>
      <c r="AW51" s="49" t="s">
        <v>3</v>
      </c>
      <c r="AX51" s="21" t="s">
        <v>9</v>
      </c>
      <c r="AY51" s="22" t="s">
        <v>15</v>
      </c>
      <c r="AZ51" s="23" t="s">
        <v>18</v>
      </c>
      <c r="BA51" s="24">
        <v>44</v>
      </c>
      <c r="BB51" s="29" t="s">
        <v>37</v>
      </c>
      <c r="BC51" s="49" t="s">
        <v>3</v>
      </c>
      <c r="BD51" s="21" t="s">
        <v>9</v>
      </c>
      <c r="BE51" s="22" t="s">
        <v>15</v>
      </c>
      <c r="BF51" s="23" t="s">
        <v>18</v>
      </c>
      <c r="BG51" s="24">
        <v>43</v>
      </c>
      <c r="BH51" s="29" t="s">
        <v>87</v>
      </c>
      <c r="BI51" s="49" t="s">
        <v>3</v>
      </c>
      <c r="BJ51" s="21" t="s">
        <v>9</v>
      </c>
      <c r="BK51" s="22" t="s">
        <v>15</v>
      </c>
      <c r="BL51" s="23" t="s">
        <v>18</v>
      </c>
      <c r="BM51" s="24">
        <v>60</v>
      </c>
      <c r="BN51" s="29" t="s">
        <v>88</v>
      </c>
      <c r="BO51" s="49" t="s">
        <v>3</v>
      </c>
      <c r="BP51" s="21" t="s">
        <v>9</v>
      </c>
      <c r="BQ51" s="22" t="s">
        <v>15</v>
      </c>
      <c r="BR51" s="23" t="s">
        <v>18</v>
      </c>
      <c r="BS51" s="24">
        <v>31</v>
      </c>
      <c r="BT51" s="29" t="s">
        <v>89</v>
      </c>
    </row>
    <row r="52" spans="1:72" ht="12" customHeight="1" x14ac:dyDescent="0.15">
      <c r="A52" s="49" t="s">
        <v>3</v>
      </c>
      <c r="B52" s="21" t="s">
        <v>9</v>
      </c>
      <c r="C52" s="19" t="s">
        <v>15</v>
      </c>
      <c r="D52" s="23" t="s">
        <v>19</v>
      </c>
      <c r="E52" s="24">
        <v>290</v>
      </c>
      <c r="F52" s="34" t="s">
        <v>76</v>
      </c>
      <c r="G52" s="49" t="s">
        <v>3</v>
      </c>
      <c r="H52" s="21" t="s">
        <v>9</v>
      </c>
      <c r="I52" s="19" t="s">
        <v>15</v>
      </c>
      <c r="J52" s="23" t="s">
        <v>19</v>
      </c>
      <c r="K52" s="24">
        <v>510</v>
      </c>
      <c r="L52" s="34" t="s">
        <v>84</v>
      </c>
      <c r="M52" s="49" t="s">
        <v>3</v>
      </c>
      <c r="N52" s="21" t="s">
        <v>9</v>
      </c>
      <c r="O52" s="19" t="s">
        <v>15</v>
      </c>
      <c r="P52" s="23" t="s">
        <v>19</v>
      </c>
      <c r="Q52" s="24">
        <v>400</v>
      </c>
      <c r="R52" s="34" t="s">
        <v>85</v>
      </c>
      <c r="S52" s="49" t="s">
        <v>3</v>
      </c>
      <c r="T52" s="21" t="s">
        <v>9</v>
      </c>
      <c r="U52" s="19" t="s">
        <v>15</v>
      </c>
      <c r="V52" s="23" t="s">
        <v>19</v>
      </c>
      <c r="W52" s="24">
        <v>160</v>
      </c>
      <c r="X52" s="34" t="s">
        <v>126</v>
      </c>
      <c r="Y52" s="49" t="s">
        <v>3</v>
      </c>
      <c r="Z52" s="21" t="s">
        <v>9</v>
      </c>
      <c r="AA52" s="19" t="s">
        <v>15</v>
      </c>
      <c r="AB52" s="23" t="s">
        <v>19</v>
      </c>
      <c r="AC52" s="24">
        <v>300</v>
      </c>
      <c r="AD52" s="34" t="s">
        <v>104</v>
      </c>
      <c r="AE52" s="49" t="s">
        <v>3</v>
      </c>
      <c r="AF52" s="21" t="s">
        <v>9</v>
      </c>
      <c r="AG52" s="19" t="s">
        <v>15</v>
      </c>
      <c r="AH52" s="23" t="s">
        <v>19</v>
      </c>
      <c r="AI52" s="24">
        <v>310</v>
      </c>
      <c r="AJ52" s="34" t="s">
        <v>86</v>
      </c>
      <c r="AK52" s="49" t="s">
        <v>3</v>
      </c>
      <c r="AL52" s="21" t="s">
        <v>9</v>
      </c>
      <c r="AM52" s="19" t="s">
        <v>15</v>
      </c>
      <c r="AN52" s="23" t="s">
        <v>19</v>
      </c>
      <c r="AO52" s="24">
        <v>240</v>
      </c>
      <c r="AP52" s="34" t="s">
        <v>133</v>
      </c>
      <c r="AQ52" s="49" t="s">
        <v>3</v>
      </c>
      <c r="AR52" s="21" t="s">
        <v>9</v>
      </c>
      <c r="AS52" s="19" t="s">
        <v>15</v>
      </c>
      <c r="AT52" s="23" t="s">
        <v>19</v>
      </c>
      <c r="AU52" s="24">
        <v>270</v>
      </c>
      <c r="AV52" s="34" t="s">
        <v>80</v>
      </c>
      <c r="AW52" s="49" t="s">
        <v>3</v>
      </c>
      <c r="AX52" s="21" t="s">
        <v>9</v>
      </c>
      <c r="AY52" s="19" t="s">
        <v>15</v>
      </c>
      <c r="AZ52" s="23" t="s">
        <v>19</v>
      </c>
      <c r="BA52" s="24">
        <v>140</v>
      </c>
      <c r="BB52" s="34" t="s">
        <v>37</v>
      </c>
      <c r="BC52" s="49" t="s">
        <v>3</v>
      </c>
      <c r="BD52" s="21" t="s">
        <v>9</v>
      </c>
      <c r="BE52" s="19" t="s">
        <v>15</v>
      </c>
      <c r="BF52" s="23" t="s">
        <v>19</v>
      </c>
      <c r="BG52" s="24">
        <v>140</v>
      </c>
      <c r="BH52" s="34" t="s">
        <v>87</v>
      </c>
      <c r="BI52" s="49" t="s">
        <v>3</v>
      </c>
      <c r="BJ52" s="21" t="s">
        <v>9</v>
      </c>
      <c r="BK52" s="19" t="s">
        <v>15</v>
      </c>
      <c r="BL52" s="23" t="s">
        <v>19</v>
      </c>
      <c r="BM52" s="24">
        <v>190</v>
      </c>
      <c r="BN52" s="34" t="s">
        <v>88</v>
      </c>
      <c r="BO52" s="49" t="s">
        <v>3</v>
      </c>
      <c r="BP52" s="21" t="s">
        <v>9</v>
      </c>
      <c r="BQ52" s="19" t="s">
        <v>15</v>
      </c>
      <c r="BR52" s="23" t="s">
        <v>19</v>
      </c>
      <c r="BS52" s="24">
        <v>120</v>
      </c>
      <c r="BT52" s="34" t="s">
        <v>89</v>
      </c>
    </row>
    <row r="53" spans="1:72" ht="12" customHeight="1" x14ac:dyDescent="0.15">
      <c r="A53" s="49" t="s">
        <v>3</v>
      </c>
      <c r="B53" s="21" t="s">
        <v>9</v>
      </c>
      <c r="C53" s="19" t="s">
        <v>15</v>
      </c>
      <c r="D53" s="23" t="s">
        <v>0</v>
      </c>
      <c r="E53" s="24">
        <v>410</v>
      </c>
      <c r="F53" s="35" t="s">
        <v>76</v>
      </c>
      <c r="G53" s="49" t="s">
        <v>3</v>
      </c>
      <c r="H53" s="21" t="s">
        <v>9</v>
      </c>
      <c r="I53" s="19" t="s">
        <v>15</v>
      </c>
      <c r="J53" s="23" t="s">
        <v>0</v>
      </c>
      <c r="K53" s="24">
        <v>710</v>
      </c>
      <c r="L53" s="35" t="s">
        <v>84</v>
      </c>
      <c r="M53" s="49" t="s">
        <v>3</v>
      </c>
      <c r="N53" s="21" t="s">
        <v>9</v>
      </c>
      <c r="O53" s="19" t="s">
        <v>15</v>
      </c>
      <c r="P53" s="23" t="s">
        <v>0</v>
      </c>
      <c r="Q53" s="24">
        <v>540</v>
      </c>
      <c r="R53" s="35" t="s">
        <v>85</v>
      </c>
      <c r="S53" s="49" t="s">
        <v>3</v>
      </c>
      <c r="T53" s="21" t="s">
        <v>9</v>
      </c>
      <c r="U53" s="19" t="s">
        <v>15</v>
      </c>
      <c r="V53" s="23" t="s">
        <v>0</v>
      </c>
      <c r="W53" s="24">
        <v>216</v>
      </c>
      <c r="X53" s="35" t="s">
        <v>126</v>
      </c>
      <c r="Y53" s="49" t="s">
        <v>3</v>
      </c>
      <c r="Z53" s="21" t="s">
        <v>9</v>
      </c>
      <c r="AA53" s="19" t="s">
        <v>15</v>
      </c>
      <c r="AB53" s="23" t="s">
        <v>0</v>
      </c>
      <c r="AC53" s="24">
        <v>400</v>
      </c>
      <c r="AD53" s="35" t="s">
        <v>104</v>
      </c>
      <c r="AE53" s="49" t="s">
        <v>3</v>
      </c>
      <c r="AF53" s="21" t="s">
        <v>9</v>
      </c>
      <c r="AG53" s="19" t="s">
        <v>15</v>
      </c>
      <c r="AH53" s="23" t="s">
        <v>0</v>
      </c>
      <c r="AI53" s="24">
        <v>420</v>
      </c>
      <c r="AJ53" s="35" t="s">
        <v>86</v>
      </c>
      <c r="AK53" s="49" t="s">
        <v>3</v>
      </c>
      <c r="AL53" s="21" t="s">
        <v>9</v>
      </c>
      <c r="AM53" s="19" t="s">
        <v>15</v>
      </c>
      <c r="AN53" s="23" t="s">
        <v>0</v>
      </c>
      <c r="AO53" s="24">
        <v>321</v>
      </c>
      <c r="AP53" s="35" t="s">
        <v>133</v>
      </c>
      <c r="AQ53" s="49" t="s">
        <v>3</v>
      </c>
      <c r="AR53" s="21" t="s">
        <v>9</v>
      </c>
      <c r="AS53" s="19" t="s">
        <v>15</v>
      </c>
      <c r="AT53" s="23" t="s">
        <v>0</v>
      </c>
      <c r="AU53" s="24">
        <v>348</v>
      </c>
      <c r="AV53" s="35" t="s">
        <v>80</v>
      </c>
      <c r="AW53" s="49" t="s">
        <v>3</v>
      </c>
      <c r="AX53" s="21" t="s">
        <v>9</v>
      </c>
      <c r="AY53" s="19" t="s">
        <v>15</v>
      </c>
      <c r="AZ53" s="23" t="s">
        <v>0</v>
      </c>
      <c r="BA53" s="24">
        <v>184</v>
      </c>
      <c r="BB53" s="35" t="s">
        <v>37</v>
      </c>
      <c r="BC53" s="49" t="s">
        <v>3</v>
      </c>
      <c r="BD53" s="21" t="s">
        <v>9</v>
      </c>
      <c r="BE53" s="19" t="s">
        <v>15</v>
      </c>
      <c r="BF53" s="23" t="s">
        <v>0</v>
      </c>
      <c r="BG53" s="24">
        <v>183</v>
      </c>
      <c r="BH53" s="35" t="s">
        <v>87</v>
      </c>
      <c r="BI53" s="49" t="s">
        <v>3</v>
      </c>
      <c r="BJ53" s="21" t="s">
        <v>9</v>
      </c>
      <c r="BK53" s="19" t="s">
        <v>15</v>
      </c>
      <c r="BL53" s="23" t="s">
        <v>0</v>
      </c>
      <c r="BM53" s="24">
        <v>250</v>
      </c>
      <c r="BN53" s="35" t="s">
        <v>88</v>
      </c>
      <c r="BO53" s="49" t="s">
        <v>3</v>
      </c>
      <c r="BP53" s="21" t="s">
        <v>9</v>
      </c>
      <c r="BQ53" s="19" t="s">
        <v>15</v>
      </c>
      <c r="BR53" s="23" t="s">
        <v>0</v>
      </c>
      <c r="BS53" s="24">
        <v>151</v>
      </c>
      <c r="BT53" s="35" t="s">
        <v>89</v>
      </c>
    </row>
    <row r="54" spans="1:72" ht="12" customHeight="1" x14ac:dyDescent="0.15">
      <c r="A54" s="49" t="s">
        <v>3</v>
      </c>
      <c r="B54" s="21" t="s">
        <v>20</v>
      </c>
      <c r="C54" s="22" t="s">
        <v>11</v>
      </c>
      <c r="D54" s="23" t="s">
        <v>18</v>
      </c>
      <c r="E54" s="24">
        <v>54</v>
      </c>
      <c r="F54" s="29" t="s">
        <v>90</v>
      </c>
      <c r="G54" s="49" t="s">
        <v>3</v>
      </c>
      <c r="H54" s="21" t="s">
        <v>20</v>
      </c>
      <c r="I54" s="22" t="s">
        <v>11</v>
      </c>
      <c r="J54" s="23" t="s">
        <v>18</v>
      </c>
      <c r="K54" s="24">
        <v>64</v>
      </c>
      <c r="L54" s="29" t="s">
        <v>40</v>
      </c>
      <c r="M54" s="49" t="s">
        <v>3</v>
      </c>
      <c r="N54" s="21" t="s">
        <v>20</v>
      </c>
      <c r="O54" s="22" t="s">
        <v>11</v>
      </c>
      <c r="P54" s="23" t="s">
        <v>18</v>
      </c>
      <c r="Q54" s="24">
        <v>56</v>
      </c>
      <c r="R54" s="29" t="s">
        <v>48</v>
      </c>
      <c r="S54" s="49" t="s">
        <v>3</v>
      </c>
      <c r="T54" s="21" t="s">
        <v>20</v>
      </c>
      <c r="U54" s="22" t="s">
        <v>11</v>
      </c>
      <c r="V54" s="23" t="s">
        <v>18</v>
      </c>
      <c r="W54" s="24">
        <v>60</v>
      </c>
      <c r="X54" s="29" t="s">
        <v>127</v>
      </c>
      <c r="Y54" s="49" t="s">
        <v>3</v>
      </c>
      <c r="Z54" s="21" t="s">
        <v>20</v>
      </c>
      <c r="AA54" s="22" t="s">
        <v>11</v>
      </c>
      <c r="AB54" s="23" t="s">
        <v>18</v>
      </c>
      <c r="AC54" s="24">
        <v>52</v>
      </c>
      <c r="AD54" s="29" t="s">
        <v>91</v>
      </c>
      <c r="AE54" s="49" t="s">
        <v>3</v>
      </c>
      <c r="AF54" s="21" t="s">
        <v>20</v>
      </c>
      <c r="AG54" s="22" t="s">
        <v>11</v>
      </c>
      <c r="AH54" s="23" t="s">
        <v>18</v>
      </c>
      <c r="AI54" s="24">
        <v>38</v>
      </c>
      <c r="AJ54" s="29" t="s">
        <v>92</v>
      </c>
      <c r="AK54" s="49" t="s">
        <v>3</v>
      </c>
      <c r="AL54" s="21" t="s">
        <v>20</v>
      </c>
      <c r="AM54" s="22" t="s">
        <v>11</v>
      </c>
      <c r="AN54" s="23" t="s">
        <v>18</v>
      </c>
      <c r="AO54" s="24">
        <v>38</v>
      </c>
      <c r="AP54" s="29" t="s">
        <v>134</v>
      </c>
      <c r="AQ54" s="49" t="s">
        <v>3</v>
      </c>
      <c r="AR54" s="21" t="s">
        <v>20</v>
      </c>
      <c r="AS54" s="22" t="s">
        <v>11</v>
      </c>
      <c r="AT54" s="23" t="s">
        <v>18</v>
      </c>
      <c r="AU54" s="24">
        <v>38</v>
      </c>
      <c r="AV54" s="29" t="s">
        <v>135</v>
      </c>
      <c r="AW54" s="49" t="s">
        <v>3</v>
      </c>
      <c r="AX54" s="21" t="s">
        <v>20</v>
      </c>
      <c r="AY54" s="22" t="s">
        <v>11</v>
      </c>
      <c r="AZ54" s="23" t="s">
        <v>18</v>
      </c>
      <c r="BA54" s="24">
        <v>16</v>
      </c>
      <c r="BB54" s="29" t="s">
        <v>43</v>
      </c>
      <c r="BC54" s="49" t="s">
        <v>3</v>
      </c>
      <c r="BD54" s="21" t="s">
        <v>20</v>
      </c>
      <c r="BE54" s="22" t="s">
        <v>11</v>
      </c>
      <c r="BF54" s="23" t="s">
        <v>18</v>
      </c>
      <c r="BG54" s="24">
        <v>32</v>
      </c>
      <c r="BH54" s="29" t="s">
        <v>81</v>
      </c>
      <c r="BI54" s="49" t="s">
        <v>3</v>
      </c>
      <c r="BJ54" s="21" t="s">
        <v>20</v>
      </c>
      <c r="BK54" s="22" t="s">
        <v>11</v>
      </c>
      <c r="BL54" s="23" t="s">
        <v>18</v>
      </c>
      <c r="BM54" s="27">
        <v>4.9000000000000004</v>
      </c>
      <c r="BN54" s="29" t="s">
        <v>54</v>
      </c>
      <c r="BO54" s="49" t="s">
        <v>3</v>
      </c>
      <c r="BP54" s="21" t="s">
        <v>20</v>
      </c>
      <c r="BQ54" s="22" t="s">
        <v>11</v>
      </c>
      <c r="BR54" s="23" t="s">
        <v>18</v>
      </c>
      <c r="BS54" s="27">
        <v>9.8000000000000007</v>
      </c>
      <c r="BT54" s="29" t="s">
        <v>46</v>
      </c>
    </row>
    <row r="55" spans="1:72" ht="12" customHeight="1" x14ac:dyDescent="0.15">
      <c r="A55" s="49" t="s">
        <v>3</v>
      </c>
      <c r="B55" s="21" t="s">
        <v>20</v>
      </c>
      <c r="C55" s="19" t="s">
        <v>11</v>
      </c>
      <c r="D55" s="23" t="s">
        <v>19</v>
      </c>
      <c r="E55" s="24">
        <v>130</v>
      </c>
      <c r="F55" s="34" t="s">
        <v>90</v>
      </c>
      <c r="G55" s="49" t="s">
        <v>3</v>
      </c>
      <c r="H55" s="21" t="s">
        <v>20</v>
      </c>
      <c r="I55" s="19" t="s">
        <v>11</v>
      </c>
      <c r="J55" s="23" t="s">
        <v>19</v>
      </c>
      <c r="K55" s="24">
        <v>180</v>
      </c>
      <c r="L55" s="34" t="s">
        <v>40</v>
      </c>
      <c r="M55" s="49" t="s">
        <v>3</v>
      </c>
      <c r="N55" s="21" t="s">
        <v>20</v>
      </c>
      <c r="O55" s="19" t="s">
        <v>11</v>
      </c>
      <c r="P55" s="23" t="s">
        <v>19</v>
      </c>
      <c r="Q55" s="24">
        <v>180</v>
      </c>
      <c r="R55" s="34" t="s">
        <v>48</v>
      </c>
      <c r="S55" s="49" t="s">
        <v>3</v>
      </c>
      <c r="T55" s="21" t="s">
        <v>20</v>
      </c>
      <c r="U55" s="19" t="s">
        <v>11</v>
      </c>
      <c r="V55" s="23" t="s">
        <v>19</v>
      </c>
      <c r="W55" s="24">
        <v>180</v>
      </c>
      <c r="X55" s="34" t="s">
        <v>127</v>
      </c>
      <c r="Y55" s="49" t="s">
        <v>3</v>
      </c>
      <c r="Z55" s="21" t="s">
        <v>20</v>
      </c>
      <c r="AA55" s="19" t="s">
        <v>11</v>
      </c>
      <c r="AB55" s="23" t="s">
        <v>19</v>
      </c>
      <c r="AC55" s="24">
        <v>160</v>
      </c>
      <c r="AD55" s="34" t="s">
        <v>91</v>
      </c>
      <c r="AE55" s="49" t="s">
        <v>3</v>
      </c>
      <c r="AF55" s="21" t="s">
        <v>20</v>
      </c>
      <c r="AG55" s="19" t="s">
        <v>11</v>
      </c>
      <c r="AH55" s="23" t="s">
        <v>19</v>
      </c>
      <c r="AI55" s="24">
        <v>120</v>
      </c>
      <c r="AJ55" s="34" t="s">
        <v>92</v>
      </c>
      <c r="AK55" s="49" t="s">
        <v>3</v>
      </c>
      <c r="AL55" s="21" t="s">
        <v>20</v>
      </c>
      <c r="AM55" s="19" t="s">
        <v>11</v>
      </c>
      <c r="AN55" s="23" t="s">
        <v>19</v>
      </c>
      <c r="AO55" s="24">
        <v>140</v>
      </c>
      <c r="AP55" s="34" t="s">
        <v>134</v>
      </c>
      <c r="AQ55" s="49" t="s">
        <v>3</v>
      </c>
      <c r="AR55" s="21" t="s">
        <v>20</v>
      </c>
      <c r="AS55" s="19" t="s">
        <v>11</v>
      </c>
      <c r="AT55" s="23" t="s">
        <v>19</v>
      </c>
      <c r="AU55" s="24">
        <v>140</v>
      </c>
      <c r="AV55" s="34" t="s">
        <v>135</v>
      </c>
      <c r="AW55" s="49" t="s">
        <v>3</v>
      </c>
      <c r="AX55" s="21" t="s">
        <v>20</v>
      </c>
      <c r="AY55" s="19" t="s">
        <v>11</v>
      </c>
      <c r="AZ55" s="23" t="s">
        <v>19</v>
      </c>
      <c r="BA55" s="24">
        <v>59</v>
      </c>
      <c r="BB55" s="34" t="s">
        <v>43</v>
      </c>
      <c r="BC55" s="49" t="s">
        <v>3</v>
      </c>
      <c r="BD55" s="21" t="s">
        <v>20</v>
      </c>
      <c r="BE55" s="19" t="s">
        <v>11</v>
      </c>
      <c r="BF55" s="23" t="s">
        <v>19</v>
      </c>
      <c r="BG55" s="24">
        <v>120</v>
      </c>
      <c r="BH55" s="34" t="s">
        <v>81</v>
      </c>
      <c r="BI55" s="49" t="s">
        <v>3</v>
      </c>
      <c r="BJ55" s="21" t="s">
        <v>20</v>
      </c>
      <c r="BK55" s="19" t="s">
        <v>11</v>
      </c>
      <c r="BL55" s="23" t="s">
        <v>19</v>
      </c>
      <c r="BM55" s="24">
        <v>23</v>
      </c>
      <c r="BN55" s="34" t="s">
        <v>54</v>
      </c>
      <c r="BO55" s="49" t="s">
        <v>3</v>
      </c>
      <c r="BP55" s="21" t="s">
        <v>20</v>
      </c>
      <c r="BQ55" s="19" t="s">
        <v>11</v>
      </c>
      <c r="BR55" s="23" t="s">
        <v>19</v>
      </c>
      <c r="BS55" s="24">
        <v>47</v>
      </c>
      <c r="BT55" s="34" t="s">
        <v>46</v>
      </c>
    </row>
    <row r="56" spans="1:72" ht="12" customHeight="1" x14ac:dyDescent="0.15">
      <c r="A56" s="49" t="s">
        <v>3</v>
      </c>
      <c r="B56" s="21" t="s">
        <v>20</v>
      </c>
      <c r="C56" s="19" t="s">
        <v>11</v>
      </c>
      <c r="D56" s="23" t="s">
        <v>0</v>
      </c>
      <c r="E56" s="24">
        <v>184</v>
      </c>
      <c r="F56" s="35" t="s">
        <v>90</v>
      </c>
      <c r="G56" s="49" t="s">
        <v>3</v>
      </c>
      <c r="H56" s="21" t="s">
        <v>20</v>
      </c>
      <c r="I56" s="19" t="s">
        <v>11</v>
      </c>
      <c r="J56" s="23" t="s">
        <v>0</v>
      </c>
      <c r="K56" s="24">
        <v>244</v>
      </c>
      <c r="L56" s="35" t="s">
        <v>40</v>
      </c>
      <c r="M56" s="49" t="s">
        <v>3</v>
      </c>
      <c r="N56" s="21" t="s">
        <v>20</v>
      </c>
      <c r="O56" s="19" t="s">
        <v>11</v>
      </c>
      <c r="P56" s="23" t="s">
        <v>0</v>
      </c>
      <c r="Q56" s="24">
        <v>236</v>
      </c>
      <c r="R56" s="35" t="s">
        <v>48</v>
      </c>
      <c r="S56" s="49" t="s">
        <v>3</v>
      </c>
      <c r="T56" s="21" t="s">
        <v>20</v>
      </c>
      <c r="U56" s="19" t="s">
        <v>11</v>
      </c>
      <c r="V56" s="23" t="s">
        <v>0</v>
      </c>
      <c r="W56" s="24">
        <v>240</v>
      </c>
      <c r="X56" s="35" t="s">
        <v>127</v>
      </c>
      <c r="Y56" s="49" t="s">
        <v>3</v>
      </c>
      <c r="Z56" s="21" t="s">
        <v>20</v>
      </c>
      <c r="AA56" s="19" t="s">
        <v>11</v>
      </c>
      <c r="AB56" s="23" t="s">
        <v>0</v>
      </c>
      <c r="AC56" s="24">
        <v>212</v>
      </c>
      <c r="AD56" s="35" t="s">
        <v>91</v>
      </c>
      <c r="AE56" s="49" t="s">
        <v>3</v>
      </c>
      <c r="AF56" s="21" t="s">
        <v>20</v>
      </c>
      <c r="AG56" s="19" t="s">
        <v>11</v>
      </c>
      <c r="AH56" s="23" t="s">
        <v>0</v>
      </c>
      <c r="AI56" s="24">
        <v>158</v>
      </c>
      <c r="AJ56" s="35" t="s">
        <v>92</v>
      </c>
      <c r="AK56" s="49" t="s">
        <v>3</v>
      </c>
      <c r="AL56" s="21" t="s">
        <v>20</v>
      </c>
      <c r="AM56" s="19" t="s">
        <v>11</v>
      </c>
      <c r="AN56" s="23" t="s">
        <v>0</v>
      </c>
      <c r="AO56" s="24">
        <v>178</v>
      </c>
      <c r="AP56" s="35" t="s">
        <v>134</v>
      </c>
      <c r="AQ56" s="49" t="s">
        <v>3</v>
      </c>
      <c r="AR56" s="21" t="s">
        <v>20</v>
      </c>
      <c r="AS56" s="19" t="s">
        <v>11</v>
      </c>
      <c r="AT56" s="23" t="s">
        <v>0</v>
      </c>
      <c r="AU56" s="24">
        <v>178</v>
      </c>
      <c r="AV56" s="35" t="s">
        <v>135</v>
      </c>
      <c r="AW56" s="49" t="s">
        <v>3</v>
      </c>
      <c r="AX56" s="21" t="s">
        <v>20</v>
      </c>
      <c r="AY56" s="19" t="s">
        <v>11</v>
      </c>
      <c r="AZ56" s="23" t="s">
        <v>0</v>
      </c>
      <c r="BA56" s="24">
        <v>75</v>
      </c>
      <c r="BB56" s="35" t="s">
        <v>43</v>
      </c>
      <c r="BC56" s="49" t="s">
        <v>3</v>
      </c>
      <c r="BD56" s="21" t="s">
        <v>20</v>
      </c>
      <c r="BE56" s="19" t="s">
        <v>11</v>
      </c>
      <c r="BF56" s="23" t="s">
        <v>0</v>
      </c>
      <c r="BG56" s="24">
        <v>152</v>
      </c>
      <c r="BH56" s="35" t="s">
        <v>81</v>
      </c>
      <c r="BI56" s="49" t="s">
        <v>3</v>
      </c>
      <c r="BJ56" s="21" t="s">
        <v>20</v>
      </c>
      <c r="BK56" s="19" t="s">
        <v>11</v>
      </c>
      <c r="BL56" s="23" t="s">
        <v>0</v>
      </c>
      <c r="BM56" s="27">
        <v>27.9</v>
      </c>
      <c r="BN56" s="35" t="s">
        <v>54</v>
      </c>
      <c r="BO56" s="49" t="s">
        <v>3</v>
      </c>
      <c r="BP56" s="21" t="s">
        <v>20</v>
      </c>
      <c r="BQ56" s="19" t="s">
        <v>11</v>
      </c>
      <c r="BR56" s="23" t="s">
        <v>0</v>
      </c>
      <c r="BS56" s="27">
        <v>56.8</v>
      </c>
      <c r="BT56" s="35" t="s">
        <v>46</v>
      </c>
    </row>
    <row r="57" spans="1:72" ht="12" customHeight="1" x14ac:dyDescent="0.15">
      <c r="A57" s="49" t="s">
        <v>3</v>
      </c>
      <c r="B57" s="21" t="s">
        <v>20</v>
      </c>
      <c r="C57" s="22" t="s">
        <v>15</v>
      </c>
      <c r="D57" s="23" t="s">
        <v>18</v>
      </c>
      <c r="E57" s="24">
        <v>190</v>
      </c>
      <c r="F57" s="29" t="s">
        <v>90</v>
      </c>
      <c r="G57" s="49" t="s">
        <v>3</v>
      </c>
      <c r="H57" s="21" t="s">
        <v>20</v>
      </c>
      <c r="I57" s="22" t="s">
        <v>15</v>
      </c>
      <c r="J57" s="23" t="s">
        <v>18</v>
      </c>
      <c r="K57" s="24">
        <v>260</v>
      </c>
      <c r="L57" s="29" t="s">
        <v>40</v>
      </c>
      <c r="M57" s="49" t="s">
        <v>3</v>
      </c>
      <c r="N57" s="21" t="s">
        <v>20</v>
      </c>
      <c r="O57" s="22" t="s">
        <v>15</v>
      </c>
      <c r="P57" s="23" t="s">
        <v>18</v>
      </c>
      <c r="Q57" s="24">
        <v>220</v>
      </c>
      <c r="R57" s="29" t="s">
        <v>48</v>
      </c>
      <c r="S57" s="49" t="s">
        <v>3</v>
      </c>
      <c r="T57" s="21" t="s">
        <v>20</v>
      </c>
      <c r="U57" s="22" t="s">
        <v>15</v>
      </c>
      <c r="V57" s="23" t="s">
        <v>18</v>
      </c>
      <c r="W57" s="24">
        <v>150</v>
      </c>
      <c r="X57" s="29" t="s">
        <v>127</v>
      </c>
      <c r="Y57" s="49" t="s">
        <v>3</v>
      </c>
      <c r="Z57" s="21" t="s">
        <v>20</v>
      </c>
      <c r="AA57" s="22" t="s">
        <v>15</v>
      </c>
      <c r="AB57" s="23" t="s">
        <v>18</v>
      </c>
      <c r="AC57" s="24">
        <v>150</v>
      </c>
      <c r="AD57" s="29" t="s">
        <v>91</v>
      </c>
      <c r="AE57" s="49" t="s">
        <v>3</v>
      </c>
      <c r="AF57" s="21" t="s">
        <v>20</v>
      </c>
      <c r="AG57" s="22" t="s">
        <v>15</v>
      </c>
      <c r="AH57" s="23" t="s">
        <v>18</v>
      </c>
      <c r="AI57" s="24">
        <v>130</v>
      </c>
      <c r="AJ57" s="29" t="s">
        <v>92</v>
      </c>
      <c r="AK57" s="49" t="s">
        <v>3</v>
      </c>
      <c r="AL57" s="21" t="s">
        <v>20</v>
      </c>
      <c r="AM57" s="22" t="s">
        <v>15</v>
      </c>
      <c r="AN57" s="23" t="s">
        <v>18</v>
      </c>
      <c r="AO57" s="24">
        <v>150</v>
      </c>
      <c r="AP57" s="29" t="s">
        <v>134</v>
      </c>
      <c r="AQ57" s="49" t="s">
        <v>3</v>
      </c>
      <c r="AR57" s="21" t="s">
        <v>20</v>
      </c>
      <c r="AS57" s="22" t="s">
        <v>15</v>
      </c>
      <c r="AT57" s="23" t="s">
        <v>18</v>
      </c>
      <c r="AU57" s="24">
        <v>150</v>
      </c>
      <c r="AV57" s="29" t="s">
        <v>135</v>
      </c>
      <c r="AW57" s="49" t="s">
        <v>3</v>
      </c>
      <c r="AX57" s="21" t="s">
        <v>20</v>
      </c>
      <c r="AY57" s="22" t="s">
        <v>15</v>
      </c>
      <c r="AZ57" s="23" t="s">
        <v>18</v>
      </c>
      <c r="BA57" s="24">
        <v>75</v>
      </c>
      <c r="BB57" s="29" t="s">
        <v>43</v>
      </c>
      <c r="BC57" s="49" t="s">
        <v>3</v>
      </c>
      <c r="BD57" s="21" t="s">
        <v>20</v>
      </c>
      <c r="BE57" s="22" t="s">
        <v>15</v>
      </c>
      <c r="BF57" s="23" t="s">
        <v>18</v>
      </c>
      <c r="BG57" s="24">
        <v>110</v>
      </c>
      <c r="BH57" s="29" t="s">
        <v>81</v>
      </c>
      <c r="BI57" s="49" t="s">
        <v>3</v>
      </c>
      <c r="BJ57" s="21" t="s">
        <v>20</v>
      </c>
      <c r="BK57" s="22" t="s">
        <v>15</v>
      </c>
      <c r="BL57" s="23" t="s">
        <v>18</v>
      </c>
      <c r="BM57" s="24">
        <v>45</v>
      </c>
      <c r="BN57" s="29" t="s">
        <v>54</v>
      </c>
      <c r="BO57" s="49" t="s">
        <v>3</v>
      </c>
      <c r="BP57" s="21" t="s">
        <v>20</v>
      </c>
      <c r="BQ57" s="22" t="s">
        <v>15</v>
      </c>
      <c r="BR57" s="23" t="s">
        <v>18</v>
      </c>
      <c r="BS57" s="24">
        <v>63</v>
      </c>
      <c r="BT57" s="29" t="s">
        <v>46</v>
      </c>
    </row>
    <row r="58" spans="1:72" ht="12" customHeight="1" x14ac:dyDescent="0.15">
      <c r="A58" s="49" t="s">
        <v>3</v>
      </c>
      <c r="B58" s="21" t="s">
        <v>20</v>
      </c>
      <c r="C58" s="19" t="s">
        <v>15</v>
      </c>
      <c r="D58" s="23" t="s">
        <v>19</v>
      </c>
      <c r="E58" s="24">
        <v>510</v>
      </c>
      <c r="F58" s="34" t="s">
        <v>90</v>
      </c>
      <c r="G58" s="49" t="s">
        <v>3</v>
      </c>
      <c r="H58" s="21" t="s">
        <v>20</v>
      </c>
      <c r="I58" s="19" t="s">
        <v>15</v>
      </c>
      <c r="J58" s="23" t="s">
        <v>19</v>
      </c>
      <c r="K58" s="24">
        <v>710</v>
      </c>
      <c r="L58" s="34" t="s">
        <v>40</v>
      </c>
      <c r="M58" s="49" t="s">
        <v>3</v>
      </c>
      <c r="N58" s="21" t="s">
        <v>20</v>
      </c>
      <c r="O58" s="19" t="s">
        <v>15</v>
      </c>
      <c r="P58" s="23" t="s">
        <v>19</v>
      </c>
      <c r="Q58" s="24">
        <v>580</v>
      </c>
      <c r="R58" s="34" t="s">
        <v>48</v>
      </c>
      <c r="S58" s="49" t="s">
        <v>3</v>
      </c>
      <c r="T58" s="21" t="s">
        <v>20</v>
      </c>
      <c r="U58" s="19" t="s">
        <v>15</v>
      </c>
      <c r="V58" s="23" t="s">
        <v>19</v>
      </c>
      <c r="W58" s="24">
        <v>430</v>
      </c>
      <c r="X58" s="34" t="s">
        <v>127</v>
      </c>
      <c r="Y58" s="49" t="s">
        <v>3</v>
      </c>
      <c r="Z58" s="21" t="s">
        <v>20</v>
      </c>
      <c r="AA58" s="19" t="s">
        <v>15</v>
      </c>
      <c r="AB58" s="23" t="s">
        <v>19</v>
      </c>
      <c r="AC58" s="24">
        <v>430</v>
      </c>
      <c r="AD58" s="34" t="s">
        <v>91</v>
      </c>
      <c r="AE58" s="49" t="s">
        <v>3</v>
      </c>
      <c r="AF58" s="21" t="s">
        <v>20</v>
      </c>
      <c r="AG58" s="19" t="s">
        <v>15</v>
      </c>
      <c r="AH58" s="23" t="s">
        <v>19</v>
      </c>
      <c r="AI58" s="24">
        <v>370</v>
      </c>
      <c r="AJ58" s="34" t="s">
        <v>92</v>
      </c>
      <c r="AK58" s="49" t="s">
        <v>3</v>
      </c>
      <c r="AL58" s="21" t="s">
        <v>20</v>
      </c>
      <c r="AM58" s="19" t="s">
        <v>15</v>
      </c>
      <c r="AN58" s="23" t="s">
        <v>19</v>
      </c>
      <c r="AO58" s="24">
        <v>440</v>
      </c>
      <c r="AP58" s="34" t="s">
        <v>134</v>
      </c>
      <c r="AQ58" s="49" t="s">
        <v>3</v>
      </c>
      <c r="AR58" s="21" t="s">
        <v>20</v>
      </c>
      <c r="AS58" s="19" t="s">
        <v>15</v>
      </c>
      <c r="AT58" s="23" t="s">
        <v>19</v>
      </c>
      <c r="AU58" s="24">
        <v>440</v>
      </c>
      <c r="AV58" s="34" t="s">
        <v>135</v>
      </c>
      <c r="AW58" s="49" t="s">
        <v>3</v>
      </c>
      <c r="AX58" s="21" t="s">
        <v>20</v>
      </c>
      <c r="AY58" s="19" t="s">
        <v>15</v>
      </c>
      <c r="AZ58" s="23" t="s">
        <v>19</v>
      </c>
      <c r="BA58" s="24">
        <v>230</v>
      </c>
      <c r="BB58" s="34" t="s">
        <v>43</v>
      </c>
      <c r="BC58" s="49" t="s">
        <v>3</v>
      </c>
      <c r="BD58" s="21" t="s">
        <v>20</v>
      </c>
      <c r="BE58" s="19" t="s">
        <v>15</v>
      </c>
      <c r="BF58" s="23" t="s">
        <v>19</v>
      </c>
      <c r="BG58" s="24">
        <v>400</v>
      </c>
      <c r="BH58" s="34" t="s">
        <v>81</v>
      </c>
      <c r="BI58" s="49" t="s">
        <v>3</v>
      </c>
      <c r="BJ58" s="21" t="s">
        <v>20</v>
      </c>
      <c r="BK58" s="19" t="s">
        <v>15</v>
      </c>
      <c r="BL58" s="23" t="s">
        <v>19</v>
      </c>
      <c r="BM58" s="24">
        <v>150</v>
      </c>
      <c r="BN58" s="34" t="s">
        <v>54</v>
      </c>
      <c r="BO58" s="49" t="s">
        <v>3</v>
      </c>
      <c r="BP58" s="21" t="s">
        <v>20</v>
      </c>
      <c r="BQ58" s="19" t="s">
        <v>15</v>
      </c>
      <c r="BR58" s="23" t="s">
        <v>19</v>
      </c>
      <c r="BS58" s="24">
        <v>230</v>
      </c>
      <c r="BT58" s="34" t="s">
        <v>46</v>
      </c>
    </row>
    <row r="59" spans="1:72" ht="12" customHeight="1" x14ac:dyDescent="0.15">
      <c r="A59" s="49" t="s">
        <v>3</v>
      </c>
      <c r="B59" s="21" t="s">
        <v>20</v>
      </c>
      <c r="C59" s="19" t="s">
        <v>15</v>
      </c>
      <c r="D59" s="23" t="s">
        <v>0</v>
      </c>
      <c r="E59" s="23">
        <v>700</v>
      </c>
      <c r="F59" s="35" t="s">
        <v>90</v>
      </c>
      <c r="G59" s="49" t="s">
        <v>3</v>
      </c>
      <c r="H59" s="21" t="s">
        <v>20</v>
      </c>
      <c r="I59" s="19" t="s">
        <v>15</v>
      </c>
      <c r="J59" s="23" t="s">
        <v>0</v>
      </c>
      <c r="K59" s="24">
        <v>970</v>
      </c>
      <c r="L59" s="35" t="s">
        <v>40</v>
      </c>
      <c r="M59" s="49" t="s">
        <v>3</v>
      </c>
      <c r="N59" s="21" t="s">
        <v>20</v>
      </c>
      <c r="O59" s="19" t="s">
        <v>15</v>
      </c>
      <c r="P59" s="23" t="s">
        <v>0</v>
      </c>
      <c r="Q59" s="24">
        <v>800</v>
      </c>
      <c r="R59" s="35" t="s">
        <v>48</v>
      </c>
      <c r="S59" s="49" t="s">
        <v>3</v>
      </c>
      <c r="T59" s="21" t="s">
        <v>20</v>
      </c>
      <c r="U59" s="19" t="s">
        <v>15</v>
      </c>
      <c r="V59" s="23" t="s">
        <v>0</v>
      </c>
      <c r="W59" s="24">
        <v>580</v>
      </c>
      <c r="X59" s="35" t="s">
        <v>127</v>
      </c>
      <c r="Y59" s="49" t="s">
        <v>3</v>
      </c>
      <c r="Z59" s="21" t="s">
        <v>20</v>
      </c>
      <c r="AA59" s="19" t="s">
        <v>15</v>
      </c>
      <c r="AB59" s="23" t="s">
        <v>0</v>
      </c>
      <c r="AC59" s="24">
        <v>580</v>
      </c>
      <c r="AD59" s="35" t="s">
        <v>91</v>
      </c>
      <c r="AE59" s="49" t="s">
        <v>3</v>
      </c>
      <c r="AF59" s="21" t="s">
        <v>20</v>
      </c>
      <c r="AG59" s="19" t="s">
        <v>15</v>
      </c>
      <c r="AH59" s="23" t="s">
        <v>0</v>
      </c>
      <c r="AI59" s="24">
        <v>500</v>
      </c>
      <c r="AJ59" s="35" t="s">
        <v>92</v>
      </c>
      <c r="AK59" s="49" t="s">
        <v>3</v>
      </c>
      <c r="AL59" s="21" t="s">
        <v>20</v>
      </c>
      <c r="AM59" s="19" t="s">
        <v>15</v>
      </c>
      <c r="AN59" s="23" t="s">
        <v>0</v>
      </c>
      <c r="AO59" s="24">
        <v>590</v>
      </c>
      <c r="AP59" s="35" t="s">
        <v>134</v>
      </c>
      <c r="AQ59" s="49" t="s">
        <v>3</v>
      </c>
      <c r="AR59" s="21" t="s">
        <v>20</v>
      </c>
      <c r="AS59" s="19" t="s">
        <v>15</v>
      </c>
      <c r="AT59" s="23" t="s">
        <v>0</v>
      </c>
      <c r="AU59" s="24">
        <v>590</v>
      </c>
      <c r="AV59" s="35" t="s">
        <v>135</v>
      </c>
      <c r="AW59" s="49" t="s">
        <v>3</v>
      </c>
      <c r="AX59" s="21" t="s">
        <v>20</v>
      </c>
      <c r="AY59" s="19" t="s">
        <v>15</v>
      </c>
      <c r="AZ59" s="23" t="s">
        <v>0</v>
      </c>
      <c r="BA59" s="24">
        <v>305</v>
      </c>
      <c r="BB59" s="35" t="s">
        <v>43</v>
      </c>
      <c r="BC59" s="49" t="s">
        <v>3</v>
      </c>
      <c r="BD59" s="21" t="s">
        <v>20</v>
      </c>
      <c r="BE59" s="19" t="s">
        <v>15</v>
      </c>
      <c r="BF59" s="23" t="s">
        <v>0</v>
      </c>
      <c r="BG59" s="24">
        <v>510</v>
      </c>
      <c r="BH59" s="35" t="s">
        <v>81</v>
      </c>
      <c r="BI59" s="49" t="s">
        <v>3</v>
      </c>
      <c r="BJ59" s="21" t="s">
        <v>20</v>
      </c>
      <c r="BK59" s="19" t="s">
        <v>15</v>
      </c>
      <c r="BL59" s="23" t="s">
        <v>0</v>
      </c>
      <c r="BM59" s="24">
        <v>195</v>
      </c>
      <c r="BN59" s="35" t="s">
        <v>54</v>
      </c>
      <c r="BO59" s="49" t="s">
        <v>3</v>
      </c>
      <c r="BP59" s="21" t="s">
        <v>20</v>
      </c>
      <c r="BQ59" s="19" t="s">
        <v>15</v>
      </c>
      <c r="BR59" s="23" t="s">
        <v>0</v>
      </c>
      <c r="BS59" s="24">
        <v>293</v>
      </c>
      <c r="BT59" s="35" t="s">
        <v>46</v>
      </c>
    </row>
    <row r="60" spans="1:72" ht="12" customHeight="1" x14ac:dyDescent="0.15">
      <c r="A60" s="49" t="s">
        <v>3</v>
      </c>
      <c r="B60" s="21" t="s">
        <v>10</v>
      </c>
      <c r="C60" s="22" t="s">
        <v>16</v>
      </c>
      <c r="D60" s="23" t="s">
        <v>18</v>
      </c>
      <c r="E60" s="24">
        <v>150</v>
      </c>
      <c r="F60" s="29" t="s">
        <v>93</v>
      </c>
      <c r="G60" s="49" t="s">
        <v>3</v>
      </c>
      <c r="H60" s="21" t="s">
        <v>10</v>
      </c>
      <c r="I60" s="22" t="s">
        <v>16</v>
      </c>
      <c r="J60" s="23" t="s">
        <v>18</v>
      </c>
      <c r="K60" s="24">
        <v>140</v>
      </c>
      <c r="L60" s="29" t="s">
        <v>94</v>
      </c>
      <c r="M60" s="49" t="s">
        <v>3</v>
      </c>
      <c r="N60" s="21" t="s">
        <v>10</v>
      </c>
      <c r="O60" s="22" t="s">
        <v>16</v>
      </c>
      <c r="P60" s="23" t="s">
        <v>18</v>
      </c>
      <c r="Q60" s="23">
        <v>110</v>
      </c>
      <c r="R60" s="29" t="s">
        <v>136</v>
      </c>
      <c r="S60" s="49" t="s">
        <v>3</v>
      </c>
      <c r="T60" s="21" t="s">
        <v>10</v>
      </c>
      <c r="U60" s="22" t="s">
        <v>16</v>
      </c>
      <c r="V60" s="23" t="s">
        <v>18</v>
      </c>
      <c r="W60" s="24">
        <v>91</v>
      </c>
      <c r="X60" s="29" t="s">
        <v>128</v>
      </c>
      <c r="Y60" s="49" t="s">
        <v>3</v>
      </c>
      <c r="Z60" s="21" t="s">
        <v>10</v>
      </c>
      <c r="AA60" s="22" t="s">
        <v>16</v>
      </c>
      <c r="AB60" s="23" t="s">
        <v>18</v>
      </c>
      <c r="AC60" s="23">
        <v>110</v>
      </c>
      <c r="AD60" s="29" t="s">
        <v>95</v>
      </c>
      <c r="AE60" s="49" t="s">
        <v>3</v>
      </c>
      <c r="AF60" s="21" t="s">
        <v>10</v>
      </c>
      <c r="AG60" s="22" t="s">
        <v>16</v>
      </c>
      <c r="AH60" s="23" t="s">
        <v>18</v>
      </c>
      <c r="AI60" s="24">
        <v>120</v>
      </c>
      <c r="AJ60" s="29" t="s">
        <v>96</v>
      </c>
      <c r="AK60" s="49" t="s">
        <v>3</v>
      </c>
      <c r="AL60" s="21" t="s">
        <v>10</v>
      </c>
      <c r="AM60" s="22" t="s">
        <v>16</v>
      </c>
      <c r="AN60" s="23" t="s">
        <v>18</v>
      </c>
      <c r="AO60" s="24">
        <v>130</v>
      </c>
      <c r="AP60" s="29" t="s">
        <v>137</v>
      </c>
      <c r="AQ60" s="49" t="s">
        <v>3</v>
      </c>
      <c r="AR60" s="21" t="s">
        <v>10</v>
      </c>
      <c r="AS60" s="22" t="s">
        <v>16</v>
      </c>
      <c r="AT60" s="23" t="s">
        <v>18</v>
      </c>
      <c r="AU60" s="24">
        <v>130</v>
      </c>
      <c r="AV60" s="29" t="s">
        <v>138</v>
      </c>
      <c r="AW60" s="49" t="s">
        <v>3</v>
      </c>
      <c r="AX60" s="21" t="s">
        <v>10</v>
      </c>
      <c r="AY60" s="22" t="s">
        <v>16</v>
      </c>
      <c r="AZ60" s="23" t="s">
        <v>18</v>
      </c>
      <c r="BA60" s="24">
        <v>98</v>
      </c>
      <c r="BB60" s="29" t="s">
        <v>97</v>
      </c>
      <c r="BC60" s="49" t="s">
        <v>3</v>
      </c>
      <c r="BD60" s="21" t="s">
        <v>10</v>
      </c>
      <c r="BE60" s="22" t="s">
        <v>16</v>
      </c>
      <c r="BF60" s="23" t="s">
        <v>18</v>
      </c>
      <c r="BG60" s="24">
        <v>87</v>
      </c>
      <c r="BH60" s="29" t="s">
        <v>87</v>
      </c>
      <c r="BI60" s="49" t="s">
        <v>3</v>
      </c>
      <c r="BJ60" s="21" t="s">
        <v>10</v>
      </c>
      <c r="BK60" s="22" t="s">
        <v>16</v>
      </c>
      <c r="BL60" s="23" t="s">
        <v>18</v>
      </c>
      <c r="BM60" s="24">
        <v>61</v>
      </c>
      <c r="BN60" s="29" t="s">
        <v>98</v>
      </c>
      <c r="BO60" s="49" t="s">
        <v>3</v>
      </c>
      <c r="BP60" s="21" t="s">
        <v>10</v>
      </c>
      <c r="BQ60" s="22" t="s">
        <v>16</v>
      </c>
      <c r="BR60" s="23" t="s">
        <v>18</v>
      </c>
      <c r="BS60" s="24">
        <v>67</v>
      </c>
      <c r="BT60" s="29" t="s">
        <v>55</v>
      </c>
    </row>
    <row r="61" spans="1:72" ht="12" customHeight="1" x14ac:dyDescent="0.15">
      <c r="A61" s="49" t="s">
        <v>3</v>
      </c>
      <c r="B61" s="21" t="s">
        <v>10</v>
      </c>
      <c r="C61" s="19" t="s">
        <v>16</v>
      </c>
      <c r="D61" s="23" t="s">
        <v>19</v>
      </c>
      <c r="E61" s="24">
        <v>410</v>
      </c>
      <c r="F61" s="34" t="s">
        <v>93</v>
      </c>
      <c r="G61" s="49" t="s">
        <v>3</v>
      </c>
      <c r="H61" s="21" t="s">
        <v>10</v>
      </c>
      <c r="I61" s="19" t="s">
        <v>16</v>
      </c>
      <c r="J61" s="23" t="s">
        <v>19</v>
      </c>
      <c r="K61" s="24">
        <v>390</v>
      </c>
      <c r="L61" s="34" t="s">
        <v>94</v>
      </c>
      <c r="M61" s="49" t="s">
        <v>3</v>
      </c>
      <c r="N61" s="21" t="s">
        <v>10</v>
      </c>
      <c r="O61" s="19" t="s">
        <v>16</v>
      </c>
      <c r="P61" s="23" t="s">
        <v>19</v>
      </c>
      <c r="Q61" s="24">
        <v>310</v>
      </c>
      <c r="R61" s="34" t="s">
        <v>136</v>
      </c>
      <c r="S61" s="49" t="s">
        <v>3</v>
      </c>
      <c r="T61" s="21" t="s">
        <v>10</v>
      </c>
      <c r="U61" s="19" t="s">
        <v>16</v>
      </c>
      <c r="V61" s="23" t="s">
        <v>19</v>
      </c>
      <c r="W61" s="24">
        <v>270</v>
      </c>
      <c r="X61" s="34" t="s">
        <v>128</v>
      </c>
      <c r="Y61" s="49" t="s">
        <v>3</v>
      </c>
      <c r="Z61" s="21" t="s">
        <v>10</v>
      </c>
      <c r="AA61" s="19" t="s">
        <v>16</v>
      </c>
      <c r="AB61" s="23" t="s">
        <v>19</v>
      </c>
      <c r="AC61" s="24">
        <v>320</v>
      </c>
      <c r="AD61" s="34" t="s">
        <v>95</v>
      </c>
      <c r="AE61" s="49" t="s">
        <v>3</v>
      </c>
      <c r="AF61" s="21" t="s">
        <v>10</v>
      </c>
      <c r="AG61" s="19" t="s">
        <v>16</v>
      </c>
      <c r="AH61" s="23" t="s">
        <v>19</v>
      </c>
      <c r="AI61" s="24">
        <v>390</v>
      </c>
      <c r="AJ61" s="34" t="s">
        <v>96</v>
      </c>
      <c r="AK61" s="49" t="s">
        <v>3</v>
      </c>
      <c r="AL61" s="21" t="s">
        <v>10</v>
      </c>
      <c r="AM61" s="19" t="s">
        <v>16</v>
      </c>
      <c r="AN61" s="23" t="s">
        <v>19</v>
      </c>
      <c r="AO61" s="24">
        <v>430</v>
      </c>
      <c r="AP61" s="34" t="s">
        <v>137</v>
      </c>
      <c r="AQ61" s="49" t="s">
        <v>3</v>
      </c>
      <c r="AR61" s="21" t="s">
        <v>10</v>
      </c>
      <c r="AS61" s="19" t="s">
        <v>16</v>
      </c>
      <c r="AT61" s="23" t="s">
        <v>19</v>
      </c>
      <c r="AU61" s="24">
        <v>420</v>
      </c>
      <c r="AV61" s="34" t="s">
        <v>138</v>
      </c>
      <c r="AW61" s="49" t="s">
        <v>3</v>
      </c>
      <c r="AX61" s="21" t="s">
        <v>10</v>
      </c>
      <c r="AY61" s="19" t="s">
        <v>16</v>
      </c>
      <c r="AZ61" s="23" t="s">
        <v>19</v>
      </c>
      <c r="BA61" s="24">
        <v>330</v>
      </c>
      <c r="BB61" s="34" t="s">
        <v>97</v>
      </c>
      <c r="BC61" s="49" t="s">
        <v>3</v>
      </c>
      <c r="BD61" s="21" t="s">
        <v>10</v>
      </c>
      <c r="BE61" s="19" t="s">
        <v>16</v>
      </c>
      <c r="BF61" s="23" t="s">
        <v>19</v>
      </c>
      <c r="BG61" s="24">
        <v>280</v>
      </c>
      <c r="BH61" s="34" t="s">
        <v>87</v>
      </c>
      <c r="BI61" s="49" t="s">
        <v>3</v>
      </c>
      <c r="BJ61" s="21" t="s">
        <v>10</v>
      </c>
      <c r="BK61" s="19" t="s">
        <v>16</v>
      </c>
      <c r="BL61" s="23" t="s">
        <v>19</v>
      </c>
      <c r="BM61" s="24">
        <v>230</v>
      </c>
      <c r="BN61" s="34" t="s">
        <v>98</v>
      </c>
      <c r="BO61" s="49" t="s">
        <v>3</v>
      </c>
      <c r="BP61" s="21" t="s">
        <v>10</v>
      </c>
      <c r="BQ61" s="19" t="s">
        <v>16</v>
      </c>
      <c r="BR61" s="23" t="s">
        <v>19</v>
      </c>
      <c r="BS61" s="24">
        <v>240</v>
      </c>
      <c r="BT61" s="34" t="s">
        <v>55</v>
      </c>
    </row>
    <row r="62" spans="1:72" ht="12" customHeight="1" x14ac:dyDescent="0.15">
      <c r="A62" s="49" t="s">
        <v>3</v>
      </c>
      <c r="B62" s="21" t="s">
        <v>10</v>
      </c>
      <c r="C62" s="19" t="s">
        <v>16</v>
      </c>
      <c r="D62" s="23" t="s">
        <v>0</v>
      </c>
      <c r="E62" s="24">
        <v>560</v>
      </c>
      <c r="F62" s="35" t="s">
        <v>93</v>
      </c>
      <c r="G62" s="49" t="s">
        <v>3</v>
      </c>
      <c r="H62" s="21" t="s">
        <v>10</v>
      </c>
      <c r="I62" s="19" t="s">
        <v>16</v>
      </c>
      <c r="J62" s="23" t="s">
        <v>0</v>
      </c>
      <c r="K62" s="24">
        <v>530</v>
      </c>
      <c r="L62" s="35" t="s">
        <v>94</v>
      </c>
      <c r="M62" s="49" t="s">
        <v>3</v>
      </c>
      <c r="N62" s="21" t="s">
        <v>10</v>
      </c>
      <c r="O62" s="19" t="s">
        <v>16</v>
      </c>
      <c r="P62" s="23" t="s">
        <v>0</v>
      </c>
      <c r="Q62" s="24">
        <v>420</v>
      </c>
      <c r="R62" s="35" t="s">
        <v>136</v>
      </c>
      <c r="S62" s="49" t="s">
        <v>3</v>
      </c>
      <c r="T62" s="21" t="s">
        <v>10</v>
      </c>
      <c r="U62" s="19" t="s">
        <v>16</v>
      </c>
      <c r="V62" s="23" t="s">
        <v>0</v>
      </c>
      <c r="W62" s="24">
        <v>361</v>
      </c>
      <c r="X62" s="35" t="s">
        <v>128</v>
      </c>
      <c r="Y62" s="49" t="s">
        <v>3</v>
      </c>
      <c r="Z62" s="21" t="s">
        <v>10</v>
      </c>
      <c r="AA62" s="19" t="s">
        <v>16</v>
      </c>
      <c r="AB62" s="23" t="s">
        <v>0</v>
      </c>
      <c r="AC62" s="24">
        <v>430</v>
      </c>
      <c r="AD62" s="35" t="s">
        <v>95</v>
      </c>
      <c r="AE62" s="49" t="s">
        <v>3</v>
      </c>
      <c r="AF62" s="21" t="s">
        <v>10</v>
      </c>
      <c r="AG62" s="19" t="s">
        <v>16</v>
      </c>
      <c r="AH62" s="23" t="s">
        <v>0</v>
      </c>
      <c r="AI62" s="24">
        <v>510</v>
      </c>
      <c r="AJ62" s="35" t="s">
        <v>96</v>
      </c>
      <c r="AK62" s="49" t="s">
        <v>3</v>
      </c>
      <c r="AL62" s="21" t="s">
        <v>10</v>
      </c>
      <c r="AM62" s="19" t="s">
        <v>16</v>
      </c>
      <c r="AN62" s="23" t="s">
        <v>0</v>
      </c>
      <c r="AO62" s="24">
        <v>560</v>
      </c>
      <c r="AP62" s="35" t="s">
        <v>137</v>
      </c>
      <c r="AQ62" s="49" t="s">
        <v>3</v>
      </c>
      <c r="AR62" s="21" t="s">
        <v>10</v>
      </c>
      <c r="AS62" s="19" t="s">
        <v>16</v>
      </c>
      <c r="AT62" s="23" t="s">
        <v>0</v>
      </c>
      <c r="AU62" s="24">
        <v>550</v>
      </c>
      <c r="AV62" s="35" t="s">
        <v>138</v>
      </c>
      <c r="AW62" s="49" t="s">
        <v>3</v>
      </c>
      <c r="AX62" s="21" t="s">
        <v>10</v>
      </c>
      <c r="AY62" s="19" t="s">
        <v>16</v>
      </c>
      <c r="AZ62" s="23" t="s">
        <v>0</v>
      </c>
      <c r="BA62" s="24">
        <v>428</v>
      </c>
      <c r="BB62" s="35" t="s">
        <v>97</v>
      </c>
      <c r="BC62" s="49" t="s">
        <v>3</v>
      </c>
      <c r="BD62" s="21" t="s">
        <v>10</v>
      </c>
      <c r="BE62" s="19" t="s">
        <v>16</v>
      </c>
      <c r="BF62" s="23" t="s">
        <v>0</v>
      </c>
      <c r="BG62" s="24">
        <v>367</v>
      </c>
      <c r="BH62" s="35" t="s">
        <v>87</v>
      </c>
      <c r="BI62" s="49" t="s">
        <v>3</v>
      </c>
      <c r="BJ62" s="21" t="s">
        <v>10</v>
      </c>
      <c r="BK62" s="19" t="s">
        <v>16</v>
      </c>
      <c r="BL62" s="23" t="s">
        <v>0</v>
      </c>
      <c r="BM62" s="24">
        <v>291</v>
      </c>
      <c r="BN62" s="35" t="s">
        <v>98</v>
      </c>
      <c r="BO62" s="49" t="s">
        <v>3</v>
      </c>
      <c r="BP62" s="21" t="s">
        <v>10</v>
      </c>
      <c r="BQ62" s="19" t="s">
        <v>16</v>
      </c>
      <c r="BR62" s="23" t="s">
        <v>0</v>
      </c>
      <c r="BS62" s="24">
        <v>307</v>
      </c>
      <c r="BT62" s="35" t="s">
        <v>55</v>
      </c>
    </row>
    <row r="63" spans="1:72" ht="12" customHeight="1" x14ac:dyDescent="0.15">
      <c r="A63" s="49" t="s">
        <v>3</v>
      </c>
      <c r="B63" s="21" t="s">
        <v>21</v>
      </c>
      <c r="C63" s="22" t="s">
        <v>8</v>
      </c>
      <c r="D63" s="23" t="s">
        <v>18</v>
      </c>
      <c r="E63" s="27">
        <v>1.9</v>
      </c>
      <c r="F63" s="29" t="s">
        <v>39</v>
      </c>
      <c r="G63" s="49" t="s">
        <v>3</v>
      </c>
      <c r="H63" s="21" t="s">
        <v>21</v>
      </c>
      <c r="I63" s="22" t="s">
        <v>8</v>
      </c>
      <c r="J63" s="23" t="s">
        <v>18</v>
      </c>
      <c r="K63" s="27">
        <v>1.6</v>
      </c>
      <c r="L63" s="29" t="s">
        <v>94</v>
      </c>
      <c r="M63" s="49" t="s">
        <v>3</v>
      </c>
      <c r="N63" s="21" t="s">
        <v>21</v>
      </c>
      <c r="O63" s="22" t="s">
        <v>8</v>
      </c>
      <c r="P63" s="23" t="s">
        <v>18</v>
      </c>
      <c r="Q63" s="27">
        <v>3.7</v>
      </c>
      <c r="R63" s="29" t="s">
        <v>136</v>
      </c>
      <c r="S63" s="49" t="s">
        <v>3</v>
      </c>
      <c r="T63" s="21" t="s">
        <v>21</v>
      </c>
      <c r="U63" s="22" t="s">
        <v>8</v>
      </c>
      <c r="V63" s="23" t="s">
        <v>18</v>
      </c>
      <c r="W63" s="27">
        <v>2.9</v>
      </c>
      <c r="X63" s="29" t="s">
        <v>128</v>
      </c>
      <c r="Y63" s="49" t="s">
        <v>3</v>
      </c>
      <c r="Z63" s="21" t="s">
        <v>21</v>
      </c>
      <c r="AA63" s="22" t="s">
        <v>8</v>
      </c>
      <c r="AB63" s="23" t="s">
        <v>18</v>
      </c>
      <c r="AC63" s="27">
        <v>1.4</v>
      </c>
      <c r="AD63" s="29" t="s">
        <v>95</v>
      </c>
      <c r="AE63" s="49" t="s">
        <v>3</v>
      </c>
      <c r="AF63" s="21" t="s">
        <v>21</v>
      </c>
      <c r="AG63" s="22" t="s">
        <v>8</v>
      </c>
      <c r="AH63" s="23" t="s">
        <v>18</v>
      </c>
      <c r="AI63" s="27">
        <v>3.8</v>
      </c>
      <c r="AJ63" s="29" t="s">
        <v>96</v>
      </c>
      <c r="AK63" s="49" t="s">
        <v>3</v>
      </c>
      <c r="AL63" s="21" t="s">
        <v>21</v>
      </c>
      <c r="AM63" s="22" t="s">
        <v>8</v>
      </c>
      <c r="AN63" s="23" t="s">
        <v>18</v>
      </c>
      <c r="AO63" s="27">
        <v>3.8</v>
      </c>
      <c r="AP63" s="29" t="s">
        <v>137</v>
      </c>
      <c r="AQ63" s="49" t="s">
        <v>3</v>
      </c>
      <c r="AR63" s="21" t="s">
        <v>21</v>
      </c>
      <c r="AS63" s="22" t="s">
        <v>8</v>
      </c>
      <c r="AT63" s="23" t="s">
        <v>18</v>
      </c>
      <c r="AU63" s="27">
        <v>1.6</v>
      </c>
      <c r="AV63" s="29" t="s">
        <v>139</v>
      </c>
      <c r="AW63" s="49" t="s">
        <v>3</v>
      </c>
      <c r="AX63" s="21" t="s">
        <v>21</v>
      </c>
      <c r="AY63" s="22" t="s">
        <v>8</v>
      </c>
      <c r="AZ63" s="23" t="s">
        <v>18</v>
      </c>
      <c r="BA63" s="27">
        <v>2.9</v>
      </c>
      <c r="BB63" s="29" t="s">
        <v>97</v>
      </c>
      <c r="BC63" s="49" t="s">
        <v>3</v>
      </c>
      <c r="BD63" s="21" t="s">
        <v>21</v>
      </c>
      <c r="BE63" s="22" t="s">
        <v>8</v>
      </c>
      <c r="BF63" s="23" t="s">
        <v>18</v>
      </c>
      <c r="BG63" s="27">
        <v>1.1000000000000001</v>
      </c>
      <c r="BH63" s="29" t="s">
        <v>87</v>
      </c>
      <c r="BI63" s="49" t="s">
        <v>3</v>
      </c>
      <c r="BJ63" s="21" t="s">
        <v>21</v>
      </c>
      <c r="BK63" s="22" t="s">
        <v>8</v>
      </c>
      <c r="BL63" s="23" t="s">
        <v>18</v>
      </c>
      <c r="BM63" s="27">
        <v>1.6</v>
      </c>
      <c r="BN63" s="29" t="s">
        <v>98</v>
      </c>
      <c r="BO63" s="49" t="s">
        <v>3</v>
      </c>
      <c r="BP63" s="21" t="s">
        <v>21</v>
      </c>
      <c r="BQ63" s="22" t="s">
        <v>8</v>
      </c>
      <c r="BR63" s="23" t="s">
        <v>18</v>
      </c>
      <c r="BS63" s="27">
        <v>2.4</v>
      </c>
      <c r="BT63" s="29" t="s">
        <v>55</v>
      </c>
    </row>
    <row r="64" spans="1:72" ht="12" customHeight="1" x14ac:dyDescent="0.15">
      <c r="A64" s="49" t="s">
        <v>3</v>
      </c>
      <c r="B64" s="21" t="s">
        <v>21</v>
      </c>
      <c r="C64" s="19" t="s">
        <v>8</v>
      </c>
      <c r="D64" s="23" t="s">
        <v>19</v>
      </c>
      <c r="E64" s="27">
        <v>4.4000000000000004</v>
      </c>
      <c r="F64" s="34" t="s">
        <v>39</v>
      </c>
      <c r="G64" s="49" t="s">
        <v>3</v>
      </c>
      <c r="H64" s="21" t="s">
        <v>21</v>
      </c>
      <c r="I64" s="19" t="s">
        <v>8</v>
      </c>
      <c r="J64" s="23" t="s">
        <v>19</v>
      </c>
      <c r="K64" s="27">
        <v>4.5999999999999996</v>
      </c>
      <c r="L64" s="34" t="s">
        <v>94</v>
      </c>
      <c r="M64" s="49" t="s">
        <v>3</v>
      </c>
      <c r="N64" s="21" t="s">
        <v>21</v>
      </c>
      <c r="O64" s="19" t="s">
        <v>8</v>
      </c>
      <c r="P64" s="23" t="s">
        <v>19</v>
      </c>
      <c r="Q64" s="23">
        <v>10</v>
      </c>
      <c r="R64" s="34" t="s">
        <v>136</v>
      </c>
      <c r="S64" s="49" t="s">
        <v>3</v>
      </c>
      <c r="T64" s="21" t="s">
        <v>21</v>
      </c>
      <c r="U64" s="19" t="s">
        <v>8</v>
      </c>
      <c r="V64" s="23" t="s">
        <v>19</v>
      </c>
      <c r="W64" s="27">
        <v>8.4</v>
      </c>
      <c r="X64" s="34" t="s">
        <v>128</v>
      </c>
      <c r="Y64" s="49" t="s">
        <v>3</v>
      </c>
      <c r="Z64" s="21" t="s">
        <v>21</v>
      </c>
      <c r="AA64" s="19" t="s">
        <v>8</v>
      </c>
      <c r="AB64" s="23" t="s">
        <v>19</v>
      </c>
      <c r="AC64" s="27">
        <v>5.0999999999999996</v>
      </c>
      <c r="AD64" s="34" t="s">
        <v>95</v>
      </c>
      <c r="AE64" s="49" t="s">
        <v>3</v>
      </c>
      <c r="AF64" s="21" t="s">
        <v>21</v>
      </c>
      <c r="AG64" s="19" t="s">
        <v>8</v>
      </c>
      <c r="AH64" s="23" t="s">
        <v>19</v>
      </c>
      <c r="AI64" s="24">
        <v>13</v>
      </c>
      <c r="AJ64" s="34" t="s">
        <v>96</v>
      </c>
      <c r="AK64" s="49" t="s">
        <v>3</v>
      </c>
      <c r="AL64" s="21" t="s">
        <v>21</v>
      </c>
      <c r="AM64" s="19" t="s">
        <v>8</v>
      </c>
      <c r="AN64" s="23" t="s">
        <v>19</v>
      </c>
      <c r="AO64" s="24">
        <v>12</v>
      </c>
      <c r="AP64" s="34" t="s">
        <v>137</v>
      </c>
      <c r="AQ64" s="49" t="s">
        <v>3</v>
      </c>
      <c r="AR64" s="21" t="s">
        <v>21</v>
      </c>
      <c r="AS64" s="19" t="s">
        <v>8</v>
      </c>
      <c r="AT64" s="23" t="s">
        <v>19</v>
      </c>
      <c r="AU64" s="27">
        <v>4.4000000000000004</v>
      </c>
      <c r="AV64" s="34" t="s">
        <v>139</v>
      </c>
      <c r="AW64" s="49" t="s">
        <v>3</v>
      </c>
      <c r="AX64" s="21" t="s">
        <v>21</v>
      </c>
      <c r="AY64" s="19" t="s">
        <v>8</v>
      </c>
      <c r="AZ64" s="23" t="s">
        <v>19</v>
      </c>
      <c r="BA64" s="27">
        <v>9.3000000000000007</v>
      </c>
      <c r="BB64" s="34" t="s">
        <v>97</v>
      </c>
      <c r="BC64" s="49" t="s">
        <v>3</v>
      </c>
      <c r="BD64" s="21" t="s">
        <v>21</v>
      </c>
      <c r="BE64" s="19" t="s">
        <v>8</v>
      </c>
      <c r="BF64" s="23" t="s">
        <v>19</v>
      </c>
      <c r="BG64" s="23">
        <v>7.4</v>
      </c>
      <c r="BH64" s="34" t="s">
        <v>87</v>
      </c>
      <c r="BI64" s="49" t="s">
        <v>3</v>
      </c>
      <c r="BJ64" s="21" t="s">
        <v>21</v>
      </c>
      <c r="BK64" s="19" t="s">
        <v>8</v>
      </c>
      <c r="BL64" s="23" t="s">
        <v>19</v>
      </c>
      <c r="BM64" s="27">
        <v>5.9</v>
      </c>
      <c r="BN64" s="34" t="s">
        <v>98</v>
      </c>
      <c r="BO64" s="49" t="s">
        <v>3</v>
      </c>
      <c r="BP64" s="21" t="s">
        <v>21</v>
      </c>
      <c r="BQ64" s="19" t="s">
        <v>8</v>
      </c>
      <c r="BR64" s="23" t="s">
        <v>19</v>
      </c>
      <c r="BS64" s="27">
        <v>8.1</v>
      </c>
      <c r="BT64" s="34" t="s">
        <v>55</v>
      </c>
    </row>
    <row r="65" spans="1:72" ht="12" customHeight="1" x14ac:dyDescent="0.15">
      <c r="A65" s="49" t="s">
        <v>3</v>
      </c>
      <c r="B65" s="21" t="s">
        <v>21</v>
      </c>
      <c r="C65" s="19" t="s">
        <v>8</v>
      </c>
      <c r="D65" s="23" t="s">
        <v>0</v>
      </c>
      <c r="E65" s="27">
        <v>6.3</v>
      </c>
      <c r="F65" s="35" t="s">
        <v>39</v>
      </c>
      <c r="G65" s="49" t="s">
        <v>3</v>
      </c>
      <c r="H65" s="21" t="s">
        <v>21</v>
      </c>
      <c r="I65" s="19" t="s">
        <v>8</v>
      </c>
      <c r="J65" s="23" t="s">
        <v>0</v>
      </c>
      <c r="K65" s="27">
        <v>6.2</v>
      </c>
      <c r="L65" s="35" t="s">
        <v>94</v>
      </c>
      <c r="M65" s="49" t="s">
        <v>3</v>
      </c>
      <c r="N65" s="21" t="s">
        <v>21</v>
      </c>
      <c r="O65" s="19" t="s">
        <v>8</v>
      </c>
      <c r="P65" s="23" t="s">
        <v>0</v>
      </c>
      <c r="Q65" s="27">
        <v>13.7</v>
      </c>
      <c r="R65" s="35" t="s">
        <v>136</v>
      </c>
      <c r="S65" s="49" t="s">
        <v>3</v>
      </c>
      <c r="T65" s="21" t="s">
        <v>21</v>
      </c>
      <c r="U65" s="19" t="s">
        <v>8</v>
      </c>
      <c r="V65" s="23" t="s">
        <v>0</v>
      </c>
      <c r="W65" s="27">
        <v>11.3</v>
      </c>
      <c r="X65" s="35" t="s">
        <v>128</v>
      </c>
      <c r="Y65" s="49" t="s">
        <v>3</v>
      </c>
      <c r="Z65" s="21" t="s">
        <v>21</v>
      </c>
      <c r="AA65" s="19" t="s">
        <v>8</v>
      </c>
      <c r="AB65" s="23" t="s">
        <v>0</v>
      </c>
      <c r="AC65" s="27">
        <v>6.5</v>
      </c>
      <c r="AD65" s="35" t="s">
        <v>95</v>
      </c>
      <c r="AE65" s="49" t="s">
        <v>3</v>
      </c>
      <c r="AF65" s="21" t="s">
        <v>21</v>
      </c>
      <c r="AG65" s="19" t="s">
        <v>8</v>
      </c>
      <c r="AH65" s="23" t="s">
        <v>0</v>
      </c>
      <c r="AI65" s="27">
        <v>16.8</v>
      </c>
      <c r="AJ65" s="35" t="s">
        <v>96</v>
      </c>
      <c r="AK65" s="49" t="s">
        <v>3</v>
      </c>
      <c r="AL65" s="21" t="s">
        <v>21</v>
      </c>
      <c r="AM65" s="19" t="s">
        <v>8</v>
      </c>
      <c r="AN65" s="23" t="s">
        <v>0</v>
      </c>
      <c r="AO65" s="27">
        <v>15.8</v>
      </c>
      <c r="AP65" s="35" t="s">
        <v>137</v>
      </c>
      <c r="AQ65" s="49" t="s">
        <v>3</v>
      </c>
      <c r="AR65" s="21" t="s">
        <v>21</v>
      </c>
      <c r="AS65" s="19" t="s">
        <v>8</v>
      </c>
      <c r="AT65" s="23" t="s">
        <v>0</v>
      </c>
      <c r="AU65" s="24">
        <v>6</v>
      </c>
      <c r="AV65" s="35" t="s">
        <v>139</v>
      </c>
      <c r="AW65" s="49" t="s">
        <v>3</v>
      </c>
      <c r="AX65" s="21" t="s">
        <v>21</v>
      </c>
      <c r="AY65" s="19" t="s">
        <v>8</v>
      </c>
      <c r="AZ65" s="23" t="s">
        <v>0</v>
      </c>
      <c r="BA65" s="27">
        <v>12.2</v>
      </c>
      <c r="BB65" s="35" t="s">
        <v>97</v>
      </c>
      <c r="BC65" s="49" t="s">
        <v>3</v>
      </c>
      <c r="BD65" s="21" t="s">
        <v>21</v>
      </c>
      <c r="BE65" s="19" t="s">
        <v>8</v>
      </c>
      <c r="BF65" s="23" t="s">
        <v>0</v>
      </c>
      <c r="BG65" s="27">
        <v>8.5</v>
      </c>
      <c r="BH65" s="35" t="s">
        <v>87</v>
      </c>
      <c r="BI65" s="49" t="s">
        <v>3</v>
      </c>
      <c r="BJ65" s="21" t="s">
        <v>21</v>
      </c>
      <c r="BK65" s="19" t="s">
        <v>8</v>
      </c>
      <c r="BL65" s="23" t="s">
        <v>0</v>
      </c>
      <c r="BM65" s="23">
        <v>7.5</v>
      </c>
      <c r="BN65" s="35" t="s">
        <v>98</v>
      </c>
      <c r="BO65" s="49" t="s">
        <v>3</v>
      </c>
      <c r="BP65" s="21" t="s">
        <v>21</v>
      </c>
      <c r="BQ65" s="19" t="s">
        <v>8</v>
      </c>
      <c r="BR65" s="23" t="s">
        <v>0</v>
      </c>
      <c r="BS65" s="27">
        <v>10.5</v>
      </c>
      <c r="BT65" s="35" t="s">
        <v>55</v>
      </c>
    </row>
    <row r="66" spans="1:72" ht="12" customHeight="1" x14ac:dyDescent="0.15">
      <c r="A66" s="49" t="s">
        <v>4</v>
      </c>
      <c r="B66" s="21" t="s">
        <v>9</v>
      </c>
      <c r="C66" s="22" t="s">
        <v>11</v>
      </c>
      <c r="D66" s="23" t="s">
        <v>18</v>
      </c>
      <c r="E66" s="24">
        <v>22</v>
      </c>
      <c r="F66" s="29" t="s">
        <v>76</v>
      </c>
      <c r="G66" s="49" t="s">
        <v>4</v>
      </c>
      <c r="H66" s="21" t="s">
        <v>9</v>
      </c>
      <c r="I66" s="22" t="s">
        <v>11</v>
      </c>
      <c r="J66" s="23" t="s">
        <v>18</v>
      </c>
      <c r="K66" s="24">
        <v>31</v>
      </c>
      <c r="L66" s="29" t="s">
        <v>94</v>
      </c>
      <c r="M66" s="49" t="s">
        <v>4</v>
      </c>
      <c r="N66" s="21" t="s">
        <v>9</v>
      </c>
      <c r="O66" s="22" t="s">
        <v>11</v>
      </c>
      <c r="P66" s="23" t="s">
        <v>18</v>
      </c>
      <c r="Q66" s="24">
        <v>30</v>
      </c>
      <c r="R66" s="29" t="s">
        <v>48</v>
      </c>
      <c r="S66" s="49" t="s">
        <v>4</v>
      </c>
      <c r="T66" s="21" t="s">
        <v>9</v>
      </c>
      <c r="U66" s="22" t="s">
        <v>11</v>
      </c>
      <c r="V66" s="23" t="s">
        <v>18</v>
      </c>
      <c r="W66" s="24">
        <v>21</v>
      </c>
      <c r="X66" s="29" t="s">
        <v>99</v>
      </c>
      <c r="Y66" s="49" t="s">
        <v>4</v>
      </c>
      <c r="Z66" s="21" t="s">
        <v>9</v>
      </c>
      <c r="AA66" s="22" t="s">
        <v>11</v>
      </c>
      <c r="AB66" s="23" t="s">
        <v>18</v>
      </c>
      <c r="AC66" s="24">
        <v>16</v>
      </c>
      <c r="AD66" s="29" t="s">
        <v>100</v>
      </c>
      <c r="AE66" s="49" t="s">
        <v>4</v>
      </c>
      <c r="AF66" s="21" t="s">
        <v>9</v>
      </c>
      <c r="AG66" s="22" t="s">
        <v>11</v>
      </c>
      <c r="AH66" s="23" t="s">
        <v>18</v>
      </c>
      <c r="AI66" s="24">
        <v>15</v>
      </c>
      <c r="AJ66" s="29" t="s">
        <v>101</v>
      </c>
      <c r="AK66" s="49" t="s">
        <v>4</v>
      </c>
      <c r="AL66" s="21" t="s">
        <v>9</v>
      </c>
      <c r="AM66" s="22" t="s">
        <v>11</v>
      </c>
      <c r="AN66" s="23" t="s">
        <v>18</v>
      </c>
      <c r="AO66" s="24">
        <v>13</v>
      </c>
      <c r="AP66" s="29" t="s">
        <v>140</v>
      </c>
      <c r="AQ66" s="49" t="s">
        <v>4</v>
      </c>
      <c r="AR66" s="21" t="s">
        <v>9</v>
      </c>
      <c r="AS66" s="22" t="s">
        <v>11</v>
      </c>
      <c r="AT66" s="23" t="s">
        <v>18</v>
      </c>
      <c r="AU66" s="24">
        <v>11</v>
      </c>
      <c r="AV66" s="31" t="s">
        <v>178</v>
      </c>
      <c r="AW66" s="49" t="s">
        <v>4</v>
      </c>
      <c r="AX66" s="21" t="s">
        <v>9</v>
      </c>
      <c r="AY66" s="22" t="s">
        <v>11</v>
      </c>
      <c r="AZ66" s="23" t="s">
        <v>18</v>
      </c>
      <c r="BA66" s="24">
        <v>13</v>
      </c>
      <c r="BB66" s="29" t="s">
        <v>37</v>
      </c>
      <c r="BC66" s="49" t="s">
        <v>4</v>
      </c>
      <c r="BD66" s="21" t="s">
        <v>9</v>
      </c>
      <c r="BE66" s="22" t="s">
        <v>11</v>
      </c>
      <c r="BF66" s="23" t="s">
        <v>18</v>
      </c>
      <c r="BG66" s="27">
        <v>5.2</v>
      </c>
      <c r="BH66" s="29" t="s">
        <v>102</v>
      </c>
      <c r="BI66" s="49" t="s">
        <v>4</v>
      </c>
      <c r="BJ66" s="21" t="s">
        <v>9</v>
      </c>
      <c r="BK66" s="22" t="s">
        <v>11</v>
      </c>
      <c r="BL66" s="23" t="s">
        <v>18</v>
      </c>
      <c r="BM66" s="4"/>
      <c r="BN66" s="18"/>
      <c r="BO66" s="49" t="s">
        <v>4</v>
      </c>
      <c r="BP66" s="21" t="s">
        <v>9</v>
      </c>
      <c r="BQ66" s="22" t="s">
        <v>11</v>
      </c>
      <c r="BR66" s="23" t="s">
        <v>18</v>
      </c>
      <c r="BS66" s="4"/>
      <c r="BT66" s="18"/>
    </row>
    <row r="67" spans="1:72" ht="12" customHeight="1" x14ac:dyDescent="0.15">
      <c r="A67" s="49" t="s">
        <v>4</v>
      </c>
      <c r="B67" s="21" t="s">
        <v>9</v>
      </c>
      <c r="C67" s="22" t="s">
        <v>11</v>
      </c>
      <c r="D67" s="23" t="s">
        <v>19</v>
      </c>
      <c r="E67" s="24">
        <v>82</v>
      </c>
      <c r="F67" s="34" t="s">
        <v>76</v>
      </c>
      <c r="G67" s="49" t="s">
        <v>4</v>
      </c>
      <c r="H67" s="21" t="s">
        <v>9</v>
      </c>
      <c r="I67" s="22" t="s">
        <v>11</v>
      </c>
      <c r="J67" s="23" t="s">
        <v>19</v>
      </c>
      <c r="K67" s="24">
        <v>120</v>
      </c>
      <c r="L67" s="34" t="s">
        <v>94</v>
      </c>
      <c r="M67" s="49" t="s">
        <v>4</v>
      </c>
      <c r="N67" s="21" t="s">
        <v>9</v>
      </c>
      <c r="O67" s="22" t="s">
        <v>11</v>
      </c>
      <c r="P67" s="23" t="s">
        <v>19</v>
      </c>
      <c r="Q67" s="24">
        <v>130</v>
      </c>
      <c r="R67" s="34" t="s">
        <v>48</v>
      </c>
      <c r="S67" s="49" t="s">
        <v>4</v>
      </c>
      <c r="T67" s="21" t="s">
        <v>9</v>
      </c>
      <c r="U67" s="22" t="s">
        <v>11</v>
      </c>
      <c r="V67" s="23" t="s">
        <v>19</v>
      </c>
      <c r="W67" s="24">
        <v>74</v>
      </c>
      <c r="X67" s="34" t="s">
        <v>99</v>
      </c>
      <c r="Y67" s="49" t="s">
        <v>4</v>
      </c>
      <c r="Z67" s="21" t="s">
        <v>9</v>
      </c>
      <c r="AA67" s="22" t="s">
        <v>11</v>
      </c>
      <c r="AB67" s="23" t="s">
        <v>19</v>
      </c>
      <c r="AC67" s="24">
        <v>68</v>
      </c>
      <c r="AD67" s="34" t="s">
        <v>100</v>
      </c>
      <c r="AE67" s="49" t="s">
        <v>4</v>
      </c>
      <c r="AF67" s="21" t="s">
        <v>9</v>
      </c>
      <c r="AG67" s="22" t="s">
        <v>11</v>
      </c>
      <c r="AH67" s="23" t="s">
        <v>19</v>
      </c>
      <c r="AI67" s="24">
        <v>67</v>
      </c>
      <c r="AJ67" s="34" t="s">
        <v>101</v>
      </c>
      <c r="AK67" s="49" t="s">
        <v>4</v>
      </c>
      <c r="AL67" s="21" t="s">
        <v>9</v>
      </c>
      <c r="AM67" s="22" t="s">
        <v>11</v>
      </c>
      <c r="AN67" s="23" t="s">
        <v>19</v>
      </c>
      <c r="AO67" s="24">
        <v>65</v>
      </c>
      <c r="AP67" s="34" t="s">
        <v>140</v>
      </c>
      <c r="AQ67" s="49" t="s">
        <v>4</v>
      </c>
      <c r="AR67" s="21" t="s">
        <v>9</v>
      </c>
      <c r="AS67" s="22" t="s">
        <v>11</v>
      </c>
      <c r="AT67" s="23" t="s">
        <v>19</v>
      </c>
      <c r="AU67" s="24">
        <v>51</v>
      </c>
      <c r="AV67" s="34" t="s">
        <v>141</v>
      </c>
      <c r="AW67" s="49" t="s">
        <v>4</v>
      </c>
      <c r="AX67" s="21" t="s">
        <v>9</v>
      </c>
      <c r="AY67" s="22" t="s">
        <v>11</v>
      </c>
      <c r="AZ67" s="23" t="s">
        <v>19</v>
      </c>
      <c r="BA67" s="24">
        <v>57</v>
      </c>
      <c r="BB67" s="34" t="s">
        <v>37</v>
      </c>
      <c r="BC67" s="49" t="s">
        <v>4</v>
      </c>
      <c r="BD67" s="21" t="s">
        <v>9</v>
      </c>
      <c r="BE67" s="22" t="s">
        <v>11</v>
      </c>
      <c r="BF67" s="23" t="s">
        <v>19</v>
      </c>
      <c r="BG67" s="24">
        <v>27</v>
      </c>
      <c r="BH67" s="34" t="s">
        <v>102</v>
      </c>
      <c r="BI67" s="49" t="s">
        <v>4</v>
      </c>
      <c r="BJ67" s="21" t="s">
        <v>9</v>
      </c>
      <c r="BK67" s="22" t="s">
        <v>11</v>
      </c>
      <c r="BL67" s="23" t="s">
        <v>19</v>
      </c>
      <c r="BM67" s="4"/>
      <c r="BN67" s="6"/>
      <c r="BO67" s="49" t="s">
        <v>4</v>
      </c>
      <c r="BP67" s="21" t="s">
        <v>9</v>
      </c>
      <c r="BQ67" s="22" t="s">
        <v>11</v>
      </c>
      <c r="BR67" s="23" t="s">
        <v>19</v>
      </c>
      <c r="BS67" s="4"/>
      <c r="BT67" s="6"/>
    </row>
    <row r="68" spans="1:72" ht="12" customHeight="1" x14ac:dyDescent="0.15">
      <c r="A68" s="49" t="s">
        <v>4</v>
      </c>
      <c r="B68" s="21" t="s">
        <v>9</v>
      </c>
      <c r="C68" s="22" t="s">
        <v>11</v>
      </c>
      <c r="D68" s="23" t="s">
        <v>0</v>
      </c>
      <c r="E68" s="24">
        <v>104</v>
      </c>
      <c r="F68" s="35" t="s">
        <v>76</v>
      </c>
      <c r="G68" s="49" t="s">
        <v>4</v>
      </c>
      <c r="H68" s="21" t="s">
        <v>9</v>
      </c>
      <c r="I68" s="22" t="s">
        <v>11</v>
      </c>
      <c r="J68" s="23" t="s">
        <v>0</v>
      </c>
      <c r="K68" s="24">
        <v>151</v>
      </c>
      <c r="L68" s="35" t="s">
        <v>94</v>
      </c>
      <c r="M68" s="49" t="s">
        <v>4</v>
      </c>
      <c r="N68" s="21" t="s">
        <v>9</v>
      </c>
      <c r="O68" s="22" t="s">
        <v>11</v>
      </c>
      <c r="P68" s="23" t="s">
        <v>0</v>
      </c>
      <c r="Q68" s="24">
        <v>160</v>
      </c>
      <c r="R68" s="35" t="s">
        <v>48</v>
      </c>
      <c r="S68" s="49" t="s">
        <v>4</v>
      </c>
      <c r="T68" s="21" t="s">
        <v>9</v>
      </c>
      <c r="U68" s="22" t="s">
        <v>11</v>
      </c>
      <c r="V68" s="23" t="s">
        <v>0</v>
      </c>
      <c r="W68" s="24">
        <v>95</v>
      </c>
      <c r="X68" s="35" t="s">
        <v>99</v>
      </c>
      <c r="Y68" s="49" t="s">
        <v>4</v>
      </c>
      <c r="Z68" s="21" t="s">
        <v>9</v>
      </c>
      <c r="AA68" s="22" t="s">
        <v>11</v>
      </c>
      <c r="AB68" s="23" t="s">
        <v>0</v>
      </c>
      <c r="AC68" s="24">
        <v>84</v>
      </c>
      <c r="AD68" s="35" t="s">
        <v>100</v>
      </c>
      <c r="AE68" s="49" t="s">
        <v>4</v>
      </c>
      <c r="AF68" s="21" t="s">
        <v>9</v>
      </c>
      <c r="AG68" s="22" t="s">
        <v>11</v>
      </c>
      <c r="AH68" s="23" t="s">
        <v>0</v>
      </c>
      <c r="AI68" s="24">
        <v>82</v>
      </c>
      <c r="AJ68" s="35" t="s">
        <v>101</v>
      </c>
      <c r="AK68" s="49" t="s">
        <v>4</v>
      </c>
      <c r="AL68" s="21" t="s">
        <v>9</v>
      </c>
      <c r="AM68" s="22" t="s">
        <v>11</v>
      </c>
      <c r="AN68" s="23" t="s">
        <v>0</v>
      </c>
      <c r="AO68" s="24">
        <v>78</v>
      </c>
      <c r="AP68" s="35" t="s">
        <v>140</v>
      </c>
      <c r="AQ68" s="49" t="s">
        <v>4</v>
      </c>
      <c r="AR68" s="21" t="s">
        <v>9</v>
      </c>
      <c r="AS68" s="22" t="s">
        <v>11</v>
      </c>
      <c r="AT68" s="23" t="s">
        <v>0</v>
      </c>
      <c r="AU68" s="24">
        <v>62</v>
      </c>
      <c r="AV68" s="35" t="s">
        <v>141</v>
      </c>
      <c r="AW68" s="49" t="s">
        <v>4</v>
      </c>
      <c r="AX68" s="21" t="s">
        <v>9</v>
      </c>
      <c r="AY68" s="22" t="s">
        <v>11</v>
      </c>
      <c r="AZ68" s="23" t="s">
        <v>0</v>
      </c>
      <c r="BA68" s="24">
        <v>70</v>
      </c>
      <c r="BB68" s="35" t="s">
        <v>37</v>
      </c>
      <c r="BC68" s="49" t="s">
        <v>4</v>
      </c>
      <c r="BD68" s="21" t="s">
        <v>9</v>
      </c>
      <c r="BE68" s="22" t="s">
        <v>11</v>
      </c>
      <c r="BF68" s="23" t="s">
        <v>0</v>
      </c>
      <c r="BG68" s="27">
        <v>32.200000000000003</v>
      </c>
      <c r="BH68" s="35" t="s">
        <v>102</v>
      </c>
      <c r="BI68" s="49" t="s">
        <v>4</v>
      </c>
      <c r="BJ68" s="21" t="s">
        <v>9</v>
      </c>
      <c r="BK68" s="22" t="s">
        <v>11</v>
      </c>
      <c r="BL68" s="23" t="s">
        <v>0</v>
      </c>
      <c r="BM68" s="4"/>
      <c r="BN68" s="8"/>
      <c r="BO68" s="49" t="s">
        <v>4</v>
      </c>
      <c r="BP68" s="21" t="s">
        <v>9</v>
      </c>
      <c r="BQ68" s="22" t="s">
        <v>11</v>
      </c>
      <c r="BR68" s="23" t="s">
        <v>0</v>
      </c>
      <c r="BS68" s="4"/>
      <c r="BT68" s="8"/>
    </row>
    <row r="69" spans="1:72" ht="12" customHeight="1" x14ac:dyDescent="0.15">
      <c r="A69" s="49" t="s">
        <v>4</v>
      </c>
      <c r="B69" s="21" t="s">
        <v>9</v>
      </c>
      <c r="C69" s="22" t="s">
        <v>15</v>
      </c>
      <c r="D69" s="23" t="s">
        <v>18</v>
      </c>
      <c r="E69" s="24">
        <v>56</v>
      </c>
      <c r="F69" s="29" t="s">
        <v>76</v>
      </c>
      <c r="G69" s="49" t="s">
        <v>4</v>
      </c>
      <c r="H69" s="21" t="s">
        <v>9</v>
      </c>
      <c r="I69" s="22" t="s">
        <v>15</v>
      </c>
      <c r="J69" s="23" t="s">
        <v>18</v>
      </c>
      <c r="K69" s="24">
        <v>120</v>
      </c>
      <c r="L69" s="29" t="s">
        <v>94</v>
      </c>
      <c r="M69" s="49" t="s">
        <v>4</v>
      </c>
      <c r="N69" s="21" t="s">
        <v>9</v>
      </c>
      <c r="O69" s="22" t="s">
        <v>15</v>
      </c>
      <c r="P69" s="23" t="s">
        <v>18</v>
      </c>
      <c r="Q69" s="24">
        <v>64</v>
      </c>
      <c r="R69" s="29" t="s">
        <v>48</v>
      </c>
      <c r="S69" s="49" t="s">
        <v>4</v>
      </c>
      <c r="T69" s="21" t="s">
        <v>9</v>
      </c>
      <c r="U69" s="22" t="s">
        <v>15</v>
      </c>
      <c r="V69" s="23" t="s">
        <v>18</v>
      </c>
      <c r="W69" s="24">
        <v>44</v>
      </c>
      <c r="X69" s="29" t="s">
        <v>99</v>
      </c>
      <c r="Y69" s="49" t="s">
        <v>4</v>
      </c>
      <c r="Z69" s="21" t="s">
        <v>9</v>
      </c>
      <c r="AA69" s="22" t="s">
        <v>15</v>
      </c>
      <c r="AB69" s="23" t="s">
        <v>18</v>
      </c>
      <c r="AC69" s="24">
        <v>35</v>
      </c>
      <c r="AD69" s="29" t="s">
        <v>100</v>
      </c>
      <c r="AE69" s="49" t="s">
        <v>4</v>
      </c>
      <c r="AF69" s="21" t="s">
        <v>9</v>
      </c>
      <c r="AG69" s="22" t="s">
        <v>15</v>
      </c>
      <c r="AH69" s="23" t="s">
        <v>18</v>
      </c>
      <c r="AI69" s="24">
        <v>29</v>
      </c>
      <c r="AJ69" s="29" t="s">
        <v>101</v>
      </c>
      <c r="AK69" s="49" t="s">
        <v>4</v>
      </c>
      <c r="AL69" s="21" t="s">
        <v>9</v>
      </c>
      <c r="AM69" s="22" t="s">
        <v>15</v>
      </c>
      <c r="AN69" s="23" t="s">
        <v>18</v>
      </c>
      <c r="AO69" s="24">
        <v>40</v>
      </c>
      <c r="AP69" s="29" t="s">
        <v>140</v>
      </c>
      <c r="AQ69" s="49" t="s">
        <v>4</v>
      </c>
      <c r="AR69" s="21" t="s">
        <v>9</v>
      </c>
      <c r="AS69" s="22" t="s">
        <v>15</v>
      </c>
      <c r="AT69" s="23" t="s">
        <v>18</v>
      </c>
      <c r="AU69" s="24">
        <v>25</v>
      </c>
      <c r="AV69" s="29" t="s">
        <v>141</v>
      </c>
      <c r="AW69" s="49" t="s">
        <v>4</v>
      </c>
      <c r="AX69" s="21" t="s">
        <v>9</v>
      </c>
      <c r="AY69" s="22" t="s">
        <v>15</v>
      </c>
      <c r="AZ69" s="23" t="s">
        <v>18</v>
      </c>
      <c r="BA69" s="24">
        <v>32</v>
      </c>
      <c r="BB69" s="29" t="s">
        <v>37</v>
      </c>
      <c r="BC69" s="49" t="s">
        <v>4</v>
      </c>
      <c r="BD69" s="21" t="s">
        <v>9</v>
      </c>
      <c r="BE69" s="22" t="s">
        <v>15</v>
      </c>
      <c r="BF69" s="23" t="s">
        <v>18</v>
      </c>
      <c r="BG69" s="24">
        <v>18</v>
      </c>
      <c r="BH69" s="29" t="s">
        <v>102</v>
      </c>
      <c r="BI69" s="49" t="s">
        <v>4</v>
      </c>
      <c r="BJ69" s="21" t="s">
        <v>9</v>
      </c>
      <c r="BK69" s="22" t="s">
        <v>15</v>
      </c>
      <c r="BL69" s="23" t="s">
        <v>18</v>
      </c>
      <c r="BM69" s="4"/>
      <c r="BN69" s="18"/>
      <c r="BO69" s="49" t="s">
        <v>4</v>
      </c>
      <c r="BP69" s="21" t="s">
        <v>9</v>
      </c>
      <c r="BQ69" s="22" t="s">
        <v>15</v>
      </c>
      <c r="BR69" s="23" t="s">
        <v>18</v>
      </c>
      <c r="BS69" s="4"/>
      <c r="BT69" s="18"/>
    </row>
    <row r="70" spans="1:72" ht="12" customHeight="1" x14ac:dyDescent="0.15">
      <c r="A70" s="49" t="s">
        <v>4</v>
      </c>
      <c r="B70" s="21" t="s">
        <v>9</v>
      </c>
      <c r="C70" s="22" t="s">
        <v>15</v>
      </c>
      <c r="D70" s="23" t="s">
        <v>19</v>
      </c>
      <c r="E70" s="24">
        <v>220</v>
      </c>
      <c r="F70" s="34" t="s">
        <v>76</v>
      </c>
      <c r="G70" s="49" t="s">
        <v>4</v>
      </c>
      <c r="H70" s="21" t="s">
        <v>9</v>
      </c>
      <c r="I70" s="22" t="s">
        <v>15</v>
      </c>
      <c r="J70" s="23" t="s">
        <v>19</v>
      </c>
      <c r="K70" s="24">
        <v>450</v>
      </c>
      <c r="L70" s="34" t="s">
        <v>94</v>
      </c>
      <c r="M70" s="49" t="s">
        <v>4</v>
      </c>
      <c r="N70" s="21" t="s">
        <v>9</v>
      </c>
      <c r="O70" s="22" t="s">
        <v>15</v>
      </c>
      <c r="P70" s="23" t="s">
        <v>19</v>
      </c>
      <c r="Q70" s="24">
        <v>240</v>
      </c>
      <c r="R70" s="34" t="s">
        <v>48</v>
      </c>
      <c r="S70" s="49" t="s">
        <v>4</v>
      </c>
      <c r="T70" s="21" t="s">
        <v>9</v>
      </c>
      <c r="U70" s="22" t="s">
        <v>15</v>
      </c>
      <c r="V70" s="23" t="s">
        <v>19</v>
      </c>
      <c r="W70" s="24">
        <v>180</v>
      </c>
      <c r="X70" s="34" t="s">
        <v>99</v>
      </c>
      <c r="Y70" s="49" t="s">
        <v>4</v>
      </c>
      <c r="Z70" s="21" t="s">
        <v>9</v>
      </c>
      <c r="AA70" s="22" t="s">
        <v>15</v>
      </c>
      <c r="AB70" s="23" t="s">
        <v>19</v>
      </c>
      <c r="AC70" s="24">
        <v>140</v>
      </c>
      <c r="AD70" s="34" t="s">
        <v>100</v>
      </c>
      <c r="AE70" s="49" t="s">
        <v>4</v>
      </c>
      <c r="AF70" s="21" t="s">
        <v>9</v>
      </c>
      <c r="AG70" s="22" t="s">
        <v>15</v>
      </c>
      <c r="AH70" s="23" t="s">
        <v>19</v>
      </c>
      <c r="AI70" s="24">
        <v>120</v>
      </c>
      <c r="AJ70" s="34" t="s">
        <v>101</v>
      </c>
      <c r="AK70" s="49" t="s">
        <v>4</v>
      </c>
      <c r="AL70" s="21" t="s">
        <v>9</v>
      </c>
      <c r="AM70" s="22" t="s">
        <v>15</v>
      </c>
      <c r="AN70" s="23" t="s">
        <v>19</v>
      </c>
      <c r="AO70" s="24">
        <v>180</v>
      </c>
      <c r="AP70" s="34" t="s">
        <v>140</v>
      </c>
      <c r="AQ70" s="49" t="s">
        <v>4</v>
      </c>
      <c r="AR70" s="21" t="s">
        <v>9</v>
      </c>
      <c r="AS70" s="22" t="s">
        <v>15</v>
      </c>
      <c r="AT70" s="23" t="s">
        <v>19</v>
      </c>
      <c r="AU70" s="26">
        <v>110</v>
      </c>
      <c r="AV70" s="34" t="s">
        <v>141</v>
      </c>
      <c r="AW70" s="49" t="s">
        <v>4</v>
      </c>
      <c r="AX70" s="21" t="s">
        <v>9</v>
      </c>
      <c r="AY70" s="22" t="s">
        <v>15</v>
      </c>
      <c r="AZ70" s="23" t="s">
        <v>19</v>
      </c>
      <c r="BA70" s="24">
        <v>130</v>
      </c>
      <c r="BB70" s="34" t="s">
        <v>37</v>
      </c>
      <c r="BC70" s="49" t="s">
        <v>4</v>
      </c>
      <c r="BD70" s="21" t="s">
        <v>9</v>
      </c>
      <c r="BE70" s="22" t="s">
        <v>15</v>
      </c>
      <c r="BF70" s="23" t="s">
        <v>19</v>
      </c>
      <c r="BG70" s="24">
        <v>79</v>
      </c>
      <c r="BH70" s="34" t="s">
        <v>102</v>
      </c>
      <c r="BI70" s="49" t="s">
        <v>4</v>
      </c>
      <c r="BJ70" s="21" t="s">
        <v>9</v>
      </c>
      <c r="BK70" s="22" t="s">
        <v>15</v>
      </c>
      <c r="BL70" s="23" t="s">
        <v>19</v>
      </c>
      <c r="BM70" s="4"/>
      <c r="BN70" s="6"/>
      <c r="BO70" s="49" t="s">
        <v>4</v>
      </c>
      <c r="BP70" s="21" t="s">
        <v>9</v>
      </c>
      <c r="BQ70" s="22" t="s">
        <v>15</v>
      </c>
      <c r="BR70" s="23" t="s">
        <v>19</v>
      </c>
      <c r="BS70" s="4"/>
      <c r="BT70" s="6"/>
    </row>
    <row r="71" spans="1:72" ht="12" customHeight="1" x14ac:dyDescent="0.15">
      <c r="A71" s="49" t="s">
        <v>4</v>
      </c>
      <c r="B71" s="21" t="s">
        <v>9</v>
      </c>
      <c r="C71" s="22" t="s">
        <v>15</v>
      </c>
      <c r="D71" s="23" t="s">
        <v>0</v>
      </c>
      <c r="E71" s="24">
        <v>276</v>
      </c>
      <c r="F71" s="35" t="s">
        <v>76</v>
      </c>
      <c r="G71" s="49" t="s">
        <v>4</v>
      </c>
      <c r="H71" s="21" t="s">
        <v>9</v>
      </c>
      <c r="I71" s="22" t="s">
        <v>15</v>
      </c>
      <c r="J71" s="23" t="s">
        <v>0</v>
      </c>
      <c r="K71" s="24">
        <v>570</v>
      </c>
      <c r="L71" s="35" t="s">
        <v>94</v>
      </c>
      <c r="M71" s="49" t="s">
        <v>4</v>
      </c>
      <c r="N71" s="21" t="s">
        <v>9</v>
      </c>
      <c r="O71" s="22" t="s">
        <v>15</v>
      </c>
      <c r="P71" s="23" t="s">
        <v>0</v>
      </c>
      <c r="Q71" s="24">
        <v>304</v>
      </c>
      <c r="R71" s="35" t="s">
        <v>48</v>
      </c>
      <c r="S71" s="49" t="s">
        <v>4</v>
      </c>
      <c r="T71" s="21" t="s">
        <v>9</v>
      </c>
      <c r="U71" s="22" t="s">
        <v>15</v>
      </c>
      <c r="V71" s="23" t="s">
        <v>0</v>
      </c>
      <c r="W71" s="24">
        <v>224</v>
      </c>
      <c r="X71" s="35" t="s">
        <v>99</v>
      </c>
      <c r="Y71" s="49" t="s">
        <v>4</v>
      </c>
      <c r="Z71" s="21" t="s">
        <v>9</v>
      </c>
      <c r="AA71" s="22" t="s">
        <v>15</v>
      </c>
      <c r="AB71" s="23" t="s">
        <v>0</v>
      </c>
      <c r="AC71" s="24">
        <v>175</v>
      </c>
      <c r="AD71" s="35" t="s">
        <v>100</v>
      </c>
      <c r="AE71" s="49" t="s">
        <v>4</v>
      </c>
      <c r="AF71" s="21" t="s">
        <v>9</v>
      </c>
      <c r="AG71" s="22" t="s">
        <v>15</v>
      </c>
      <c r="AH71" s="23" t="s">
        <v>0</v>
      </c>
      <c r="AI71" s="24">
        <v>149</v>
      </c>
      <c r="AJ71" s="35" t="s">
        <v>101</v>
      </c>
      <c r="AK71" s="49" t="s">
        <v>4</v>
      </c>
      <c r="AL71" s="21" t="s">
        <v>9</v>
      </c>
      <c r="AM71" s="22" t="s">
        <v>15</v>
      </c>
      <c r="AN71" s="23" t="s">
        <v>0</v>
      </c>
      <c r="AO71" s="24">
        <v>220</v>
      </c>
      <c r="AP71" s="35" t="s">
        <v>140</v>
      </c>
      <c r="AQ71" s="49" t="s">
        <v>4</v>
      </c>
      <c r="AR71" s="21" t="s">
        <v>9</v>
      </c>
      <c r="AS71" s="22" t="s">
        <v>15</v>
      </c>
      <c r="AT71" s="23" t="s">
        <v>0</v>
      </c>
      <c r="AU71" s="24">
        <v>135</v>
      </c>
      <c r="AV71" s="35" t="s">
        <v>141</v>
      </c>
      <c r="AW71" s="49" t="s">
        <v>4</v>
      </c>
      <c r="AX71" s="21" t="s">
        <v>9</v>
      </c>
      <c r="AY71" s="22" t="s">
        <v>15</v>
      </c>
      <c r="AZ71" s="23" t="s">
        <v>0</v>
      </c>
      <c r="BA71" s="24">
        <v>162</v>
      </c>
      <c r="BB71" s="35" t="s">
        <v>37</v>
      </c>
      <c r="BC71" s="49" t="s">
        <v>4</v>
      </c>
      <c r="BD71" s="21" t="s">
        <v>9</v>
      </c>
      <c r="BE71" s="22" t="s">
        <v>15</v>
      </c>
      <c r="BF71" s="23" t="s">
        <v>0</v>
      </c>
      <c r="BG71" s="24">
        <v>97</v>
      </c>
      <c r="BH71" s="35" t="s">
        <v>102</v>
      </c>
      <c r="BI71" s="49" t="s">
        <v>4</v>
      </c>
      <c r="BJ71" s="21" t="s">
        <v>9</v>
      </c>
      <c r="BK71" s="22" t="s">
        <v>15</v>
      </c>
      <c r="BL71" s="23" t="s">
        <v>0</v>
      </c>
      <c r="BM71" s="4"/>
      <c r="BN71" s="8"/>
      <c r="BO71" s="49" t="s">
        <v>4</v>
      </c>
      <c r="BP71" s="21" t="s">
        <v>9</v>
      </c>
      <c r="BQ71" s="22" t="s">
        <v>15</v>
      </c>
      <c r="BR71" s="23" t="s">
        <v>0</v>
      </c>
      <c r="BS71" s="4"/>
      <c r="BT71" s="8"/>
    </row>
    <row r="72" spans="1:72" ht="12" customHeight="1" x14ac:dyDescent="0.15">
      <c r="A72" s="49" t="s">
        <v>4</v>
      </c>
      <c r="B72" s="21" t="s">
        <v>20</v>
      </c>
      <c r="C72" s="22" t="s">
        <v>11</v>
      </c>
      <c r="D72" s="23" t="s">
        <v>18</v>
      </c>
      <c r="E72" s="24">
        <v>38</v>
      </c>
      <c r="F72" s="29" t="s">
        <v>90</v>
      </c>
      <c r="G72" s="49" t="s">
        <v>4</v>
      </c>
      <c r="H72" s="21" t="s">
        <v>20</v>
      </c>
      <c r="I72" s="22" t="s">
        <v>11</v>
      </c>
      <c r="J72" s="23" t="s">
        <v>18</v>
      </c>
      <c r="K72" s="24">
        <v>36</v>
      </c>
      <c r="L72" s="29" t="s">
        <v>84</v>
      </c>
      <c r="M72" s="49" t="s">
        <v>4</v>
      </c>
      <c r="N72" s="21" t="s">
        <v>20</v>
      </c>
      <c r="O72" s="22" t="s">
        <v>11</v>
      </c>
      <c r="P72" s="23" t="s">
        <v>18</v>
      </c>
      <c r="Q72" s="24">
        <v>33</v>
      </c>
      <c r="R72" s="29" t="s">
        <v>85</v>
      </c>
      <c r="S72" s="49" t="s">
        <v>4</v>
      </c>
      <c r="T72" s="21" t="s">
        <v>20</v>
      </c>
      <c r="U72" s="22" t="s">
        <v>11</v>
      </c>
      <c r="V72" s="23" t="s">
        <v>18</v>
      </c>
      <c r="W72" s="24">
        <v>44</v>
      </c>
      <c r="X72" s="29" t="s">
        <v>103</v>
      </c>
      <c r="Y72" s="49" t="s">
        <v>4</v>
      </c>
      <c r="Z72" s="21" t="s">
        <v>20</v>
      </c>
      <c r="AA72" s="22" t="s">
        <v>11</v>
      </c>
      <c r="AB72" s="23" t="s">
        <v>18</v>
      </c>
      <c r="AC72" s="24">
        <v>18</v>
      </c>
      <c r="AD72" s="29" t="s">
        <v>104</v>
      </c>
      <c r="AE72" s="49" t="s">
        <v>4</v>
      </c>
      <c r="AF72" s="21" t="s">
        <v>20</v>
      </c>
      <c r="AG72" s="22" t="s">
        <v>11</v>
      </c>
      <c r="AH72" s="23" t="s">
        <v>18</v>
      </c>
      <c r="AI72" s="24">
        <v>30</v>
      </c>
      <c r="AJ72" s="29" t="s">
        <v>60</v>
      </c>
      <c r="AK72" s="49" t="s">
        <v>4</v>
      </c>
      <c r="AL72" s="21" t="s">
        <v>20</v>
      </c>
      <c r="AM72" s="22" t="s">
        <v>11</v>
      </c>
      <c r="AN72" s="23" t="s">
        <v>18</v>
      </c>
      <c r="AO72" s="24">
        <v>16</v>
      </c>
      <c r="AP72" s="29" t="s">
        <v>142</v>
      </c>
      <c r="AQ72" s="49" t="s">
        <v>4</v>
      </c>
      <c r="AR72" s="21" t="s">
        <v>20</v>
      </c>
      <c r="AS72" s="22" t="s">
        <v>11</v>
      </c>
      <c r="AT72" s="23" t="s">
        <v>18</v>
      </c>
      <c r="AU72" s="23">
        <v>11</v>
      </c>
      <c r="AV72" s="29" t="s">
        <v>143</v>
      </c>
      <c r="AW72" s="49" t="s">
        <v>4</v>
      </c>
      <c r="AX72" s="21" t="s">
        <v>20</v>
      </c>
      <c r="AY72" s="22" t="s">
        <v>11</v>
      </c>
      <c r="AZ72" s="23" t="s">
        <v>18</v>
      </c>
      <c r="BA72" s="24">
        <v>12</v>
      </c>
      <c r="BB72" s="29" t="s">
        <v>144</v>
      </c>
      <c r="BC72" s="49" t="s">
        <v>4</v>
      </c>
      <c r="BD72" s="21" t="s">
        <v>20</v>
      </c>
      <c r="BE72" s="22" t="s">
        <v>11</v>
      </c>
      <c r="BF72" s="23" t="s">
        <v>18</v>
      </c>
      <c r="BG72" s="27">
        <v>6.7</v>
      </c>
      <c r="BH72" s="29" t="s">
        <v>105</v>
      </c>
      <c r="BI72" s="49" t="s">
        <v>4</v>
      </c>
      <c r="BJ72" s="21" t="s">
        <v>20</v>
      </c>
      <c r="BK72" s="22" t="s">
        <v>11</v>
      </c>
      <c r="BL72" s="23" t="s">
        <v>18</v>
      </c>
      <c r="BM72" s="24">
        <v>15</v>
      </c>
      <c r="BN72" s="29" t="s">
        <v>45</v>
      </c>
      <c r="BO72" s="49" t="s">
        <v>4</v>
      </c>
      <c r="BP72" s="21" t="s">
        <v>20</v>
      </c>
      <c r="BQ72" s="22" t="s">
        <v>11</v>
      </c>
      <c r="BR72" s="23" t="s">
        <v>18</v>
      </c>
      <c r="BS72" s="23">
        <v>11</v>
      </c>
      <c r="BT72" s="29" t="s">
        <v>106</v>
      </c>
    </row>
    <row r="73" spans="1:72" ht="12" customHeight="1" x14ac:dyDescent="0.15">
      <c r="A73" s="49" t="s">
        <v>4</v>
      </c>
      <c r="B73" s="21" t="s">
        <v>20</v>
      </c>
      <c r="C73" s="22" t="s">
        <v>11</v>
      </c>
      <c r="D73" s="23" t="s">
        <v>19</v>
      </c>
      <c r="E73" s="24">
        <v>140</v>
      </c>
      <c r="F73" s="34" t="s">
        <v>90</v>
      </c>
      <c r="G73" s="49" t="s">
        <v>4</v>
      </c>
      <c r="H73" s="21" t="s">
        <v>20</v>
      </c>
      <c r="I73" s="22" t="s">
        <v>11</v>
      </c>
      <c r="J73" s="23" t="s">
        <v>19</v>
      </c>
      <c r="K73" s="24">
        <v>130</v>
      </c>
      <c r="L73" s="34" t="s">
        <v>84</v>
      </c>
      <c r="M73" s="49" t="s">
        <v>4</v>
      </c>
      <c r="N73" s="21" t="s">
        <v>20</v>
      </c>
      <c r="O73" s="22" t="s">
        <v>11</v>
      </c>
      <c r="P73" s="23" t="s">
        <v>19</v>
      </c>
      <c r="Q73" s="24">
        <v>120</v>
      </c>
      <c r="R73" s="34" t="s">
        <v>85</v>
      </c>
      <c r="S73" s="49" t="s">
        <v>4</v>
      </c>
      <c r="T73" s="21" t="s">
        <v>20</v>
      </c>
      <c r="U73" s="22" t="s">
        <v>11</v>
      </c>
      <c r="V73" s="23" t="s">
        <v>19</v>
      </c>
      <c r="W73" s="24">
        <v>150</v>
      </c>
      <c r="X73" s="34" t="s">
        <v>103</v>
      </c>
      <c r="Y73" s="49" t="s">
        <v>4</v>
      </c>
      <c r="Z73" s="21" t="s">
        <v>20</v>
      </c>
      <c r="AA73" s="22" t="s">
        <v>11</v>
      </c>
      <c r="AB73" s="23" t="s">
        <v>19</v>
      </c>
      <c r="AC73" s="24">
        <v>84</v>
      </c>
      <c r="AD73" s="34" t="s">
        <v>104</v>
      </c>
      <c r="AE73" s="49" t="s">
        <v>4</v>
      </c>
      <c r="AF73" s="21" t="s">
        <v>20</v>
      </c>
      <c r="AG73" s="22" t="s">
        <v>11</v>
      </c>
      <c r="AH73" s="23" t="s">
        <v>19</v>
      </c>
      <c r="AI73" s="24">
        <v>120</v>
      </c>
      <c r="AJ73" s="34" t="s">
        <v>60</v>
      </c>
      <c r="AK73" s="49" t="s">
        <v>4</v>
      </c>
      <c r="AL73" s="21" t="s">
        <v>20</v>
      </c>
      <c r="AM73" s="22" t="s">
        <v>11</v>
      </c>
      <c r="AN73" s="23" t="s">
        <v>19</v>
      </c>
      <c r="AO73" s="24">
        <v>67</v>
      </c>
      <c r="AP73" s="34" t="s">
        <v>142</v>
      </c>
      <c r="AQ73" s="49" t="s">
        <v>4</v>
      </c>
      <c r="AR73" s="21" t="s">
        <v>20</v>
      </c>
      <c r="AS73" s="22" t="s">
        <v>11</v>
      </c>
      <c r="AT73" s="23" t="s">
        <v>19</v>
      </c>
      <c r="AU73" s="24">
        <v>55</v>
      </c>
      <c r="AV73" s="34" t="s">
        <v>143</v>
      </c>
      <c r="AW73" s="49" t="s">
        <v>4</v>
      </c>
      <c r="AX73" s="21" t="s">
        <v>20</v>
      </c>
      <c r="AY73" s="22" t="s">
        <v>11</v>
      </c>
      <c r="AZ73" s="23" t="s">
        <v>19</v>
      </c>
      <c r="BA73" s="24">
        <v>61</v>
      </c>
      <c r="BB73" s="34" t="s">
        <v>144</v>
      </c>
      <c r="BC73" s="49" t="s">
        <v>4</v>
      </c>
      <c r="BD73" s="21" t="s">
        <v>20</v>
      </c>
      <c r="BE73" s="22" t="s">
        <v>11</v>
      </c>
      <c r="BF73" s="23" t="s">
        <v>19</v>
      </c>
      <c r="BG73" s="24">
        <v>35</v>
      </c>
      <c r="BH73" s="34" t="s">
        <v>105</v>
      </c>
      <c r="BI73" s="49" t="s">
        <v>4</v>
      </c>
      <c r="BJ73" s="21" t="s">
        <v>20</v>
      </c>
      <c r="BK73" s="22" t="s">
        <v>11</v>
      </c>
      <c r="BL73" s="23" t="s">
        <v>19</v>
      </c>
      <c r="BM73" s="24">
        <v>76</v>
      </c>
      <c r="BN73" s="34" t="s">
        <v>45</v>
      </c>
      <c r="BO73" s="49" t="s">
        <v>4</v>
      </c>
      <c r="BP73" s="21" t="s">
        <v>20</v>
      </c>
      <c r="BQ73" s="22" t="s">
        <v>11</v>
      </c>
      <c r="BR73" s="23" t="s">
        <v>19</v>
      </c>
      <c r="BS73" s="24">
        <v>57</v>
      </c>
      <c r="BT73" s="34" t="s">
        <v>106</v>
      </c>
    </row>
    <row r="74" spans="1:72" ht="12" customHeight="1" x14ac:dyDescent="0.15">
      <c r="A74" s="49" t="s">
        <v>4</v>
      </c>
      <c r="B74" s="21" t="s">
        <v>20</v>
      </c>
      <c r="C74" s="22" t="s">
        <v>11</v>
      </c>
      <c r="D74" s="23" t="s">
        <v>0</v>
      </c>
      <c r="E74" s="24">
        <v>178</v>
      </c>
      <c r="F74" s="35" t="s">
        <v>90</v>
      </c>
      <c r="G74" s="49" t="s">
        <v>4</v>
      </c>
      <c r="H74" s="21" t="s">
        <v>20</v>
      </c>
      <c r="I74" s="22" t="s">
        <v>11</v>
      </c>
      <c r="J74" s="23" t="s">
        <v>0</v>
      </c>
      <c r="K74" s="24">
        <v>166</v>
      </c>
      <c r="L74" s="35" t="s">
        <v>84</v>
      </c>
      <c r="M74" s="49" t="s">
        <v>4</v>
      </c>
      <c r="N74" s="21" t="s">
        <v>20</v>
      </c>
      <c r="O74" s="22" t="s">
        <v>11</v>
      </c>
      <c r="P74" s="23" t="s">
        <v>0</v>
      </c>
      <c r="Q74" s="24">
        <v>153</v>
      </c>
      <c r="R74" s="35" t="s">
        <v>85</v>
      </c>
      <c r="S74" s="49" t="s">
        <v>4</v>
      </c>
      <c r="T74" s="21" t="s">
        <v>20</v>
      </c>
      <c r="U74" s="22" t="s">
        <v>11</v>
      </c>
      <c r="V74" s="23" t="s">
        <v>0</v>
      </c>
      <c r="W74" s="24">
        <v>194</v>
      </c>
      <c r="X74" s="35" t="s">
        <v>103</v>
      </c>
      <c r="Y74" s="49" t="s">
        <v>4</v>
      </c>
      <c r="Z74" s="21" t="s">
        <v>20</v>
      </c>
      <c r="AA74" s="22" t="s">
        <v>11</v>
      </c>
      <c r="AB74" s="23" t="s">
        <v>0</v>
      </c>
      <c r="AC74" s="24">
        <v>102</v>
      </c>
      <c r="AD74" s="35" t="s">
        <v>104</v>
      </c>
      <c r="AE74" s="49" t="s">
        <v>4</v>
      </c>
      <c r="AF74" s="21" t="s">
        <v>20</v>
      </c>
      <c r="AG74" s="22" t="s">
        <v>11</v>
      </c>
      <c r="AH74" s="23" t="s">
        <v>0</v>
      </c>
      <c r="AI74" s="24">
        <v>150</v>
      </c>
      <c r="AJ74" s="35" t="s">
        <v>60</v>
      </c>
      <c r="AK74" s="49" t="s">
        <v>4</v>
      </c>
      <c r="AL74" s="21" t="s">
        <v>20</v>
      </c>
      <c r="AM74" s="22" t="s">
        <v>11</v>
      </c>
      <c r="AN74" s="23" t="s">
        <v>0</v>
      </c>
      <c r="AO74" s="24">
        <v>83</v>
      </c>
      <c r="AP74" s="35" t="s">
        <v>142</v>
      </c>
      <c r="AQ74" s="49" t="s">
        <v>4</v>
      </c>
      <c r="AR74" s="21" t="s">
        <v>20</v>
      </c>
      <c r="AS74" s="22" t="s">
        <v>11</v>
      </c>
      <c r="AT74" s="23" t="s">
        <v>0</v>
      </c>
      <c r="AU74" s="24">
        <v>66</v>
      </c>
      <c r="AV74" s="35" t="s">
        <v>143</v>
      </c>
      <c r="AW74" s="49" t="s">
        <v>4</v>
      </c>
      <c r="AX74" s="21" t="s">
        <v>20</v>
      </c>
      <c r="AY74" s="22" t="s">
        <v>11</v>
      </c>
      <c r="AZ74" s="23" t="s">
        <v>0</v>
      </c>
      <c r="BA74" s="24">
        <v>73</v>
      </c>
      <c r="BB74" s="35" t="s">
        <v>144</v>
      </c>
      <c r="BC74" s="49" t="s">
        <v>4</v>
      </c>
      <c r="BD74" s="21" t="s">
        <v>20</v>
      </c>
      <c r="BE74" s="22" t="s">
        <v>11</v>
      </c>
      <c r="BF74" s="23" t="s">
        <v>0</v>
      </c>
      <c r="BG74" s="27">
        <v>41.7</v>
      </c>
      <c r="BH74" s="35" t="s">
        <v>105</v>
      </c>
      <c r="BI74" s="49" t="s">
        <v>4</v>
      </c>
      <c r="BJ74" s="21" t="s">
        <v>20</v>
      </c>
      <c r="BK74" s="22" t="s">
        <v>11</v>
      </c>
      <c r="BL74" s="23" t="s">
        <v>0</v>
      </c>
      <c r="BM74" s="24">
        <v>91</v>
      </c>
      <c r="BN74" s="35" t="s">
        <v>45</v>
      </c>
      <c r="BO74" s="49" t="s">
        <v>4</v>
      </c>
      <c r="BP74" s="21" t="s">
        <v>20</v>
      </c>
      <c r="BQ74" s="22" t="s">
        <v>11</v>
      </c>
      <c r="BR74" s="23" t="s">
        <v>0</v>
      </c>
      <c r="BS74" s="24">
        <v>68</v>
      </c>
      <c r="BT74" s="35" t="s">
        <v>106</v>
      </c>
    </row>
    <row r="75" spans="1:72" ht="12" customHeight="1" x14ac:dyDescent="0.15">
      <c r="A75" s="49" t="s">
        <v>4</v>
      </c>
      <c r="B75" s="21" t="s">
        <v>20</v>
      </c>
      <c r="C75" s="22" t="s">
        <v>15</v>
      </c>
      <c r="D75" s="23" t="s">
        <v>18</v>
      </c>
      <c r="E75" s="23">
        <v>110</v>
      </c>
      <c r="F75" s="29" t="s">
        <v>90</v>
      </c>
      <c r="G75" s="49" t="s">
        <v>4</v>
      </c>
      <c r="H75" s="21" t="s">
        <v>20</v>
      </c>
      <c r="I75" s="22" t="s">
        <v>15</v>
      </c>
      <c r="J75" s="23" t="s">
        <v>18</v>
      </c>
      <c r="K75" s="24">
        <v>120</v>
      </c>
      <c r="L75" s="29" t="s">
        <v>84</v>
      </c>
      <c r="M75" s="49" t="s">
        <v>4</v>
      </c>
      <c r="N75" s="21" t="s">
        <v>20</v>
      </c>
      <c r="O75" s="22" t="s">
        <v>15</v>
      </c>
      <c r="P75" s="23" t="s">
        <v>18</v>
      </c>
      <c r="Q75" s="23" t="s">
        <v>129</v>
      </c>
      <c r="R75" s="29" t="s">
        <v>85</v>
      </c>
      <c r="S75" s="49" t="s">
        <v>4</v>
      </c>
      <c r="T75" s="21" t="s">
        <v>20</v>
      </c>
      <c r="U75" s="22" t="s">
        <v>15</v>
      </c>
      <c r="V75" s="23" t="s">
        <v>18</v>
      </c>
      <c r="W75" s="24">
        <v>97</v>
      </c>
      <c r="X75" s="29" t="s">
        <v>103</v>
      </c>
      <c r="Y75" s="49" t="s">
        <v>4</v>
      </c>
      <c r="Z75" s="21" t="s">
        <v>20</v>
      </c>
      <c r="AA75" s="22" t="s">
        <v>15</v>
      </c>
      <c r="AB75" s="23" t="s">
        <v>18</v>
      </c>
      <c r="AC75" s="24">
        <v>62</v>
      </c>
      <c r="AD75" s="29" t="s">
        <v>104</v>
      </c>
      <c r="AE75" s="49" t="s">
        <v>4</v>
      </c>
      <c r="AF75" s="21" t="s">
        <v>20</v>
      </c>
      <c r="AG75" s="22" t="s">
        <v>15</v>
      </c>
      <c r="AH75" s="23" t="s">
        <v>18</v>
      </c>
      <c r="AI75" s="24">
        <v>76</v>
      </c>
      <c r="AJ75" s="29" t="s">
        <v>60</v>
      </c>
      <c r="AK75" s="49" t="s">
        <v>4</v>
      </c>
      <c r="AL75" s="21" t="s">
        <v>20</v>
      </c>
      <c r="AM75" s="22" t="s">
        <v>15</v>
      </c>
      <c r="AN75" s="23" t="s">
        <v>18</v>
      </c>
      <c r="AO75" s="24">
        <v>64</v>
      </c>
      <c r="AP75" s="29" t="s">
        <v>142</v>
      </c>
      <c r="AQ75" s="49" t="s">
        <v>4</v>
      </c>
      <c r="AR75" s="21" t="s">
        <v>20</v>
      </c>
      <c r="AS75" s="22" t="s">
        <v>15</v>
      </c>
      <c r="AT75" s="23" t="s">
        <v>18</v>
      </c>
      <c r="AU75" s="24">
        <v>61</v>
      </c>
      <c r="AV75" s="29" t="s">
        <v>143</v>
      </c>
      <c r="AW75" s="49" t="s">
        <v>4</v>
      </c>
      <c r="AX75" s="21" t="s">
        <v>20</v>
      </c>
      <c r="AY75" s="22" t="s">
        <v>15</v>
      </c>
      <c r="AZ75" s="23" t="s">
        <v>18</v>
      </c>
      <c r="BA75" s="24">
        <v>53</v>
      </c>
      <c r="BB75" s="29" t="s">
        <v>144</v>
      </c>
      <c r="BC75" s="49" t="s">
        <v>4</v>
      </c>
      <c r="BD75" s="21" t="s">
        <v>20</v>
      </c>
      <c r="BE75" s="22" t="s">
        <v>15</v>
      </c>
      <c r="BF75" s="23" t="s">
        <v>18</v>
      </c>
      <c r="BG75" s="24">
        <v>34</v>
      </c>
      <c r="BH75" s="29" t="s">
        <v>105</v>
      </c>
      <c r="BI75" s="49" t="s">
        <v>4</v>
      </c>
      <c r="BJ75" s="21" t="s">
        <v>20</v>
      </c>
      <c r="BK75" s="22" t="s">
        <v>15</v>
      </c>
      <c r="BL75" s="23" t="s">
        <v>18</v>
      </c>
      <c r="BM75" s="24">
        <v>54</v>
      </c>
      <c r="BN75" s="29" t="s">
        <v>45</v>
      </c>
      <c r="BO75" s="49" t="s">
        <v>4</v>
      </c>
      <c r="BP75" s="21" t="s">
        <v>20</v>
      </c>
      <c r="BQ75" s="22" t="s">
        <v>15</v>
      </c>
      <c r="BR75" s="23" t="s">
        <v>18</v>
      </c>
      <c r="BS75" s="24">
        <v>56</v>
      </c>
      <c r="BT75" s="29" t="s">
        <v>106</v>
      </c>
    </row>
    <row r="76" spans="1:72" ht="12" customHeight="1" x14ac:dyDescent="0.15">
      <c r="A76" s="49" t="s">
        <v>4</v>
      </c>
      <c r="B76" s="21" t="s">
        <v>20</v>
      </c>
      <c r="C76" s="22" t="s">
        <v>15</v>
      </c>
      <c r="D76" s="23" t="s">
        <v>19</v>
      </c>
      <c r="E76" s="23">
        <v>400</v>
      </c>
      <c r="F76" s="34" t="s">
        <v>90</v>
      </c>
      <c r="G76" s="49" t="s">
        <v>4</v>
      </c>
      <c r="H76" s="21" t="s">
        <v>20</v>
      </c>
      <c r="I76" s="22" t="s">
        <v>15</v>
      </c>
      <c r="J76" s="23" t="s">
        <v>19</v>
      </c>
      <c r="K76" s="24">
        <v>430</v>
      </c>
      <c r="L76" s="34" t="s">
        <v>84</v>
      </c>
      <c r="M76" s="49" t="s">
        <v>4</v>
      </c>
      <c r="N76" s="21" t="s">
        <v>20</v>
      </c>
      <c r="O76" s="22" t="s">
        <v>15</v>
      </c>
      <c r="P76" s="23" t="s">
        <v>19</v>
      </c>
      <c r="Q76" s="24">
        <v>430</v>
      </c>
      <c r="R76" s="34" t="s">
        <v>85</v>
      </c>
      <c r="S76" s="49" t="s">
        <v>4</v>
      </c>
      <c r="T76" s="21" t="s">
        <v>20</v>
      </c>
      <c r="U76" s="22" t="s">
        <v>15</v>
      </c>
      <c r="V76" s="23" t="s">
        <v>19</v>
      </c>
      <c r="W76" s="23">
        <v>400</v>
      </c>
      <c r="X76" s="34" t="s">
        <v>103</v>
      </c>
      <c r="Y76" s="49" t="s">
        <v>4</v>
      </c>
      <c r="Z76" s="21" t="s">
        <v>20</v>
      </c>
      <c r="AA76" s="22" t="s">
        <v>15</v>
      </c>
      <c r="AB76" s="23" t="s">
        <v>19</v>
      </c>
      <c r="AC76" s="24">
        <v>250</v>
      </c>
      <c r="AD76" s="34" t="s">
        <v>104</v>
      </c>
      <c r="AE76" s="49" t="s">
        <v>4</v>
      </c>
      <c r="AF76" s="21" t="s">
        <v>20</v>
      </c>
      <c r="AG76" s="22" t="s">
        <v>15</v>
      </c>
      <c r="AH76" s="23" t="s">
        <v>19</v>
      </c>
      <c r="AI76" s="24">
        <v>330</v>
      </c>
      <c r="AJ76" s="34" t="s">
        <v>60</v>
      </c>
      <c r="AK76" s="49" t="s">
        <v>4</v>
      </c>
      <c r="AL76" s="21" t="s">
        <v>20</v>
      </c>
      <c r="AM76" s="22" t="s">
        <v>15</v>
      </c>
      <c r="AN76" s="23" t="s">
        <v>19</v>
      </c>
      <c r="AO76" s="24">
        <v>280</v>
      </c>
      <c r="AP76" s="34" t="s">
        <v>142</v>
      </c>
      <c r="AQ76" s="49" t="s">
        <v>4</v>
      </c>
      <c r="AR76" s="21" t="s">
        <v>20</v>
      </c>
      <c r="AS76" s="22" t="s">
        <v>15</v>
      </c>
      <c r="AT76" s="23" t="s">
        <v>19</v>
      </c>
      <c r="AU76" s="24">
        <v>250</v>
      </c>
      <c r="AV76" s="34" t="s">
        <v>143</v>
      </c>
      <c r="AW76" s="49" t="s">
        <v>4</v>
      </c>
      <c r="AX76" s="21" t="s">
        <v>20</v>
      </c>
      <c r="AY76" s="22" t="s">
        <v>15</v>
      </c>
      <c r="AZ76" s="23" t="s">
        <v>19</v>
      </c>
      <c r="BA76" s="24">
        <v>240</v>
      </c>
      <c r="BB76" s="34" t="s">
        <v>144</v>
      </c>
      <c r="BC76" s="49" t="s">
        <v>4</v>
      </c>
      <c r="BD76" s="21" t="s">
        <v>20</v>
      </c>
      <c r="BE76" s="22" t="s">
        <v>15</v>
      </c>
      <c r="BF76" s="23" t="s">
        <v>19</v>
      </c>
      <c r="BG76" s="24">
        <v>140</v>
      </c>
      <c r="BH76" s="34" t="s">
        <v>105</v>
      </c>
      <c r="BI76" s="49" t="s">
        <v>4</v>
      </c>
      <c r="BJ76" s="21" t="s">
        <v>20</v>
      </c>
      <c r="BK76" s="22" t="s">
        <v>15</v>
      </c>
      <c r="BL76" s="23" t="s">
        <v>19</v>
      </c>
      <c r="BM76" s="24">
        <v>260</v>
      </c>
      <c r="BN76" s="34" t="s">
        <v>45</v>
      </c>
      <c r="BO76" s="49" t="s">
        <v>4</v>
      </c>
      <c r="BP76" s="21" t="s">
        <v>20</v>
      </c>
      <c r="BQ76" s="22" t="s">
        <v>15</v>
      </c>
      <c r="BR76" s="23" t="s">
        <v>19</v>
      </c>
      <c r="BS76" s="24">
        <v>280</v>
      </c>
      <c r="BT76" s="34" t="s">
        <v>106</v>
      </c>
    </row>
    <row r="77" spans="1:72" ht="12" customHeight="1" x14ac:dyDescent="0.15">
      <c r="A77" s="49" t="s">
        <v>4</v>
      </c>
      <c r="B77" s="21" t="s">
        <v>20</v>
      </c>
      <c r="C77" s="22" t="s">
        <v>15</v>
      </c>
      <c r="D77" s="23" t="s">
        <v>0</v>
      </c>
      <c r="E77" s="24">
        <v>510</v>
      </c>
      <c r="F77" s="35" t="s">
        <v>90</v>
      </c>
      <c r="G77" s="49" t="s">
        <v>4</v>
      </c>
      <c r="H77" s="21" t="s">
        <v>20</v>
      </c>
      <c r="I77" s="22" t="s">
        <v>15</v>
      </c>
      <c r="J77" s="23" t="s">
        <v>0</v>
      </c>
      <c r="K77" s="24">
        <v>550</v>
      </c>
      <c r="L77" s="35" t="s">
        <v>84</v>
      </c>
      <c r="M77" s="49" t="s">
        <v>4</v>
      </c>
      <c r="N77" s="21" t="s">
        <v>20</v>
      </c>
      <c r="O77" s="22" t="s">
        <v>15</v>
      </c>
      <c r="P77" s="23" t="s">
        <v>0</v>
      </c>
      <c r="Q77" s="24">
        <v>540</v>
      </c>
      <c r="R77" s="35" t="s">
        <v>85</v>
      </c>
      <c r="S77" s="49" t="s">
        <v>4</v>
      </c>
      <c r="T77" s="21" t="s">
        <v>20</v>
      </c>
      <c r="U77" s="22" t="s">
        <v>15</v>
      </c>
      <c r="V77" s="23" t="s">
        <v>0</v>
      </c>
      <c r="W77" s="24">
        <v>497</v>
      </c>
      <c r="X77" s="35" t="s">
        <v>103</v>
      </c>
      <c r="Y77" s="49" t="s">
        <v>4</v>
      </c>
      <c r="Z77" s="21" t="s">
        <v>20</v>
      </c>
      <c r="AA77" s="22" t="s">
        <v>15</v>
      </c>
      <c r="AB77" s="23" t="s">
        <v>0</v>
      </c>
      <c r="AC77" s="24">
        <v>312</v>
      </c>
      <c r="AD77" s="35" t="s">
        <v>104</v>
      </c>
      <c r="AE77" s="49" t="s">
        <v>4</v>
      </c>
      <c r="AF77" s="21" t="s">
        <v>20</v>
      </c>
      <c r="AG77" s="22" t="s">
        <v>15</v>
      </c>
      <c r="AH77" s="23" t="s">
        <v>0</v>
      </c>
      <c r="AI77" s="24">
        <v>406</v>
      </c>
      <c r="AJ77" s="35" t="s">
        <v>60</v>
      </c>
      <c r="AK77" s="49" t="s">
        <v>4</v>
      </c>
      <c r="AL77" s="21" t="s">
        <v>20</v>
      </c>
      <c r="AM77" s="22" t="s">
        <v>15</v>
      </c>
      <c r="AN77" s="23" t="s">
        <v>0</v>
      </c>
      <c r="AO77" s="24">
        <v>344</v>
      </c>
      <c r="AP77" s="35" t="s">
        <v>142</v>
      </c>
      <c r="AQ77" s="49" t="s">
        <v>4</v>
      </c>
      <c r="AR77" s="21" t="s">
        <v>20</v>
      </c>
      <c r="AS77" s="22" t="s">
        <v>15</v>
      </c>
      <c r="AT77" s="23" t="s">
        <v>0</v>
      </c>
      <c r="AU77" s="24">
        <v>311</v>
      </c>
      <c r="AV77" s="35" t="s">
        <v>143</v>
      </c>
      <c r="AW77" s="49" t="s">
        <v>4</v>
      </c>
      <c r="AX77" s="21" t="s">
        <v>20</v>
      </c>
      <c r="AY77" s="22" t="s">
        <v>15</v>
      </c>
      <c r="AZ77" s="23" t="s">
        <v>0</v>
      </c>
      <c r="BA77" s="24">
        <v>293</v>
      </c>
      <c r="BB77" s="35" t="s">
        <v>144</v>
      </c>
      <c r="BC77" s="49" t="s">
        <v>4</v>
      </c>
      <c r="BD77" s="21" t="s">
        <v>20</v>
      </c>
      <c r="BE77" s="22" t="s">
        <v>15</v>
      </c>
      <c r="BF77" s="23" t="s">
        <v>0</v>
      </c>
      <c r="BG77" s="24">
        <v>174</v>
      </c>
      <c r="BH77" s="35" t="s">
        <v>105</v>
      </c>
      <c r="BI77" s="49" t="s">
        <v>4</v>
      </c>
      <c r="BJ77" s="21" t="s">
        <v>20</v>
      </c>
      <c r="BK77" s="22" t="s">
        <v>15</v>
      </c>
      <c r="BL77" s="23" t="s">
        <v>0</v>
      </c>
      <c r="BM77" s="24">
        <v>314</v>
      </c>
      <c r="BN77" s="35" t="s">
        <v>45</v>
      </c>
      <c r="BO77" s="49" t="s">
        <v>4</v>
      </c>
      <c r="BP77" s="21" t="s">
        <v>20</v>
      </c>
      <c r="BQ77" s="22" t="s">
        <v>15</v>
      </c>
      <c r="BR77" s="23" t="s">
        <v>0</v>
      </c>
      <c r="BS77" s="24">
        <v>336</v>
      </c>
      <c r="BT77" s="35" t="s">
        <v>106</v>
      </c>
    </row>
    <row r="78" spans="1:72" ht="12" customHeight="1" x14ac:dyDescent="0.15">
      <c r="A78" s="49" t="s">
        <v>4</v>
      </c>
      <c r="B78" s="21" t="s">
        <v>12</v>
      </c>
      <c r="C78" s="21" t="s">
        <v>200</v>
      </c>
      <c r="D78" s="23" t="s">
        <v>18</v>
      </c>
      <c r="E78" s="4"/>
      <c r="F78" s="18"/>
      <c r="G78" s="49" t="s">
        <v>4</v>
      </c>
      <c r="H78" s="21" t="s">
        <v>12</v>
      </c>
      <c r="I78" s="21" t="s">
        <v>200</v>
      </c>
      <c r="J78" s="23" t="s">
        <v>18</v>
      </c>
      <c r="K78" s="4"/>
      <c r="L78" s="18"/>
      <c r="M78" s="49" t="s">
        <v>4</v>
      </c>
      <c r="N78" s="21" t="s">
        <v>12</v>
      </c>
      <c r="O78" s="21" t="s">
        <v>200</v>
      </c>
      <c r="P78" s="23" t="s">
        <v>18</v>
      </c>
      <c r="Q78" s="4"/>
      <c r="R78" s="18"/>
      <c r="S78" s="49" t="s">
        <v>4</v>
      </c>
      <c r="T78" s="21" t="s">
        <v>12</v>
      </c>
      <c r="U78" s="21" t="s">
        <v>200</v>
      </c>
      <c r="V78" s="23" t="s">
        <v>18</v>
      </c>
      <c r="W78" s="4"/>
      <c r="X78" s="18"/>
      <c r="Y78" s="49" t="s">
        <v>4</v>
      </c>
      <c r="Z78" s="21" t="s">
        <v>12</v>
      </c>
      <c r="AA78" s="21" t="s">
        <v>200</v>
      </c>
      <c r="AB78" s="23" t="s">
        <v>18</v>
      </c>
      <c r="AC78" s="4"/>
      <c r="AD78" s="18"/>
      <c r="AE78" s="49" t="s">
        <v>4</v>
      </c>
      <c r="AF78" s="21" t="s">
        <v>12</v>
      </c>
      <c r="AG78" s="21" t="s">
        <v>200</v>
      </c>
      <c r="AH78" s="23" t="s">
        <v>18</v>
      </c>
      <c r="AI78" s="4"/>
      <c r="AJ78" s="18"/>
      <c r="AK78" s="49" t="s">
        <v>4</v>
      </c>
      <c r="AL78" s="21" t="s">
        <v>12</v>
      </c>
      <c r="AM78" s="21" t="s">
        <v>200</v>
      </c>
      <c r="AN78" s="23" t="s">
        <v>18</v>
      </c>
      <c r="AO78" s="4"/>
      <c r="AP78" s="18"/>
      <c r="AQ78" s="49" t="s">
        <v>4</v>
      </c>
      <c r="AR78" s="21" t="s">
        <v>12</v>
      </c>
      <c r="AS78" s="21" t="s">
        <v>200</v>
      </c>
      <c r="AT78" s="23" t="s">
        <v>18</v>
      </c>
      <c r="AU78" s="4"/>
      <c r="AV78" s="18"/>
      <c r="AW78" s="49" t="s">
        <v>4</v>
      </c>
      <c r="AX78" s="21" t="s">
        <v>12</v>
      </c>
      <c r="AY78" s="21" t="s">
        <v>200</v>
      </c>
      <c r="AZ78" s="23" t="s">
        <v>18</v>
      </c>
      <c r="BA78" s="4"/>
      <c r="BB78" s="18"/>
      <c r="BC78" s="49" t="s">
        <v>4</v>
      </c>
      <c r="BD78" s="21" t="s">
        <v>12</v>
      </c>
      <c r="BE78" s="21" t="s">
        <v>200</v>
      </c>
      <c r="BF78" s="23" t="s">
        <v>18</v>
      </c>
      <c r="BG78" s="23" t="s">
        <v>130</v>
      </c>
      <c r="BH78" s="29" t="s">
        <v>22</v>
      </c>
      <c r="BI78" s="49" t="s">
        <v>4</v>
      </c>
      <c r="BJ78" s="21" t="s">
        <v>12</v>
      </c>
      <c r="BK78" s="21" t="s">
        <v>200</v>
      </c>
      <c r="BL78" s="23" t="s">
        <v>18</v>
      </c>
      <c r="BM78" s="27">
        <v>5.2</v>
      </c>
      <c r="BN78" s="31" t="s">
        <v>149</v>
      </c>
      <c r="BO78" s="49" t="s">
        <v>4</v>
      </c>
      <c r="BP78" s="21" t="s">
        <v>12</v>
      </c>
      <c r="BQ78" s="21" t="s">
        <v>200</v>
      </c>
      <c r="BR78" s="23" t="s">
        <v>18</v>
      </c>
      <c r="BS78" s="27">
        <v>7.2</v>
      </c>
      <c r="BT78" s="29" t="s">
        <v>107</v>
      </c>
    </row>
    <row r="79" spans="1:72" ht="12" customHeight="1" x14ac:dyDescent="0.15">
      <c r="A79" s="49" t="s">
        <v>4</v>
      </c>
      <c r="B79" s="21" t="s">
        <v>12</v>
      </c>
      <c r="C79" s="21" t="s">
        <v>200</v>
      </c>
      <c r="D79" s="23" t="s">
        <v>19</v>
      </c>
      <c r="E79" s="4"/>
      <c r="F79" s="6"/>
      <c r="G79" s="49" t="s">
        <v>4</v>
      </c>
      <c r="H79" s="21" t="s">
        <v>12</v>
      </c>
      <c r="I79" s="21" t="s">
        <v>200</v>
      </c>
      <c r="J79" s="23" t="s">
        <v>19</v>
      </c>
      <c r="K79" s="4"/>
      <c r="L79" s="6"/>
      <c r="M79" s="49" t="s">
        <v>4</v>
      </c>
      <c r="N79" s="21" t="s">
        <v>12</v>
      </c>
      <c r="O79" s="21" t="s">
        <v>200</v>
      </c>
      <c r="P79" s="23" t="s">
        <v>19</v>
      </c>
      <c r="Q79" s="4"/>
      <c r="R79" s="6"/>
      <c r="S79" s="49" t="s">
        <v>4</v>
      </c>
      <c r="T79" s="21" t="s">
        <v>12</v>
      </c>
      <c r="U79" s="21" t="s">
        <v>200</v>
      </c>
      <c r="V79" s="23" t="s">
        <v>19</v>
      </c>
      <c r="W79" s="4"/>
      <c r="X79" s="6"/>
      <c r="Y79" s="49" t="s">
        <v>4</v>
      </c>
      <c r="Z79" s="21" t="s">
        <v>12</v>
      </c>
      <c r="AA79" s="21" t="s">
        <v>200</v>
      </c>
      <c r="AB79" s="23" t="s">
        <v>19</v>
      </c>
      <c r="AC79" s="4"/>
      <c r="AD79" s="6"/>
      <c r="AE79" s="49" t="s">
        <v>4</v>
      </c>
      <c r="AF79" s="21" t="s">
        <v>12</v>
      </c>
      <c r="AG79" s="21" t="s">
        <v>200</v>
      </c>
      <c r="AH79" s="23" t="s">
        <v>19</v>
      </c>
      <c r="AI79" s="4"/>
      <c r="AJ79" s="6"/>
      <c r="AK79" s="49" t="s">
        <v>4</v>
      </c>
      <c r="AL79" s="21" t="s">
        <v>12</v>
      </c>
      <c r="AM79" s="21" t="s">
        <v>200</v>
      </c>
      <c r="AN79" s="23" t="s">
        <v>19</v>
      </c>
      <c r="AO79" s="4"/>
      <c r="AP79" s="6"/>
      <c r="AQ79" s="49" t="s">
        <v>4</v>
      </c>
      <c r="AR79" s="21" t="s">
        <v>12</v>
      </c>
      <c r="AS79" s="21" t="s">
        <v>200</v>
      </c>
      <c r="AT79" s="23" t="s">
        <v>19</v>
      </c>
      <c r="AU79" s="4"/>
      <c r="AV79" s="6"/>
      <c r="AW79" s="49" t="s">
        <v>4</v>
      </c>
      <c r="AX79" s="21" t="s">
        <v>12</v>
      </c>
      <c r="AY79" s="21" t="s">
        <v>200</v>
      </c>
      <c r="AZ79" s="23" t="s">
        <v>19</v>
      </c>
      <c r="BA79" s="4"/>
      <c r="BB79" s="6"/>
      <c r="BC79" s="49" t="s">
        <v>4</v>
      </c>
      <c r="BD79" s="21" t="s">
        <v>12</v>
      </c>
      <c r="BE79" s="21" t="s">
        <v>200</v>
      </c>
      <c r="BF79" s="23" t="s">
        <v>19</v>
      </c>
      <c r="BG79" s="27">
        <v>4.5999999999999996</v>
      </c>
      <c r="BH79" s="34" t="s">
        <v>22</v>
      </c>
      <c r="BI79" s="49" t="s">
        <v>4</v>
      </c>
      <c r="BJ79" s="21" t="s">
        <v>12</v>
      </c>
      <c r="BK79" s="21" t="s">
        <v>200</v>
      </c>
      <c r="BL79" s="23" t="s">
        <v>19</v>
      </c>
      <c r="BM79" s="24">
        <v>25</v>
      </c>
      <c r="BN79" s="34" t="s">
        <v>148</v>
      </c>
      <c r="BO79" s="49" t="s">
        <v>4</v>
      </c>
      <c r="BP79" s="21" t="s">
        <v>12</v>
      </c>
      <c r="BQ79" s="21" t="s">
        <v>200</v>
      </c>
      <c r="BR79" s="23" t="s">
        <v>19</v>
      </c>
      <c r="BS79" s="24">
        <v>34</v>
      </c>
      <c r="BT79" s="34" t="s">
        <v>107</v>
      </c>
    </row>
    <row r="80" spans="1:72" ht="12" customHeight="1" x14ac:dyDescent="0.15">
      <c r="A80" s="49" t="s">
        <v>4</v>
      </c>
      <c r="B80" s="21" t="s">
        <v>12</v>
      </c>
      <c r="C80" s="21" t="s">
        <v>200</v>
      </c>
      <c r="D80" s="23" t="s">
        <v>0</v>
      </c>
      <c r="E80" s="4"/>
      <c r="F80" s="8"/>
      <c r="G80" s="49" t="s">
        <v>4</v>
      </c>
      <c r="H80" s="21" t="s">
        <v>12</v>
      </c>
      <c r="I80" s="21" t="s">
        <v>200</v>
      </c>
      <c r="J80" s="23" t="s">
        <v>0</v>
      </c>
      <c r="K80" s="4"/>
      <c r="L80" s="8"/>
      <c r="M80" s="49" t="s">
        <v>4</v>
      </c>
      <c r="N80" s="21" t="s">
        <v>12</v>
      </c>
      <c r="O80" s="21" t="s">
        <v>200</v>
      </c>
      <c r="P80" s="23" t="s">
        <v>0</v>
      </c>
      <c r="Q80" s="4"/>
      <c r="R80" s="8"/>
      <c r="S80" s="49" t="s">
        <v>4</v>
      </c>
      <c r="T80" s="21" t="s">
        <v>12</v>
      </c>
      <c r="U80" s="21" t="s">
        <v>200</v>
      </c>
      <c r="V80" s="23" t="s">
        <v>0</v>
      </c>
      <c r="W80" s="4"/>
      <c r="X80" s="8"/>
      <c r="Y80" s="49" t="s">
        <v>4</v>
      </c>
      <c r="Z80" s="21" t="s">
        <v>12</v>
      </c>
      <c r="AA80" s="21" t="s">
        <v>200</v>
      </c>
      <c r="AB80" s="23" t="s">
        <v>0</v>
      </c>
      <c r="AC80" s="4"/>
      <c r="AD80" s="8"/>
      <c r="AE80" s="49" t="s">
        <v>4</v>
      </c>
      <c r="AF80" s="21" t="s">
        <v>12</v>
      </c>
      <c r="AG80" s="21" t="s">
        <v>200</v>
      </c>
      <c r="AH80" s="23" t="s">
        <v>0</v>
      </c>
      <c r="AI80" s="4"/>
      <c r="AJ80" s="8"/>
      <c r="AK80" s="49" t="s">
        <v>4</v>
      </c>
      <c r="AL80" s="21" t="s">
        <v>12</v>
      </c>
      <c r="AM80" s="21" t="s">
        <v>200</v>
      </c>
      <c r="AN80" s="23" t="s">
        <v>0</v>
      </c>
      <c r="AO80" s="4"/>
      <c r="AP80" s="8"/>
      <c r="AQ80" s="49" t="s">
        <v>4</v>
      </c>
      <c r="AR80" s="21" t="s">
        <v>12</v>
      </c>
      <c r="AS80" s="21" t="s">
        <v>200</v>
      </c>
      <c r="AT80" s="23" t="s">
        <v>0</v>
      </c>
      <c r="AU80" s="4"/>
      <c r="AV80" s="8"/>
      <c r="AW80" s="49" t="s">
        <v>4</v>
      </c>
      <c r="AX80" s="21" t="s">
        <v>12</v>
      </c>
      <c r="AY80" s="21" t="s">
        <v>200</v>
      </c>
      <c r="AZ80" s="23" t="s">
        <v>0</v>
      </c>
      <c r="BA80" s="4"/>
      <c r="BB80" s="8"/>
      <c r="BC80" s="49" t="s">
        <v>4</v>
      </c>
      <c r="BD80" s="21" t="s">
        <v>12</v>
      </c>
      <c r="BE80" s="21" t="s">
        <v>200</v>
      </c>
      <c r="BF80" s="23" t="s">
        <v>0</v>
      </c>
      <c r="BG80" s="27">
        <v>4.5999999999999996</v>
      </c>
      <c r="BH80" s="35" t="s">
        <v>22</v>
      </c>
      <c r="BI80" s="49" t="s">
        <v>4</v>
      </c>
      <c r="BJ80" s="21" t="s">
        <v>12</v>
      </c>
      <c r="BK80" s="21" t="s">
        <v>200</v>
      </c>
      <c r="BL80" s="23" t="s">
        <v>0</v>
      </c>
      <c r="BM80" s="27">
        <v>30.2</v>
      </c>
      <c r="BN80" s="35" t="s">
        <v>148</v>
      </c>
      <c r="BO80" s="49" t="s">
        <v>4</v>
      </c>
      <c r="BP80" s="21" t="s">
        <v>12</v>
      </c>
      <c r="BQ80" s="21" t="s">
        <v>200</v>
      </c>
      <c r="BR80" s="23" t="s">
        <v>0</v>
      </c>
      <c r="BS80" s="27">
        <v>41.2</v>
      </c>
      <c r="BT80" s="35" t="s">
        <v>107</v>
      </c>
    </row>
    <row r="81" spans="1:72" ht="12" customHeight="1" x14ac:dyDescent="0.15">
      <c r="A81" s="49" t="s">
        <v>4</v>
      </c>
      <c r="B81" s="21" t="s">
        <v>12</v>
      </c>
      <c r="C81" s="6" t="s">
        <v>201</v>
      </c>
      <c r="D81" s="23" t="s">
        <v>18</v>
      </c>
      <c r="E81" s="4"/>
      <c r="F81" s="18"/>
      <c r="G81" s="49" t="s">
        <v>4</v>
      </c>
      <c r="H81" s="21" t="s">
        <v>12</v>
      </c>
      <c r="I81" s="6" t="s">
        <v>201</v>
      </c>
      <c r="J81" s="23" t="s">
        <v>18</v>
      </c>
      <c r="K81" s="4"/>
      <c r="L81" s="18"/>
      <c r="M81" s="49" t="s">
        <v>4</v>
      </c>
      <c r="N81" s="21" t="s">
        <v>12</v>
      </c>
      <c r="O81" s="6" t="s">
        <v>201</v>
      </c>
      <c r="P81" s="23" t="s">
        <v>18</v>
      </c>
      <c r="Q81" s="4"/>
      <c r="R81" s="18"/>
      <c r="S81" s="49" t="s">
        <v>4</v>
      </c>
      <c r="T81" s="21" t="s">
        <v>12</v>
      </c>
      <c r="U81" s="6" t="s">
        <v>201</v>
      </c>
      <c r="V81" s="23" t="s">
        <v>18</v>
      </c>
      <c r="W81" s="4"/>
      <c r="X81" s="18"/>
      <c r="Y81" s="49" t="s">
        <v>4</v>
      </c>
      <c r="Z81" s="21" t="s">
        <v>12</v>
      </c>
      <c r="AA81" s="6" t="s">
        <v>201</v>
      </c>
      <c r="AB81" s="23" t="s">
        <v>18</v>
      </c>
      <c r="AC81" s="4"/>
      <c r="AD81" s="18"/>
      <c r="AE81" s="49" t="s">
        <v>4</v>
      </c>
      <c r="AF81" s="21" t="s">
        <v>12</v>
      </c>
      <c r="AG81" s="6" t="s">
        <v>201</v>
      </c>
      <c r="AH81" s="23" t="s">
        <v>18</v>
      </c>
      <c r="AI81" s="4"/>
      <c r="AJ81" s="18"/>
      <c r="AK81" s="49" t="s">
        <v>4</v>
      </c>
      <c r="AL81" s="21" t="s">
        <v>12</v>
      </c>
      <c r="AM81" s="6" t="s">
        <v>201</v>
      </c>
      <c r="AN81" s="23" t="s">
        <v>18</v>
      </c>
      <c r="AO81" s="4"/>
      <c r="AP81" s="18"/>
      <c r="AQ81" s="49" t="s">
        <v>4</v>
      </c>
      <c r="AR81" s="21" t="s">
        <v>12</v>
      </c>
      <c r="AS81" s="6" t="s">
        <v>201</v>
      </c>
      <c r="AT81" s="23" t="s">
        <v>18</v>
      </c>
      <c r="AU81" s="4"/>
      <c r="AV81" s="18"/>
      <c r="AW81" s="49" t="s">
        <v>4</v>
      </c>
      <c r="AX81" s="21" t="s">
        <v>12</v>
      </c>
      <c r="AY81" s="6" t="s">
        <v>201</v>
      </c>
      <c r="AZ81" s="23" t="s">
        <v>18</v>
      </c>
      <c r="BA81" s="4"/>
      <c r="BB81" s="18"/>
      <c r="BC81" s="49" t="s">
        <v>4</v>
      </c>
      <c r="BD81" s="21" t="s">
        <v>12</v>
      </c>
      <c r="BE81" s="21" t="s">
        <v>201</v>
      </c>
      <c r="BF81" s="23" t="s">
        <v>18</v>
      </c>
      <c r="BG81" s="24">
        <v>2</v>
      </c>
      <c r="BH81" s="29" t="s">
        <v>108</v>
      </c>
      <c r="BI81" s="49" t="s">
        <v>4</v>
      </c>
      <c r="BJ81" s="21" t="s">
        <v>12</v>
      </c>
      <c r="BK81" s="21" t="s">
        <v>201</v>
      </c>
      <c r="BL81" s="23" t="s">
        <v>18</v>
      </c>
      <c r="BM81" s="27">
        <v>2.6</v>
      </c>
      <c r="BN81" s="29" t="s">
        <v>109</v>
      </c>
      <c r="BO81" s="49" t="s">
        <v>4</v>
      </c>
      <c r="BP81" s="21" t="s">
        <v>12</v>
      </c>
      <c r="BQ81" s="21" t="s">
        <v>201</v>
      </c>
      <c r="BR81" s="23" t="s">
        <v>18</v>
      </c>
      <c r="BS81" s="27">
        <v>6.6</v>
      </c>
      <c r="BT81" s="29" t="s">
        <v>107</v>
      </c>
    </row>
    <row r="82" spans="1:72" ht="12" customHeight="1" x14ac:dyDescent="0.15">
      <c r="A82" s="49" t="s">
        <v>4</v>
      </c>
      <c r="B82" s="21" t="s">
        <v>12</v>
      </c>
      <c r="C82" s="6" t="s">
        <v>201</v>
      </c>
      <c r="D82" s="23" t="s">
        <v>19</v>
      </c>
      <c r="E82" s="4"/>
      <c r="F82" s="6"/>
      <c r="G82" s="49" t="s">
        <v>4</v>
      </c>
      <c r="H82" s="21" t="s">
        <v>12</v>
      </c>
      <c r="I82" s="6" t="s">
        <v>201</v>
      </c>
      <c r="J82" s="23" t="s">
        <v>19</v>
      </c>
      <c r="K82" s="4"/>
      <c r="L82" s="6"/>
      <c r="M82" s="49" t="s">
        <v>4</v>
      </c>
      <c r="N82" s="21" t="s">
        <v>12</v>
      </c>
      <c r="O82" s="6" t="s">
        <v>201</v>
      </c>
      <c r="P82" s="23" t="s">
        <v>19</v>
      </c>
      <c r="Q82" s="4"/>
      <c r="R82" s="6"/>
      <c r="S82" s="49" t="s">
        <v>4</v>
      </c>
      <c r="T82" s="21" t="s">
        <v>12</v>
      </c>
      <c r="U82" s="6" t="s">
        <v>201</v>
      </c>
      <c r="V82" s="23" t="s">
        <v>19</v>
      </c>
      <c r="W82" s="4"/>
      <c r="X82" s="6"/>
      <c r="Y82" s="49" t="s">
        <v>4</v>
      </c>
      <c r="Z82" s="21" t="s">
        <v>12</v>
      </c>
      <c r="AA82" s="6" t="s">
        <v>201</v>
      </c>
      <c r="AB82" s="23" t="s">
        <v>19</v>
      </c>
      <c r="AC82" s="4"/>
      <c r="AD82" s="6"/>
      <c r="AE82" s="49" t="s">
        <v>4</v>
      </c>
      <c r="AF82" s="21" t="s">
        <v>12</v>
      </c>
      <c r="AG82" s="6" t="s">
        <v>201</v>
      </c>
      <c r="AH82" s="23" t="s">
        <v>19</v>
      </c>
      <c r="AI82" s="4"/>
      <c r="AJ82" s="6"/>
      <c r="AK82" s="49" t="s">
        <v>4</v>
      </c>
      <c r="AL82" s="21" t="s">
        <v>12</v>
      </c>
      <c r="AM82" s="6" t="s">
        <v>201</v>
      </c>
      <c r="AN82" s="23" t="s">
        <v>19</v>
      </c>
      <c r="AO82" s="4"/>
      <c r="AP82" s="6"/>
      <c r="AQ82" s="49" t="s">
        <v>4</v>
      </c>
      <c r="AR82" s="21" t="s">
        <v>12</v>
      </c>
      <c r="AS82" s="6" t="s">
        <v>201</v>
      </c>
      <c r="AT82" s="23" t="s">
        <v>19</v>
      </c>
      <c r="AU82" s="4"/>
      <c r="AV82" s="6"/>
      <c r="AW82" s="49" t="s">
        <v>4</v>
      </c>
      <c r="AX82" s="21" t="s">
        <v>12</v>
      </c>
      <c r="AY82" s="6" t="s">
        <v>201</v>
      </c>
      <c r="AZ82" s="23" t="s">
        <v>19</v>
      </c>
      <c r="BA82" s="4"/>
      <c r="BB82" s="6"/>
      <c r="BC82" s="49" t="s">
        <v>4</v>
      </c>
      <c r="BD82" s="21" t="s">
        <v>12</v>
      </c>
      <c r="BE82" s="21" t="s">
        <v>201</v>
      </c>
      <c r="BF82" s="23" t="s">
        <v>19</v>
      </c>
      <c r="BG82" s="24">
        <v>8</v>
      </c>
      <c r="BH82" s="34" t="s">
        <v>108</v>
      </c>
      <c r="BI82" s="49" t="s">
        <v>4</v>
      </c>
      <c r="BJ82" s="21" t="s">
        <v>12</v>
      </c>
      <c r="BK82" s="21" t="s">
        <v>201</v>
      </c>
      <c r="BL82" s="23" t="s">
        <v>19</v>
      </c>
      <c r="BM82" s="24">
        <v>16</v>
      </c>
      <c r="BN82" s="34" t="s">
        <v>109</v>
      </c>
      <c r="BO82" s="49" t="s">
        <v>4</v>
      </c>
      <c r="BP82" s="21" t="s">
        <v>12</v>
      </c>
      <c r="BQ82" s="21" t="s">
        <v>201</v>
      </c>
      <c r="BR82" s="23" t="s">
        <v>19</v>
      </c>
      <c r="BS82" s="24">
        <v>3</v>
      </c>
      <c r="BT82" s="34" t="s">
        <v>107</v>
      </c>
    </row>
    <row r="83" spans="1:72" ht="12" customHeight="1" x14ac:dyDescent="0.15">
      <c r="A83" s="49" t="s">
        <v>4</v>
      </c>
      <c r="B83" s="21" t="s">
        <v>12</v>
      </c>
      <c r="C83" s="6" t="s">
        <v>201</v>
      </c>
      <c r="D83" s="23" t="s">
        <v>0</v>
      </c>
      <c r="E83" s="4"/>
      <c r="F83" s="8"/>
      <c r="G83" s="49" t="s">
        <v>4</v>
      </c>
      <c r="H83" s="21" t="s">
        <v>12</v>
      </c>
      <c r="I83" s="6" t="s">
        <v>201</v>
      </c>
      <c r="J83" s="23" t="s">
        <v>0</v>
      </c>
      <c r="K83" s="4"/>
      <c r="L83" s="8"/>
      <c r="M83" s="49" t="s">
        <v>4</v>
      </c>
      <c r="N83" s="21" t="s">
        <v>12</v>
      </c>
      <c r="O83" s="6" t="s">
        <v>201</v>
      </c>
      <c r="P83" s="23" t="s">
        <v>0</v>
      </c>
      <c r="Q83" s="4"/>
      <c r="R83" s="8"/>
      <c r="S83" s="49" t="s">
        <v>4</v>
      </c>
      <c r="T83" s="21" t="s">
        <v>12</v>
      </c>
      <c r="U83" s="6" t="s">
        <v>201</v>
      </c>
      <c r="V83" s="23" t="s">
        <v>0</v>
      </c>
      <c r="W83" s="4"/>
      <c r="X83" s="8"/>
      <c r="Y83" s="49" t="s">
        <v>4</v>
      </c>
      <c r="Z83" s="21" t="s">
        <v>12</v>
      </c>
      <c r="AA83" s="6" t="s">
        <v>201</v>
      </c>
      <c r="AB83" s="23" t="s">
        <v>0</v>
      </c>
      <c r="AC83" s="4"/>
      <c r="AD83" s="8"/>
      <c r="AE83" s="49" t="s">
        <v>4</v>
      </c>
      <c r="AF83" s="21" t="s">
        <v>12</v>
      </c>
      <c r="AG83" s="6" t="s">
        <v>201</v>
      </c>
      <c r="AH83" s="23" t="s">
        <v>0</v>
      </c>
      <c r="AI83" s="4"/>
      <c r="AJ83" s="8"/>
      <c r="AK83" s="49" t="s">
        <v>4</v>
      </c>
      <c r="AL83" s="21" t="s">
        <v>12</v>
      </c>
      <c r="AM83" s="6" t="s">
        <v>201</v>
      </c>
      <c r="AN83" s="23" t="s">
        <v>0</v>
      </c>
      <c r="AO83" s="4"/>
      <c r="AP83" s="8"/>
      <c r="AQ83" s="49" t="s">
        <v>4</v>
      </c>
      <c r="AR83" s="21" t="s">
        <v>12</v>
      </c>
      <c r="AS83" s="6" t="s">
        <v>201</v>
      </c>
      <c r="AT83" s="23" t="s">
        <v>0</v>
      </c>
      <c r="AU83" s="4"/>
      <c r="AV83" s="8"/>
      <c r="AW83" s="49" t="s">
        <v>4</v>
      </c>
      <c r="AX83" s="21" t="s">
        <v>12</v>
      </c>
      <c r="AY83" s="6" t="s">
        <v>201</v>
      </c>
      <c r="AZ83" s="23" t="s">
        <v>0</v>
      </c>
      <c r="BA83" s="4"/>
      <c r="BB83" s="8"/>
      <c r="BC83" s="49" t="s">
        <v>4</v>
      </c>
      <c r="BD83" s="21" t="s">
        <v>12</v>
      </c>
      <c r="BE83" s="21" t="s">
        <v>201</v>
      </c>
      <c r="BF83" s="23" t="s">
        <v>0</v>
      </c>
      <c r="BG83" s="24">
        <v>10</v>
      </c>
      <c r="BH83" s="35" t="s">
        <v>108</v>
      </c>
      <c r="BI83" s="49" t="s">
        <v>4</v>
      </c>
      <c r="BJ83" s="21" t="s">
        <v>12</v>
      </c>
      <c r="BK83" s="21" t="s">
        <v>201</v>
      </c>
      <c r="BL83" s="23" t="s">
        <v>0</v>
      </c>
      <c r="BM83" s="27">
        <v>18.600000000000001</v>
      </c>
      <c r="BN83" s="35" t="s">
        <v>109</v>
      </c>
      <c r="BO83" s="49" t="s">
        <v>4</v>
      </c>
      <c r="BP83" s="21" t="s">
        <v>12</v>
      </c>
      <c r="BQ83" s="21" t="s">
        <v>201</v>
      </c>
      <c r="BR83" s="23" t="s">
        <v>0</v>
      </c>
      <c r="BS83" s="27">
        <v>9.6</v>
      </c>
      <c r="BT83" s="35" t="s">
        <v>107</v>
      </c>
    </row>
    <row r="84" spans="1:72" ht="12" customHeight="1" x14ac:dyDescent="0.15">
      <c r="A84" s="49" t="s">
        <v>4</v>
      </c>
      <c r="B84" s="21" t="s">
        <v>12</v>
      </c>
      <c r="C84" s="22" t="s">
        <v>15</v>
      </c>
      <c r="D84" s="23" t="s">
        <v>18</v>
      </c>
      <c r="E84" s="4"/>
      <c r="F84" s="18"/>
      <c r="G84" s="49" t="s">
        <v>4</v>
      </c>
      <c r="H84" s="21" t="s">
        <v>12</v>
      </c>
      <c r="I84" s="22" t="s">
        <v>15</v>
      </c>
      <c r="J84" s="23" t="s">
        <v>18</v>
      </c>
      <c r="K84" s="4"/>
      <c r="L84" s="18"/>
      <c r="M84" s="49" t="s">
        <v>4</v>
      </c>
      <c r="N84" s="21" t="s">
        <v>12</v>
      </c>
      <c r="O84" s="22" t="s">
        <v>15</v>
      </c>
      <c r="P84" s="23" t="s">
        <v>18</v>
      </c>
      <c r="Q84" s="4"/>
      <c r="R84" s="18"/>
      <c r="S84" s="49" t="s">
        <v>4</v>
      </c>
      <c r="T84" s="21" t="s">
        <v>12</v>
      </c>
      <c r="U84" s="22" t="s">
        <v>15</v>
      </c>
      <c r="V84" s="23" t="s">
        <v>18</v>
      </c>
      <c r="W84" s="4"/>
      <c r="X84" s="18"/>
      <c r="Y84" s="49" t="s">
        <v>4</v>
      </c>
      <c r="Z84" s="21" t="s">
        <v>12</v>
      </c>
      <c r="AA84" s="22" t="s">
        <v>15</v>
      </c>
      <c r="AB84" s="23" t="s">
        <v>18</v>
      </c>
      <c r="AC84" s="4"/>
      <c r="AD84" s="18"/>
      <c r="AE84" s="49" t="s">
        <v>4</v>
      </c>
      <c r="AF84" s="21" t="s">
        <v>12</v>
      </c>
      <c r="AG84" s="22" t="s">
        <v>15</v>
      </c>
      <c r="AH84" s="23" t="s">
        <v>18</v>
      </c>
      <c r="AI84" s="4"/>
      <c r="AJ84" s="18"/>
      <c r="AK84" s="49" t="s">
        <v>4</v>
      </c>
      <c r="AL84" s="21" t="s">
        <v>12</v>
      </c>
      <c r="AM84" s="22" t="s">
        <v>15</v>
      </c>
      <c r="AN84" s="23" t="s">
        <v>18</v>
      </c>
      <c r="AO84" s="4"/>
      <c r="AP84" s="18"/>
      <c r="AQ84" s="49" t="s">
        <v>4</v>
      </c>
      <c r="AR84" s="21" t="s">
        <v>12</v>
      </c>
      <c r="AS84" s="22" t="s">
        <v>15</v>
      </c>
      <c r="AT84" s="23" t="s">
        <v>18</v>
      </c>
      <c r="AU84" s="4"/>
      <c r="AV84" s="18"/>
      <c r="AW84" s="49" t="s">
        <v>4</v>
      </c>
      <c r="AX84" s="21" t="s">
        <v>12</v>
      </c>
      <c r="AY84" s="22" t="s">
        <v>15</v>
      </c>
      <c r="AZ84" s="23" t="s">
        <v>18</v>
      </c>
      <c r="BA84" s="4"/>
      <c r="BB84" s="18"/>
      <c r="BC84" s="49" t="s">
        <v>4</v>
      </c>
      <c r="BD84" s="21" t="s">
        <v>12</v>
      </c>
      <c r="BE84" s="22" t="s">
        <v>15</v>
      </c>
      <c r="BF84" s="23" t="s">
        <v>18</v>
      </c>
      <c r="BG84" s="24">
        <v>10</v>
      </c>
      <c r="BH84" s="29" t="s">
        <v>22</v>
      </c>
      <c r="BI84" s="49" t="s">
        <v>4</v>
      </c>
      <c r="BJ84" s="21" t="s">
        <v>12</v>
      </c>
      <c r="BK84" s="22" t="s">
        <v>15</v>
      </c>
      <c r="BL84" s="23" t="s">
        <v>18</v>
      </c>
      <c r="BM84" s="24">
        <v>35</v>
      </c>
      <c r="BN84" s="31" t="s">
        <v>149</v>
      </c>
      <c r="BO84" s="49" t="s">
        <v>4</v>
      </c>
      <c r="BP84" s="21" t="s">
        <v>12</v>
      </c>
      <c r="BQ84" s="22" t="s">
        <v>15</v>
      </c>
      <c r="BR84" s="23" t="s">
        <v>18</v>
      </c>
      <c r="BS84" s="24">
        <v>62</v>
      </c>
      <c r="BT84" s="29" t="s">
        <v>107</v>
      </c>
    </row>
    <row r="85" spans="1:72" ht="12" customHeight="1" x14ac:dyDescent="0.15">
      <c r="A85" s="49" t="s">
        <v>4</v>
      </c>
      <c r="B85" s="21" t="s">
        <v>12</v>
      </c>
      <c r="C85" s="22" t="s">
        <v>15</v>
      </c>
      <c r="D85" s="23" t="s">
        <v>19</v>
      </c>
      <c r="E85" s="4"/>
      <c r="F85" s="6"/>
      <c r="G85" s="49" t="s">
        <v>4</v>
      </c>
      <c r="H85" s="21" t="s">
        <v>12</v>
      </c>
      <c r="I85" s="22" t="s">
        <v>15</v>
      </c>
      <c r="J85" s="23" t="s">
        <v>19</v>
      </c>
      <c r="K85" s="4"/>
      <c r="L85" s="6"/>
      <c r="M85" s="49" t="s">
        <v>4</v>
      </c>
      <c r="N85" s="21" t="s">
        <v>12</v>
      </c>
      <c r="O85" s="22" t="s">
        <v>15</v>
      </c>
      <c r="P85" s="23" t="s">
        <v>19</v>
      </c>
      <c r="Q85" s="4"/>
      <c r="R85" s="6"/>
      <c r="S85" s="49" t="s">
        <v>4</v>
      </c>
      <c r="T85" s="21" t="s">
        <v>12</v>
      </c>
      <c r="U85" s="22" t="s">
        <v>15</v>
      </c>
      <c r="V85" s="23" t="s">
        <v>19</v>
      </c>
      <c r="W85" s="4"/>
      <c r="X85" s="6"/>
      <c r="Y85" s="49" t="s">
        <v>4</v>
      </c>
      <c r="Z85" s="21" t="s">
        <v>12</v>
      </c>
      <c r="AA85" s="22" t="s">
        <v>15</v>
      </c>
      <c r="AB85" s="23" t="s">
        <v>19</v>
      </c>
      <c r="AC85" s="4"/>
      <c r="AD85" s="6"/>
      <c r="AE85" s="49" t="s">
        <v>4</v>
      </c>
      <c r="AF85" s="21" t="s">
        <v>12</v>
      </c>
      <c r="AG85" s="22" t="s">
        <v>15</v>
      </c>
      <c r="AH85" s="23" t="s">
        <v>19</v>
      </c>
      <c r="AI85" s="4"/>
      <c r="AJ85" s="6"/>
      <c r="AK85" s="49" t="s">
        <v>4</v>
      </c>
      <c r="AL85" s="21" t="s">
        <v>12</v>
      </c>
      <c r="AM85" s="22" t="s">
        <v>15</v>
      </c>
      <c r="AN85" s="23" t="s">
        <v>19</v>
      </c>
      <c r="AO85" s="4"/>
      <c r="AP85" s="6"/>
      <c r="AQ85" s="49" t="s">
        <v>4</v>
      </c>
      <c r="AR85" s="21" t="s">
        <v>12</v>
      </c>
      <c r="AS85" s="22" t="s">
        <v>15</v>
      </c>
      <c r="AT85" s="23" t="s">
        <v>19</v>
      </c>
      <c r="AU85" s="4"/>
      <c r="AV85" s="6"/>
      <c r="AW85" s="49" t="s">
        <v>4</v>
      </c>
      <c r="AX85" s="21" t="s">
        <v>12</v>
      </c>
      <c r="AY85" s="22" t="s">
        <v>15</v>
      </c>
      <c r="AZ85" s="23" t="s">
        <v>19</v>
      </c>
      <c r="BA85" s="4"/>
      <c r="BB85" s="6"/>
      <c r="BC85" s="49" t="s">
        <v>4</v>
      </c>
      <c r="BD85" s="21" t="s">
        <v>12</v>
      </c>
      <c r="BE85" s="22" t="s">
        <v>15</v>
      </c>
      <c r="BF85" s="23" t="s">
        <v>19</v>
      </c>
      <c r="BG85" s="24">
        <v>53</v>
      </c>
      <c r="BH85" s="34" t="s">
        <v>22</v>
      </c>
      <c r="BI85" s="49" t="s">
        <v>4</v>
      </c>
      <c r="BJ85" s="21" t="s">
        <v>12</v>
      </c>
      <c r="BK85" s="22" t="s">
        <v>15</v>
      </c>
      <c r="BL85" s="23" t="s">
        <v>19</v>
      </c>
      <c r="BM85" s="24">
        <v>170</v>
      </c>
      <c r="BN85" s="34" t="s">
        <v>148</v>
      </c>
      <c r="BO85" s="49" t="s">
        <v>4</v>
      </c>
      <c r="BP85" s="21" t="s">
        <v>12</v>
      </c>
      <c r="BQ85" s="22" t="s">
        <v>15</v>
      </c>
      <c r="BR85" s="23" t="s">
        <v>19</v>
      </c>
      <c r="BS85" s="24">
        <v>300</v>
      </c>
      <c r="BT85" s="34" t="s">
        <v>107</v>
      </c>
    </row>
    <row r="86" spans="1:72" ht="12" customHeight="1" x14ac:dyDescent="0.15">
      <c r="A86" s="49" t="s">
        <v>4</v>
      </c>
      <c r="B86" s="21" t="s">
        <v>12</v>
      </c>
      <c r="C86" s="22" t="s">
        <v>15</v>
      </c>
      <c r="D86" s="23" t="s">
        <v>0</v>
      </c>
      <c r="E86" s="4"/>
      <c r="F86" s="8"/>
      <c r="G86" s="49" t="s">
        <v>4</v>
      </c>
      <c r="H86" s="21" t="s">
        <v>12</v>
      </c>
      <c r="I86" s="22" t="s">
        <v>15</v>
      </c>
      <c r="J86" s="23" t="s">
        <v>0</v>
      </c>
      <c r="K86" s="4"/>
      <c r="L86" s="8"/>
      <c r="M86" s="49" t="s">
        <v>4</v>
      </c>
      <c r="N86" s="21" t="s">
        <v>12</v>
      </c>
      <c r="O86" s="22" t="s">
        <v>15</v>
      </c>
      <c r="P86" s="23" t="s">
        <v>0</v>
      </c>
      <c r="Q86" s="4"/>
      <c r="R86" s="8"/>
      <c r="S86" s="49" t="s">
        <v>4</v>
      </c>
      <c r="T86" s="21" t="s">
        <v>12</v>
      </c>
      <c r="U86" s="22" t="s">
        <v>15</v>
      </c>
      <c r="V86" s="23" t="s">
        <v>0</v>
      </c>
      <c r="W86" s="4"/>
      <c r="X86" s="8"/>
      <c r="Y86" s="49" t="s">
        <v>4</v>
      </c>
      <c r="Z86" s="21" t="s">
        <v>12</v>
      </c>
      <c r="AA86" s="22" t="s">
        <v>15</v>
      </c>
      <c r="AB86" s="23" t="s">
        <v>0</v>
      </c>
      <c r="AC86" s="4"/>
      <c r="AD86" s="8"/>
      <c r="AE86" s="49" t="s">
        <v>4</v>
      </c>
      <c r="AF86" s="21" t="s">
        <v>12</v>
      </c>
      <c r="AG86" s="22" t="s">
        <v>15</v>
      </c>
      <c r="AH86" s="23" t="s">
        <v>0</v>
      </c>
      <c r="AI86" s="4"/>
      <c r="AJ86" s="8"/>
      <c r="AK86" s="49" t="s">
        <v>4</v>
      </c>
      <c r="AL86" s="21" t="s">
        <v>12</v>
      </c>
      <c r="AM86" s="22" t="s">
        <v>15</v>
      </c>
      <c r="AN86" s="23" t="s">
        <v>0</v>
      </c>
      <c r="AO86" s="4"/>
      <c r="AP86" s="8"/>
      <c r="AQ86" s="49" t="s">
        <v>4</v>
      </c>
      <c r="AR86" s="21" t="s">
        <v>12</v>
      </c>
      <c r="AS86" s="22" t="s">
        <v>15</v>
      </c>
      <c r="AT86" s="23" t="s">
        <v>0</v>
      </c>
      <c r="AU86" s="4"/>
      <c r="AV86" s="8"/>
      <c r="AW86" s="49" t="s">
        <v>4</v>
      </c>
      <c r="AX86" s="21" t="s">
        <v>12</v>
      </c>
      <c r="AY86" s="22" t="s">
        <v>15</v>
      </c>
      <c r="AZ86" s="23" t="s">
        <v>0</v>
      </c>
      <c r="BA86" s="4"/>
      <c r="BB86" s="8"/>
      <c r="BC86" s="49" t="s">
        <v>4</v>
      </c>
      <c r="BD86" s="21" t="s">
        <v>12</v>
      </c>
      <c r="BE86" s="22" t="s">
        <v>15</v>
      </c>
      <c r="BF86" s="23" t="s">
        <v>0</v>
      </c>
      <c r="BG86" s="24">
        <v>63</v>
      </c>
      <c r="BH86" s="35" t="s">
        <v>22</v>
      </c>
      <c r="BI86" s="49" t="s">
        <v>4</v>
      </c>
      <c r="BJ86" s="21" t="s">
        <v>12</v>
      </c>
      <c r="BK86" s="22" t="s">
        <v>15</v>
      </c>
      <c r="BL86" s="23" t="s">
        <v>0</v>
      </c>
      <c r="BM86" s="24">
        <v>205</v>
      </c>
      <c r="BN86" s="35" t="s">
        <v>148</v>
      </c>
      <c r="BO86" s="49" t="s">
        <v>4</v>
      </c>
      <c r="BP86" s="21" t="s">
        <v>12</v>
      </c>
      <c r="BQ86" s="22" t="s">
        <v>15</v>
      </c>
      <c r="BR86" s="23" t="s">
        <v>0</v>
      </c>
      <c r="BS86" s="24">
        <v>362</v>
      </c>
      <c r="BT86" s="35" t="s">
        <v>107</v>
      </c>
    </row>
    <row r="87" spans="1:72" ht="12" customHeight="1" x14ac:dyDescent="0.15">
      <c r="A87" s="49" t="s">
        <v>4</v>
      </c>
      <c r="B87" s="21" t="s">
        <v>10</v>
      </c>
      <c r="C87" s="22" t="s">
        <v>16</v>
      </c>
      <c r="D87" s="23" t="s">
        <v>18</v>
      </c>
      <c r="E87" s="24">
        <v>86</v>
      </c>
      <c r="F87" s="29" t="s">
        <v>93</v>
      </c>
      <c r="G87" s="49" t="s">
        <v>4</v>
      </c>
      <c r="H87" s="21" t="s">
        <v>10</v>
      </c>
      <c r="I87" s="22" t="s">
        <v>16</v>
      </c>
      <c r="J87" s="23" t="s">
        <v>18</v>
      </c>
      <c r="K87" s="24">
        <v>87</v>
      </c>
      <c r="L87" s="29" t="s">
        <v>110</v>
      </c>
      <c r="M87" s="49" t="s">
        <v>4</v>
      </c>
      <c r="N87" s="21" t="s">
        <v>10</v>
      </c>
      <c r="O87" s="22" t="s">
        <v>16</v>
      </c>
      <c r="P87" s="23" t="s">
        <v>18</v>
      </c>
      <c r="Q87" s="24">
        <v>80</v>
      </c>
      <c r="R87" s="29" t="s">
        <v>111</v>
      </c>
      <c r="S87" s="49" t="s">
        <v>4</v>
      </c>
      <c r="T87" s="21" t="s">
        <v>10</v>
      </c>
      <c r="U87" s="22" t="s">
        <v>16</v>
      </c>
      <c r="V87" s="23" t="s">
        <v>18</v>
      </c>
      <c r="W87" s="24">
        <v>62</v>
      </c>
      <c r="X87" s="29" t="s">
        <v>112</v>
      </c>
      <c r="Y87" s="49" t="s">
        <v>4</v>
      </c>
      <c r="Z87" s="21" t="s">
        <v>10</v>
      </c>
      <c r="AA87" s="22" t="s">
        <v>16</v>
      </c>
      <c r="AB87" s="23" t="s">
        <v>18</v>
      </c>
      <c r="AC87" s="24">
        <v>78</v>
      </c>
      <c r="AD87" s="29" t="s">
        <v>42</v>
      </c>
      <c r="AE87" s="49" t="s">
        <v>4</v>
      </c>
      <c r="AF87" s="21" t="s">
        <v>10</v>
      </c>
      <c r="AG87" s="22" t="s">
        <v>16</v>
      </c>
      <c r="AH87" s="23" t="s">
        <v>18</v>
      </c>
      <c r="AI87" s="24">
        <v>59</v>
      </c>
      <c r="AJ87" s="29" t="s">
        <v>113</v>
      </c>
      <c r="AK87" s="49" t="s">
        <v>4</v>
      </c>
      <c r="AL87" s="21" t="s">
        <v>10</v>
      </c>
      <c r="AM87" s="22" t="s">
        <v>16</v>
      </c>
      <c r="AN87" s="23" t="s">
        <v>18</v>
      </c>
      <c r="AO87" s="24">
        <v>58</v>
      </c>
      <c r="AP87" s="29" t="s">
        <v>145</v>
      </c>
      <c r="AQ87" s="49" t="s">
        <v>4</v>
      </c>
      <c r="AR87" s="21" t="s">
        <v>10</v>
      </c>
      <c r="AS87" s="22" t="s">
        <v>16</v>
      </c>
      <c r="AT87" s="23" t="s">
        <v>18</v>
      </c>
      <c r="AU87" s="24">
        <v>32</v>
      </c>
      <c r="AV87" s="33" t="s">
        <v>150</v>
      </c>
      <c r="AW87" s="49" t="s">
        <v>4</v>
      </c>
      <c r="AX87" s="21" t="s">
        <v>10</v>
      </c>
      <c r="AY87" s="22" t="s">
        <v>16</v>
      </c>
      <c r="AZ87" s="23" t="s">
        <v>18</v>
      </c>
      <c r="BA87" s="24">
        <v>40</v>
      </c>
      <c r="BB87" s="29" t="s">
        <v>114</v>
      </c>
      <c r="BC87" s="49" t="s">
        <v>4</v>
      </c>
      <c r="BD87" s="21" t="s">
        <v>10</v>
      </c>
      <c r="BE87" s="22" t="s">
        <v>16</v>
      </c>
      <c r="BF87" s="23" t="s">
        <v>18</v>
      </c>
      <c r="BG87" s="24">
        <v>46</v>
      </c>
      <c r="BH87" s="29" t="s">
        <v>115</v>
      </c>
      <c r="BI87" s="49" t="s">
        <v>4</v>
      </c>
      <c r="BJ87" s="21" t="s">
        <v>10</v>
      </c>
      <c r="BK87" s="22" t="s">
        <v>16</v>
      </c>
      <c r="BL87" s="23" t="s">
        <v>18</v>
      </c>
      <c r="BM87" s="24">
        <v>40</v>
      </c>
      <c r="BN87" s="29" t="s">
        <v>116</v>
      </c>
      <c r="BO87" s="49" t="s">
        <v>4</v>
      </c>
      <c r="BP87" s="21" t="s">
        <v>10</v>
      </c>
      <c r="BQ87" s="22" t="s">
        <v>16</v>
      </c>
      <c r="BR87" s="23" t="s">
        <v>18</v>
      </c>
      <c r="BS87" s="24">
        <v>51</v>
      </c>
      <c r="BT87" s="29" t="s">
        <v>117</v>
      </c>
    </row>
    <row r="88" spans="1:72" ht="12" customHeight="1" x14ac:dyDescent="0.15">
      <c r="A88" s="49" t="s">
        <v>4</v>
      </c>
      <c r="B88" s="21" t="s">
        <v>10</v>
      </c>
      <c r="C88" s="22" t="s">
        <v>16</v>
      </c>
      <c r="D88" s="23" t="s">
        <v>19</v>
      </c>
      <c r="E88" s="23">
        <v>300</v>
      </c>
      <c r="F88" s="34" t="s">
        <v>93</v>
      </c>
      <c r="G88" s="49" t="s">
        <v>4</v>
      </c>
      <c r="H88" s="21" t="s">
        <v>10</v>
      </c>
      <c r="I88" s="22" t="s">
        <v>16</v>
      </c>
      <c r="J88" s="23" t="s">
        <v>19</v>
      </c>
      <c r="K88" s="24">
        <v>320</v>
      </c>
      <c r="L88" s="34" t="s">
        <v>110</v>
      </c>
      <c r="M88" s="49" t="s">
        <v>4</v>
      </c>
      <c r="N88" s="21" t="s">
        <v>10</v>
      </c>
      <c r="O88" s="22" t="s">
        <v>16</v>
      </c>
      <c r="P88" s="23" t="s">
        <v>19</v>
      </c>
      <c r="Q88" s="24">
        <v>310</v>
      </c>
      <c r="R88" s="34" t="s">
        <v>111</v>
      </c>
      <c r="S88" s="49" t="s">
        <v>4</v>
      </c>
      <c r="T88" s="21" t="s">
        <v>10</v>
      </c>
      <c r="U88" s="22" t="s">
        <v>16</v>
      </c>
      <c r="V88" s="23" t="s">
        <v>19</v>
      </c>
      <c r="W88" s="24">
        <v>250</v>
      </c>
      <c r="X88" s="34" t="s">
        <v>112</v>
      </c>
      <c r="Y88" s="49" t="s">
        <v>4</v>
      </c>
      <c r="Z88" s="21" t="s">
        <v>10</v>
      </c>
      <c r="AA88" s="22" t="s">
        <v>16</v>
      </c>
      <c r="AB88" s="23" t="s">
        <v>19</v>
      </c>
      <c r="AC88" s="24">
        <v>310</v>
      </c>
      <c r="AD88" s="34" t="s">
        <v>42</v>
      </c>
      <c r="AE88" s="49" t="s">
        <v>4</v>
      </c>
      <c r="AF88" s="21" t="s">
        <v>10</v>
      </c>
      <c r="AG88" s="22" t="s">
        <v>16</v>
      </c>
      <c r="AH88" s="23" t="s">
        <v>19</v>
      </c>
      <c r="AI88" s="24">
        <v>240</v>
      </c>
      <c r="AJ88" s="34" t="s">
        <v>113</v>
      </c>
      <c r="AK88" s="49" t="s">
        <v>4</v>
      </c>
      <c r="AL88" s="21" t="s">
        <v>10</v>
      </c>
      <c r="AM88" s="22" t="s">
        <v>16</v>
      </c>
      <c r="AN88" s="23" t="s">
        <v>19</v>
      </c>
      <c r="AO88" s="24">
        <v>260</v>
      </c>
      <c r="AP88" s="34" t="s">
        <v>145</v>
      </c>
      <c r="AQ88" s="49" t="s">
        <v>4</v>
      </c>
      <c r="AR88" s="21" t="s">
        <v>10</v>
      </c>
      <c r="AS88" s="22" t="s">
        <v>16</v>
      </c>
      <c r="AT88" s="23" t="s">
        <v>19</v>
      </c>
      <c r="AU88" s="24">
        <v>150</v>
      </c>
      <c r="AV88" s="34" t="s">
        <v>138</v>
      </c>
      <c r="AW88" s="49" t="s">
        <v>4</v>
      </c>
      <c r="AX88" s="21" t="s">
        <v>10</v>
      </c>
      <c r="AY88" s="22" t="s">
        <v>16</v>
      </c>
      <c r="AZ88" s="23" t="s">
        <v>19</v>
      </c>
      <c r="BA88" s="23">
        <v>200</v>
      </c>
      <c r="BB88" s="34" t="s">
        <v>114</v>
      </c>
      <c r="BC88" s="49" t="s">
        <v>4</v>
      </c>
      <c r="BD88" s="21" t="s">
        <v>10</v>
      </c>
      <c r="BE88" s="22" t="s">
        <v>16</v>
      </c>
      <c r="BF88" s="23" t="s">
        <v>19</v>
      </c>
      <c r="BG88" s="24">
        <v>210</v>
      </c>
      <c r="BH88" s="34" t="s">
        <v>115</v>
      </c>
      <c r="BI88" s="49" t="s">
        <v>4</v>
      </c>
      <c r="BJ88" s="21" t="s">
        <v>10</v>
      </c>
      <c r="BK88" s="22" t="s">
        <v>16</v>
      </c>
      <c r="BL88" s="23" t="s">
        <v>19</v>
      </c>
      <c r="BM88" s="23">
        <v>200</v>
      </c>
      <c r="BN88" s="34" t="s">
        <v>116</v>
      </c>
      <c r="BO88" s="49" t="s">
        <v>4</v>
      </c>
      <c r="BP88" s="21" t="s">
        <v>10</v>
      </c>
      <c r="BQ88" s="22" t="s">
        <v>16</v>
      </c>
      <c r="BR88" s="23" t="s">
        <v>19</v>
      </c>
      <c r="BS88" s="24">
        <v>260</v>
      </c>
      <c r="BT88" s="34" t="s">
        <v>117</v>
      </c>
    </row>
    <row r="89" spans="1:72" ht="12" customHeight="1" x14ac:dyDescent="0.15">
      <c r="A89" s="49" t="s">
        <v>4</v>
      </c>
      <c r="B89" s="21" t="s">
        <v>10</v>
      </c>
      <c r="C89" s="22" t="s">
        <v>16</v>
      </c>
      <c r="D89" s="23" t="s">
        <v>0</v>
      </c>
      <c r="E89" s="24">
        <v>386</v>
      </c>
      <c r="F89" s="35" t="s">
        <v>93</v>
      </c>
      <c r="G89" s="49" t="s">
        <v>4</v>
      </c>
      <c r="H89" s="21" t="s">
        <v>10</v>
      </c>
      <c r="I89" s="22" t="s">
        <v>16</v>
      </c>
      <c r="J89" s="23" t="s">
        <v>0</v>
      </c>
      <c r="K89" s="24">
        <v>407</v>
      </c>
      <c r="L89" s="35" t="s">
        <v>110</v>
      </c>
      <c r="M89" s="49" t="s">
        <v>4</v>
      </c>
      <c r="N89" s="21" t="s">
        <v>10</v>
      </c>
      <c r="O89" s="22" t="s">
        <v>16</v>
      </c>
      <c r="P89" s="23" t="s">
        <v>0</v>
      </c>
      <c r="Q89" s="24">
        <v>390</v>
      </c>
      <c r="R89" s="35" t="s">
        <v>111</v>
      </c>
      <c r="S89" s="49" t="s">
        <v>4</v>
      </c>
      <c r="T89" s="21" t="s">
        <v>10</v>
      </c>
      <c r="U89" s="22" t="s">
        <v>16</v>
      </c>
      <c r="V89" s="23" t="s">
        <v>0</v>
      </c>
      <c r="W89" s="24">
        <v>312</v>
      </c>
      <c r="X89" s="35" t="s">
        <v>112</v>
      </c>
      <c r="Y89" s="49" t="s">
        <v>4</v>
      </c>
      <c r="Z89" s="21" t="s">
        <v>10</v>
      </c>
      <c r="AA89" s="22" t="s">
        <v>16</v>
      </c>
      <c r="AB89" s="23" t="s">
        <v>0</v>
      </c>
      <c r="AC89" s="24">
        <v>388</v>
      </c>
      <c r="AD89" s="35" t="s">
        <v>42</v>
      </c>
      <c r="AE89" s="49" t="s">
        <v>4</v>
      </c>
      <c r="AF89" s="21" t="s">
        <v>10</v>
      </c>
      <c r="AG89" s="22" t="s">
        <v>16</v>
      </c>
      <c r="AH89" s="23" t="s">
        <v>0</v>
      </c>
      <c r="AI89" s="24">
        <v>299</v>
      </c>
      <c r="AJ89" s="35" t="s">
        <v>113</v>
      </c>
      <c r="AK89" s="49" t="s">
        <v>4</v>
      </c>
      <c r="AL89" s="21" t="s">
        <v>10</v>
      </c>
      <c r="AM89" s="22" t="s">
        <v>16</v>
      </c>
      <c r="AN89" s="23" t="s">
        <v>0</v>
      </c>
      <c r="AO89" s="24">
        <v>318</v>
      </c>
      <c r="AP89" s="35" t="s">
        <v>145</v>
      </c>
      <c r="AQ89" s="49" t="s">
        <v>4</v>
      </c>
      <c r="AR89" s="21" t="s">
        <v>10</v>
      </c>
      <c r="AS89" s="22" t="s">
        <v>16</v>
      </c>
      <c r="AT89" s="23" t="s">
        <v>0</v>
      </c>
      <c r="AU89" s="24">
        <v>182</v>
      </c>
      <c r="AV89" s="35" t="s">
        <v>138</v>
      </c>
      <c r="AW89" s="49" t="s">
        <v>4</v>
      </c>
      <c r="AX89" s="21" t="s">
        <v>10</v>
      </c>
      <c r="AY89" s="22" t="s">
        <v>16</v>
      </c>
      <c r="AZ89" s="23" t="s">
        <v>0</v>
      </c>
      <c r="BA89" s="24">
        <v>240</v>
      </c>
      <c r="BB89" s="35" t="s">
        <v>114</v>
      </c>
      <c r="BC89" s="49" t="s">
        <v>4</v>
      </c>
      <c r="BD89" s="21" t="s">
        <v>10</v>
      </c>
      <c r="BE89" s="22" t="s">
        <v>16</v>
      </c>
      <c r="BF89" s="23" t="s">
        <v>0</v>
      </c>
      <c r="BG89" s="24">
        <v>256</v>
      </c>
      <c r="BH89" s="35" t="s">
        <v>115</v>
      </c>
      <c r="BI89" s="49" t="s">
        <v>4</v>
      </c>
      <c r="BJ89" s="21" t="s">
        <v>10</v>
      </c>
      <c r="BK89" s="22" t="s">
        <v>16</v>
      </c>
      <c r="BL89" s="23" t="s">
        <v>0</v>
      </c>
      <c r="BM89" s="24">
        <v>240</v>
      </c>
      <c r="BN89" s="35" t="s">
        <v>116</v>
      </c>
      <c r="BO89" s="49" t="s">
        <v>4</v>
      </c>
      <c r="BP89" s="21" t="s">
        <v>10</v>
      </c>
      <c r="BQ89" s="22" t="s">
        <v>16</v>
      </c>
      <c r="BR89" s="23" t="s">
        <v>0</v>
      </c>
      <c r="BS89" s="24">
        <v>311</v>
      </c>
      <c r="BT89" s="35" t="s">
        <v>117</v>
      </c>
    </row>
    <row r="90" spans="1:72" ht="12" customHeight="1" x14ac:dyDescent="0.15">
      <c r="A90" s="49" t="s">
        <v>4</v>
      </c>
      <c r="B90" s="21" t="s">
        <v>21</v>
      </c>
      <c r="C90" s="22" t="s">
        <v>8</v>
      </c>
      <c r="D90" s="23" t="s">
        <v>18</v>
      </c>
      <c r="E90" s="24">
        <v>2</v>
      </c>
      <c r="F90" s="29" t="s">
        <v>93</v>
      </c>
      <c r="G90" s="49" t="s">
        <v>4</v>
      </c>
      <c r="H90" s="21" t="s">
        <v>21</v>
      </c>
      <c r="I90" s="22" t="s">
        <v>8</v>
      </c>
      <c r="J90" s="23" t="s">
        <v>18</v>
      </c>
      <c r="K90" s="27">
        <v>1.5</v>
      </c>
      <c r="L90" s="29" t="s">
        <v>110</v>
      </c>
      <c r="M90" s="49" t="s">
        <v>4</v>
      </c>
      <c r="N90" s="21" t="s">
        <v>21</v>
      </c>
      <c r="O90" s="22" t="s">
        <v>8</v>
      </c>
      <c r="P90" s="23" t="s">
        <v>18</v>
      </c>
      <c r="Q90" s="27">
        <v>1.8</v>
      </c>
      <c r="R90" s="29" t="s">
        <v>111</v>
      </c>
      <c r="S90" s="49" t="s">
        <v>4</v>
      </c>
      <c r="T90" s="21" t="s">
        <v>21</v>
      </c>
      <c r="U90" s="22" t="s">
        <v>8</v>
      </c>
      <c r="V90" s="23" t="s">
        <v>18</v>
      </c>
      <c r="W90" s="27">
        <v>2.2999999999999998</v>
      </c>
      <c r="X90" s="29" t="s">
        <v>112</v>
      </c>
      <c r="Y90" s="49" t="s">
        <v>4</v>
      </c>
      <c r="Z90" s="21" t="s">
        <v>21</v>
      </c>
      <c r="AA90" s="22" t="s">
        <v>8</v>
      </c>
      <c r="AB90" s="23" t="s">
        <v>18</v>
      </c>
      <c r="AC90" s="27">
        <v>2.7</v>
      </c>
      <c r="AD90" s="29" t="s">
        <v>42</v>
      </c>
      <c r="AE90" s="49" t="s">
        <v>4</v>
      </c>
      <c r="AF90" s="21" t="s">
        <v>21</v>
      </c>
      <c r="AG90" s="22" t="s">
        <v>8</v>
      </c>
      <c r="AH90" s="23" t="s">
        <v>18</v>
      </c>
      <c r="AI90" s="27">
        <v>1.8</v>
      </c>
      <c r="AJ90" s="29" t="s">
        <v>118</v>
      </c>
      <c r="AK90" s="49" t="s">
        <v>4</v>
      </c>
      <c r="AL90" s="21" t="s">
        <v>21</v>
      </c>
      <c r="AM90" s="22" t="s">
        <v>8</v>
      </c>
      <c r="AN90" s="23" t="s">
        <v>18</v>
      </c>
      <c r="AO90" s="27">
        <v>1</v>
      </c>
      <c r="AP90" s="29" t="s">
        <v>146</v>
      </c>
      <c r="AQ90" s="49" t="s">
        <v>4</v>
      </c>
      <c r="AR90" s="21" t="s">
        <v>21</v>
      </c>
      <c r="AS90" s="22" t="s">
        <v>8</v>
      </c>
      <c r="AT90" s="23" t="s">
        <v>18</v>
      </c>
      <c r="AU90" s="27">
        <v>0.95</v>
      </c>
      <c r="AV90" s="29" t="s">
        <v>147</v>
      </c>
      <c r="AW90" s="49" t="s">
        <v>4</v>
      </c>
      <c r="AX90" s="21" t="s">
        <v>21</v>
      </c>
      <c r="AY90" s="22" t="s">
        <v>8</v>
      </c>
      <c r="AZ90" s="23" t="s">
        <v>18</v>
      </c>
      <c r="BA90" s="27">
        <v>1.3</v>
      </c>
      <c r="BB90" s="29" t="s">
        <v>114</v>
      </c>
      <c r="BC90" s="49" t="s">
        <v>4</v>
      </c>
      <c r="BD90" s="21" t="s">
        <v>21</v>
      </c>
      <c r="BE90" s="22" t="s">
        <v>8</v>
      </c>
      <c r="BF90" s="23" t="s">
        <v>18</v>
      </c>
      <c r="BG90" s="23" t="s">
        <v>130</v>
      </c>
      <c r="BH90" s="29" t="s">
        <v>119</v>
      </c>
      <c r="BI90" s="49" t="s">
        <v>4</v>
      </c>
      <c r="BJ90" s="21" t="s">
        <v>21</v>
      </c>
      <c r="BK90" s="22" t="s">
        <v>8</v>
      </c>
      <c r="BL90" s="23" t="s">
        <v>18</v>
      </c>
      <c r="BM90" s="23" t="s">
        <v>130</v>
      </c>
      <c r="BN90" s="29" t="s">
        <v>116</v>
      </c>
      <c r="BO90" s="49" t="s">
        <v>4</v>
      </c>
      <c r="BP90" s="21" t="s">
        <v>21</v>
      </c>
      <c r="BQ90" s="22" t="s">
        <v>8</v>
      </c>
      <c r="BR90" s="23" t="s">
        <v>18</v>
      </c>
      <c r="BS90" s="27">
        <v>0.86</v>
      </c>
      <c r="BT90" s="29" t="s">
        <v>120</v>
      </c>
    </row>
    <row r="91" spans="1:72" ht="12" customHeight="1" x14ac:dyDescent="0.15">
      <c r="A91" s="49" t="s">
        <v>4</v>
      </c>
      <c r="B91" s="21" t="s">
        <v>21</v>
      </c>
      <c r="C91" s="22" t="s">
        <v>8</v>
      </c>
      <c r="D91" s="23" t="s">
        <v>19</v>
      </c>
      <c r="E91" s="24">
        <v>8</v>
      </c>
      <c r="F91" s="34" t="s">
        <v>93</v>
      </c>
      <c r="G91" s="49" t="s">
        <v>4</v>
      </c>
      <c r="H91" s="21" t="s">
        <v>21</v>
      </c>
      <c r="I91" s="22" t="s">
        <v>8</v>
      </c>
      <c r="J91" s="23" t="s">
        <v>19</v>
      </c>
      <c r="K91" s="27">
        <v>4.2</v>
      </c>
      <c r="L91" s="34" t="s">
        <v>110</v>
      </c>
      <c r="M91" s="49" t="s">
        <v>4</v>
      </c>
      <c r="N91" s="21" t="s">
        <v>21</v>
      </c>
      <c r="O91" s="22" t="s">
        <v>8</v>
      </c>
      <c r="P91" s="23" t="s">
        <v>19</v>
      </c>
      <c r="Q91" s="27">
        <v>8.6999999999999993</v>
      </c>
      <c r="R91" s="34" t="s">
        <v>111</v>
      </c>
      <c r="S91" s="49" t="s">
        <v>4</v>
      </c>
      <c r="T91" s="21" t="s">
        <v>21</v>
      </c>
      <c r="U91" s="22" t="s">
        <v>8</v>
      </c>
      <c r="V91" s="23" t="s">
        <v>19</v>
      </c>
      <c r="W91" s="24">
        <v>10</v>
      </c>
      <c r="X91" s="34" t="s">
        <v>112</v>
      </c>
      <c r="Y91" s="49" t="s">
        <v>4</v>
      </c>
      <c r="Z91" s="21" t="s">
        <v>21</v>
      </c>
      <c r="AA91" s="22" t="s">
        <v>8</v>
      </c>
      <c r="AB91" s="23" t="s">
        <v>19</v>
      </c>
      <c r="AC91" s="24">
        <v>12</v>
      </c>
      <c r="AD91" s="34" t="s">
        <v>42</v>
      </c>
      <c r="AE91" s="49" t="s">
        <v>4</v>
      </c>
      <c r="AF91" s="21" t="s">
        <v>21</v>
      </c>
      <c r="AG91" s="22" t="s">
        <v>8</v>
      </c>
      <c r="AH91" s="23" t="s">
        <v>19</v>
      </c>
      <c r="AI91" s="27">
        <v>8.6</v>
      </c>
      <c r="AJ91" s="34" t="s">
        <v>118</v>
      </c>
      <c r="AK91" s="49" t="s">
        <v>4</v>
      </c>
      <c r="AL91" s="21" t="s">
        <v>21</v>
      </c>
      <c r="AM91" s="22" t="s">
        <v>8</v>
      </c>
      <c r="AN91" s="23" t="s">
        <v>19</v>
      </c>
      <c r="AO91" s="27">
        <v>4.2</v>
      </c>
      <c r="AP91" s="34" t="s">
        <v>146</v>
      </c>
      <c r="AQ91" s="49" t="s">
        <v>4</v>
      </c>
      <c r="AR91" s="21" t="s">
        <v>21</v>
      </c>
      <c r="AS91" s="22" t="s">
        <v>8</v>
      </c>
      <c r="AT91" s="23" t="s">
        <v>19</v>
      </c>
      <c r="AU91" s="27">
        <v>4.0999999999999996</v>
      </c>
      <c r="AV91" s="34" t="s">
        <v>147</v>
      </c>
      <c r="AW91" s="49" t="s">
        <v>4</v>
      </c>
      <c r="AX91" s="21" t="s">
        <v>21</v>
      </c>
      <c r="AY91" s="22" t="s">
        <v>8</v>
      </c>
      <c r="AZ91" s="23" t="s">
        <v>19</v>
      </c>
      <c r="BA91" s="27">
        <v>5.4</v>
      </c>
      <c r="BB91" s="34" t="s">
        <v>114</v>
      </c>
      <c r="BC91" s="49" t="s">
        <v>4</v>
      </c>
      <c r="BD91" s="21" t="s">
        <v>21</v>
      </c>
      <c r="BE91" s="22" t="s">
        <v>8</v>
      </c>
      <c r="BF91" s="23" t="s">
        <v>19</v>
      </c>
      <c r="BG91" s="27">
        <v>2.5</v>
      </c>
      <c r="BH91" s="34" t="s">
        <v>119</v>
      </c>
      <c r="BI91" s="49" t="s">
        <v>4</v>
      </c>
      <c r="BJ91" s="21" t="s">
        <v>21</v>
      </c>
      <c r="BK91" s="22" t="s">
        <v>8</v>
      </c>
      <c r="BL91" s="23" t="s">
        <v>19</v>
      </c>
      <c r="BM91" s="23" t="s">
        <v>130</v>
      </c>
      <c r="BN91" s="34" t="s">
        <v>116</v>
      </c>
      <c r="BO91" s="49" t="s">
        <v>4</v>
      </c>
      <c r="BP91" s="21" t="s">
        <v>21</v>
      </c>
      <c r="BQ91" s="22" t="s">
        <v>8</v>
      </c>
      <c r="BR91" s="23" t="s">
        <v>19</v>
      </c>
      <c r="BS91" s="27">
        <v>4.3</v>
      </c>
      <c r="BT91" s="34" t="s">
        <v>120</v>
      </c>
    </row>
    <row r="92" spans="1:72" ht="12" customHeight="1" x14ac:dyDescent="0.15">
      <c r="A92" s="49" t="s">
        <v>4</v>
      </c>
      <c r="B92" s="21" t="s">
        <v>21</v>
      </c>
      <c r="C92" s="22" t="s">
        <v>8</v>
      </c>
      <c r="D92" s="23" t="s">
        <v>0</v>
      </c>
      <c r="E92" s="24">
        <v>10</v>
      </c>
      <c r="F92" s="35" t="s">
        <v>93</v>
      </c>
      <c r="G92" s="49" t="s">
        <v>4</v>
      </c>
      <c r="H92" s="21" t="s">
        <v>21</v>
      </c>
      <c r="I92" s="22" t="s">
        <v>8</v>
      </c>
      <c r="J92" s="23" t="s">
        <v>0</v>
      </c>
      <c r="K92" s="27">
        <v>5.7</v>
      </c>
      <c r="L92" s="35" t="s">
        <v>110</v>
      </c>
      <c r="M92" s="49" t="s">
        <v>4</v>
      </c>
      <c r="N92" s="21" t="s">
        <v>21</v>
      </c>
      <c r="O92" s="22" t="s">
        <v>8</v>
      </c>
      <c r="P92" s="23" t="s">
        <v>0</v>
      </c>
      <c r="Q92" s="27">
        <v>10.5</v>
      </c>
      <c r="R92" s="35" t="s">
        <v>111</v>
      </c>
      <c r="S92" s="49" t="s">
        <v>4</v>
      </c>
      <c r="T92" s="21" t="s">
        <v>21</v>
      </c>
      <c r="U92" s="22" t="s">
        <v>8</v>
      </c>
      <c r="V92" s="23" t="s">
        <v>0</v>
      </c>
      <c r="W92" s="27">
        <v>12.3</v>
      </c>
      <c r="X92" s="35" t="s">
        <v>112</v>
      </c>
      <c r="Y92" s="49" t="s">
        <v>4</v>
      </c>
      <c r="Z92" s="21" t="s">
        <v>21</v>
      </c>
      <c r="AA92" s="22" t="s">
        <v>8</v>
      </c>
      <c r="AB92" s="23" t="s">
        <v>0</v>
      </c>
      <c r="AC92" s="27">
        <v>14.7</v>
      </c>
      <c r="AD92" s="35" t="s">
        <v>42</v>
      </c>
      <c r="AE92" s="49" t="s">
        <v>4</v>
      </c>
      <c r="AF92" s="21" t="s">
        <v>21</v>
      </c>
      <c r="AG92" s="22" t="s">
        <v>8</v>
      </c>
      <c r="AH92" s="23" t="s">
        <v>0</v>
      </c>
      <c r="AI92" s="27">
        <v>10.4</v>
      </c>
      <c r="AJ92" s="35" t="s">
        <v>118</v>
      </c>
      <c r="AK92" s="49" t="s">
        <v>4</v>
      </c>
      <c r="AL92" s="21" t="s">
        <v>21</v>
      </c>
      <c r="AM92" s="22" t="s">
        <v>8</v>
      </c>
      <c r="AN92" s="23" t="s">
        <v>0</v>
      </c>
      <c r="AO92" s="27">
        <v>5.2</v>
      </c>
      <c r="AP92" s="35" t="s">
        <v>146</v>
      </c>
      <c r="AQ92" s="49" t="s">
        <v>4</v>
      </c>
      <c r="AR92" s="21" t="s">
        <v>21</v>
      </c>
      <c r="AS92" s="22" t="s">
        <v>8</v>
      </c>
      <c r="AT92" s="23" t="s">
        <v>0</v>
      </c>
      <c r="AU92" s="27">
        <v>5.05</v>
      </c>
      <c r="AV92" s="35" t="s">
        <v>147</v>
      </c>
      <c r="AW92" s="49" t="s">
        <v>4</v>
      </c>
      <c r="AX92" s="21" t="s">
        <v>21</v>
      </c>
      <c r="AY92" s="22" t="s">
        <v>8</v>
      </c>
      <c r="AZ92" s="23" t="s">
        <v>0</v>
      </c>
      <c r="BA92" s="27">
        <v>6.7</v>
      </c>
      <c r="BB92" s="35" t="s">
        <v>114</v>
      </c>
      <c r="BC92" s="49" t="s">
        <v>4</v>
      </c>
      <c r="BD92" s="21" t="s">
        <v>21</v>
      </c>
      <c r="BE92" s="22" t="s">
        <v>8</v>
      </c>
      <c r="BF92" s="23" t="s">
        <v>0</v>
      </c>
      <c r="BG92" s="27">
        <v>2.5</v>
      </c>
      <c r="BH92" s="35" t="s">
        <v>119</v>
      </c>
      <c r="BI92" s="49" t="s">
        <v>4</v>
      </c>
      <c r="BJ92" s="21" t="s">
        <v>21</v>
      </c>
      <c r="BK92" s="22" t="s">
        <v>8</v>
      </c>
      <c r="BL92" s="23" t="s">
        <v>0</v>
      </c>
      <c r="BM92" s="23" t="s">
        <v>130</v>
      </c>
      <c r="BN92" s="35" t="s">
        <v>116</v>
      </c>
      <c r="BO92" s="49" t="s">
        <v>4</v>
      </c>
      <c r="BP92" s="21" t="s">
        <v>21</v>
      </c>
      <c r="BQ92" s="22" t="s">
        <v>8</v>
      </c>
      <c r="BR92" s="23" t="s">
        <v>0</v>
      </c>
      <c r="BS92" s="27">
        <v>5.16</v>
      </c>
      <c r="BT92" s="35" t="s">
        <v>120</v>
      </c>
    </row>
    <row r="93" spans="1:72" ht="12" customHeight="1" x14ac:dyDescent="0.15">
      <c r="A93" s="49" t="s">
        <v>5</v>
      </c>
      <c r="B93" s="22" t="s">
        <v>12</v>
      </c>
      <c r="C93" s="22" t="s">
        <v>17</v>
      </c>
      <c r="D93" s="23" t="s">
        <v>18</v>
      </c>
      <c r="E93" s="24">
        <v>14</v>
      </c>
      <c r="F93" s="21" t="s">
        <v>154</v>
      </c>
      <c r="G93" s="49" t="s">
        <v>5</v>
      </c>
      <c r="H93" s="22" t="s">
        <v>12</v>
      </c>
      <c r="I93" s="22" t="s">
        <v>17</v>
      </c>
      <c r="J93" s="23" t="s">
        <v>18</v>
      </c>
      <c r="K93" s="24">
        <v>15</v>
      </c>
      <c r="L93" s="21" t="s">
        <v>94</v>
      </c>
      <c r="M93" s="49" t="s">
        <v>5</v>
      </c>
      <c r="N93" s="22" t="s">
        <v>12</v>
      </c>
      <c r="O93" s="22" t="s">
        <v>17</v>
      </c>
      <c r="P93" s="23" t="s">
        <v>18</v>
      </c>
      <c r="Q93" s="24">
        <v>13</v>
      </c>
      <c r="R93" s="21" t="s">
        <v>136</v>
      </c>
      <c r="S93" s="49" t="s">
        <v>5</v>
      </c>
      <c r="T93" s="22" t="s">
        <v>12</v>
      </c>
      <c r="U93" s="22" t="s">
        <v>17</v>
      </c>
      <c r="V93" s="23" t="s">
        <v>18</v>
      </c>
      <c r="W93" s="24">
        <v>15</v>
      </c>
      <c r="X93" s="21" t="s">
        <v>164</v>
      </c>
      <c r="Y93" s="49" t="s">
        <v>5</v>
      </c>
      <c r="Z93" s="22" t="s">
        <v>12</v>
      </c>
      <c r="AA93" s="22" t="s">
        <v>17</v>
      </c>
      <c r="AB93" s="23" t="s">
        <v>18</v>
      </c>
      <c r="AC93" s="27">
        <v>8.6</v>
      </c>
      <c r="AD93" s="21" t="s">
        <v>168</v>
      </c>
      <c r="AE93" s="49" t="s">
        <v>5</v>
      </c>
      <c r="AF93" s="22" t="s">
        <v>12</v>
      </c>
      <c r="AG93" s="22" t="s">
        <v>17</v>
      </c>
      <c r="AH93" s="23" t="s">
        <v>18</v>
      </c>
      <c r="AI93" s="24">
        <v>13</v>
      </c>
      <c r="AJ93" s="21" t="s">
        <v>101</v>
      </c>
      <c r="AK93" s="49" t="s">
        <v>5</v>
      </c>
      <c r="AL93" s="22" t="s">
        <v>12</v>
      </c>
      <c r="AM93" s="22" t="s">
        <v>17</v>
      </c>
      <c r="AN93" s="23" t="s">
        <v>18</v>
      </c>
      <c r="AO93" s="23">
        <v>11</v>
      </c>
      <c r="AP93" s="21" t="s">
        <v>79</v>
      </c>
      <c r="AQ93" s="49" t="s">
        <v>5</v>
      </c>
      <c r="AR93" s="22" t="s">
        <v>12</v>
      </c>
      <c r="AS93" s="22" t="s">
        <v>17</v>
      </c>
      <c r="AT93" s="23" t="s">
        <v>18</v>
      </c>
      <c r="AU93" s="27">
        <v>9.8000000000000007</v>
      </c>
      <c r="AV93" s="21" t="s">
        <v>73</v>
      </c>
      <c r="AW93" s="49" t="s">
        <v>5</v>
      </c>
      <c r="AX93" s="22" t="s">
        <v>12</v>
      </c>
      <c r="AY93" s="22" t="s">
        <v>17</v>
      </c>
      <c r="AZ93" s="23" t="s">
        <v>18</v>
      </c>
      <c r="BA93" s="24">
        <v>95</v>
      </c>
      <c r="BB93" s="21" t="s">
        <v>187</v>
      </c>
      <c r="BC93" s="49" t="s">
        <v>5</v>
      </c>
      <c r="BD93" s="22" t="s">
        <v>12</v>
      </c>
      <c r="BE93" s="22" t="s">
        <v>17</v>
      </c>
      <c r="BF93" s="23" t="s">
        <v>18</v>
      </c>
      <c r="BG93" s="8"/>
      <c r="BH93" s="21" t="s">
        <v>102</v>
      </c>
      <c r="BI93" s="49" t="s">
        <v>5</v>
      </c>
      <c r="BJ93" s="22" t="s">
        <v>12</v>
      </c>
      <c r="BK93" s="22" t="s">
        <v>17</v>
      </c>
      <c r="BL93" s="23" t="s">
        <v>18</v>
      </c>
      <c r="BM93" s="24">
        <v>34</v>
      </c>
      <c r="BN93" s="21" t="s">
        <v>196</v>
      </c>
      <c r="BO93" s="49" t="s">
        <v>5</v>
      </c>
      <c r="BP93" s="22" t="s">
        <v>12</v>
      </c>
      <c r="BQ93" s="22" t="s">
        <v>17</v>
      </c>
      <c r="BR93" s="23" t="s">
        <v>18</v>
      </c>
      <c r="BS93" s="24">
        <v>35</v>
      </c>
      <c r="BT93" s="21" t="s">
        <v>33</v>
      </c>
    </row>
    <row r="94" spans="1:72" ht="12" customHeight="1" x14ac:dyDescent="0.15">
      <c r="A94" s="49" t="s">
        <v>5</v>
      </c>
      <c r="B94" s="22" t="s">
        <v>12</v>
      </c>
      <c r="C94" s="22" t="s">
        <v>17</v>
      </c>
      <c r="D94" s="23" t="s">
        <v>19</v>
      </c>
      <c r="E94" s="24">
        <v>72</v>
      </c>
      <c r="F94" s="34" t="s">
        <v>154</v>
      </c>
      <c r="G94" s="49" t="s">
        <v>5</v>
      </c>
      <c r="H94" s="22" t="s">
        <v>12</v>
      </c>
      <c r="I94" s="22" t="s">
        <v>17</v>
      </c>
      <c r="J94" s="23" t="s">
        <v>19</v>
      </c>
      <c r="K94" s="24">
        <v>84</v>
      </c>
      <c r="L94" s="34" t="s">
        <v>94</v>
      </c>
      <c r="M94" s="49" t="s">
        <v>5</v>
      </c>
      <c r="N94" s="22" t="s">
        <v>12</v>
      </c>
      <c r="O94" s="22" t="s">
        <v>17</v>
      </c>
      <c r="P94" s="23" t="s">
        <v>19</v>
      </c>
      <c r="Q94" s="24">
        <v>72</v>
      </c>
      <c r="R94" s="34" t="s">
        <v>136</v>
      </c>
      <c r="S94" s="49" t="s">
        <v>5</v>
      </c>
      <c r="T94" s="22" t="s">
        <v>12</v>
      </c>
      <c r="U94" s="22" t="s">
        <v>17</v>
      </c>
      <c r="V94" s="23" t="s">
        <v>19</v>
      </c>
      <c r="W94" s="24">
        <v>73</v>
      </c>
      <c r="X94" s="34" t="s">
        <v>164</v>
      </c>
      <c r="Y94" s="49" t="s">
        <v>5</v>
      </c>
      <c r="Z94" s="22" t="s">
        <v>12</v>
      </c>
      <c r="AA94" s="22" t="s">
        <v>17</v>
      </c>
      <c r="AB94" s="23" t="s">
        <v>19</v>
      </c>
      <c r="AC94" s="24">
        <v>54</v>
      </c>
      <c r="AD94" s="34" t="s">
        <v>168</v>
      </c>
      <c r="AE94" s="49" t="s">
        <v>5</v>
      </c>
      <c r="AF94" s="22" t="s">
        <v>12</v>
      </c>
      <c r="AG94" s="22" t="s">
        <v>17</v>
      </c>
      <c r="AH94" s="23" t="s">
        <v>19</v>
      </c>
      <c r="AI94" s="24">
        <v>72</v>
      </c>
      <c r="AJ94" s="34" t="s">
        <v>101</v>
      </c>
      <c r="AK94" s="49" t="s">
        <v>5</v>
      </c>
      <c r="AL94" s="22" t="s">
        <v>12</v>
      </c>
      <c r="AM94" s="22" t="s">
        <v>17</v>
      </c>
      <c r="AN94" s="23" t="s">
        <v>19</v>
      </c>
      <c r="AO94" s="24">
        <v>61</v>
      </c>
      <c r="AP94" s="34" t="s">
        <v>79</v>
      </c>
      <c r="AQ94" s="49" t="s">
        <v>5</v>
      </c>
      <c r="AR94" s="22" t="s">
        <v>12</v>
      </c>
      <c r="AS94" s="22" t="s">
        <v>17</v>
      </c>
      <c r="AT94" s="23" t="s">
        <v>19</v>
      </c>
      <c r="AU94" s="24">
        <v>56</v>
      </c>
      <c r="AV94" s="34" t="s">
        <v>73</v>
      </c>
      <c r="AW94" s="49" t="s">
        <v>5</v>
      </c>
      <c r="AX94" s="22" t="s">
        <v>12</v>
      </c>
      <c r="AY94" s="22" t="s">
        <v>17</v>
      </c>
      <c r="AZ94" s="23" t="s">
        <v>19</v>
      </c>
      <c r="BA94" s="24">
        <v>52</v>
      </c>
      <c r="BB94" s="34" t="s">
        <v>187</v>
      </c>
      <c r="BC94" s="49" t="s">
        <v>5</v>
      </c>
      <c r="BD94" s="22" t="s">
        <v>12</v>
      </c>
      <c r="BE94" s="22" t="s">
        <v>17</v>
      </c>
      <c r="BF94" s="23" t="s">
        <v>19</v>
      </c>
      <c r="BG94" s="24">
        <v>31</v>
      </c>
      <c r="BH94" s="34" t="s">
        <v>102</v>
      </c>
      <c r="BI94" s="49" t="s">
        <v>5</v>
      </c>
      <c r="BJ94" s="22" t="s">
        <v>12</v>
      </c>
      <c r="BK94" s="22" t="s">
        <v>17</v>
      </c>
      <c r="BL94" s="23" t="s">
        <v>19</v>
      </c>
      <c r="BM94" s="24">
        <v>20</v>
      </c>
      <c r="BN94" s="34" t="s">
        <v>196</v>
      </c>
      <c r="BO94" s="49" t="s">
        <v>5</v>
      </c>
      <c r="BP94" s="22" t="s">
        <v>12</v>
      </c>
      <c r="BQ94" s="22" t="s">
        <v>17</v>
      </c>
      <c r="BR94" s="23" t="s">
        <v>19</v>
      </c>
      <c r="BS94" s="24">
        <v>24</v>
      </c>
      <c r="BT94" s="34" t="s">
        <v>33</v>
      </c>
    </row>
    <row r="95" spans="1:72" ht="12" customHeight="1" x14ac:dyDescent="0.15">
      <c r="A95" s="49" t="s">
        <v>5</v>
      </c>
      <c r="B95" s="22" t="s">
        <v>12</v>
      </c>
      <c r="C95" s="22" t="s">
        <v>17</v>
      </c>
      <c r="D95" s="23" t="s">
        <v>0</v>
      </c>
      <c r="E95" s="24">
        <v>86</v>
      </c>
      <c r="F95" s="35" t="s">
        <v>154</v>
      </c>
      <c r="G95" s="49" t="s">
        <v>5</v>
      </c>
      <c r="H95" s="22" t="s">
        <v>12</v>
      </c>
      <c r="I95" s="22" t="s">
        <v>17</v>
      </c>
      <c r="J95" s="23" t="s">
        <v>0</v>
      </c>
      <c r="K95" s="24">
        <v>99</v>
      </c>
      <c r="L95" s="35" t="s">
        <v>94</v>
      </c>
      <c r="M95" s="49" t="s">
        <v>5</v>
      </c>
      <c r="N95" s="22" t="s">
        <v>12</v>
      </c>
      <c r="O95" s="22" t="s">
        <v>17</v>
      </c>
      <c r="P95" s="23" t="s">
        <v>0</v>
      </c>
      <c r="Q95" s="24">
        <v>85</v>
      </c>
      <c r="R95" s="35" t="s">
        <v>136</v>
      </c>
      <c r="S95" s="49" t="s">
        <v>5</v>
      </c>
      <c r="T95" s="22" t="s">
        <v>12</v>
      </c>
      <c r="U95" s="22" t="s">
        <v>17</v>
      </c>
      <c r="V95" s="23" t="s">
        <v>0</v>
      </c>
      <c r="W95" s="24">
        <v>88</v>
      </c>
      <c r="X95" s="35" t="s">
        <v>164</v>
      </c>
      <c r="Y95" s="49" t="s">
        <v>5</v>
      </c>
      <c r="Z95" s="22" t="s">
        <v>12</v>
      </c>
      <c r="AA95" s="22" t="s">
        <v>17</v>
      </c>
      <c r="AB95" s="23" t="s">
        <v>0</v>
      </c>
      <c r="AC95" s="27">
        <v>62.6</v>
      </c>
      <c r="AD95" s="35" t="s">
        <v>168</v>
      </c>
      <c r="AE95" s="49" t="s">
        <v>5</v>
      </c>
      <c r="AF95" s="22" t="s">
        <v>12</v>
      </c>
      <c r="AG95" s="22" t="s">
        <v>17</v>
      </c>
      <c r="AH95" s="23" t="s">
        <v>0</v>
      </c>
      <c r="AI95" s="24">
        <v>85</v>
      </c>
      <c r="AJ95" s="35" t="s">
        <v>101</v>
      </c>
      <c r="AK95" s="49" t="s">
        <v>5</v>
      </c>
      <c r="AL95" s="22" t="s">
        <v>12</v>
      </c>
      <c r="AM95" s="22" t="s">
        <v>17</v>
      </c>
      <c r="AN95" s="23" t="s">
        <v>0</v>
      </c>
      <c r="AO95" s="24">
        <v>72</v>
      </c>
      <c r="AP95" s="35" t="s">
        <v>79</v>
      </c>
      <c r="AQ95" s="49" t="s">
        <v>5</v>
      </c>
      <c r="AR95" s="22" t="s">
        <v>12</v>
      </c>
      <c r="AS95" s="22" t="s">
        <v>17</v>
      </c>
      <c r="AT95" s="23" t="s">
        <v>0</v>
      </c>
      <c r="AU95" s="27">
        <v>65.8</v>
      </c>
      <c r="AV95" s="35" t="s">
        <v>73</v>
      </c>
      <c r="AW95" s="49" t="s">
        <v>5</v>
      </c>
      <c r="AX95" s="22" t="s">
        <v>12</v>
      </c>
      <c r="AY95" s="22" t="s">
        <v>17</v>
      </c>
      <c r="AZ95" s="23" t="s">
        <v>0</v>
      </c>
      <c r="BA95" s="27">
        <v>61.5</v>
      </c>
      <c r="BB95" s="35" t="s">
        <v>187</v>
      </c>
      <c r="BC95" s="49" t="s">
        <v>5</v>
      </c>
      <c r="BD95" s="22" t="s">
        <v>12</v>
      </c>
      <c r="BE95" s="22" t="s">
        <v>17</v>
      </c>
      <c r="BF95" s="23" t="s">
        <v>0</v>
      </c>
      <c r="BG95" s="27">
        <v>36.700000000000003</v>
      </c>
      <c r="BH95" s="35" t="s">
        <v>102</v>
      </c>
      <c r="BI95" s="49" t="s">
        <v>5</v>
      </c>
      <c r="BJ95" s="22" t="s">
        <v>12</v>
      </c>
      <c r="BK95" s="22" t="s">
        <v>17</v>
      </c>
      <c r="BL95" s="23" t="s">
        <v>0</v>
      </c>
      <c r="BM95" s="27">
        <v>23.4</v>
      </c>
      <c r="BN95" s="35" t="s">
        <v>196</v>
      </c>
      <c r="BO95" s="49" t="s">
        <v>5</v>
      </c>
      <c r="BP95" s="22" t="s">
        <v>12</v>
      </c>
      <c r="BQ95" s="22" t="s">
        <v>17</v>
      </c>
      <c r="BR95" s="23" t="s">
        <v>0</v>
      </c>
      <c r="BS95" s="27">
        <v>27.5</v>
      </c>
      <c r="BT95" s="35" t="s">
        <v>33</v>
      </c>
    </row>
    <row r="96" spans="1:72" ht="12" customHeight="1" x14ac:dyDescent="0.15">
      <c r="A96" s="49" t="s">
        <v>5</v>
      </c>
      <c r="B96" s="22" t="s">
        <v>12</v>
      </c>
      <c r="C96" s="22" t="s">
        <v>15</v>
      </c>
      <c r="D96" s="23" t="s">
        <v>18</v>
      </c>
      <c r="E96" s="26">
        <v>90</v>
      </c>
      <c r="F96" s="21" t="s">
        <v>154</v>
      </c>
      <c r="G96" s="49" t="s">
        <v>5</v>
      </c>
      <c r="H96" s="22" t="s">
        <v>12</v>
      </c>
      <c r="I96" s="22" t="s">
        <v>15</v>
      </c>
      <c r="J96" s="23" t="s">
        <v>18</v>
      </c>
      <c r="K96" s="24">
        <v>110</v>
      </c>
      <c r="L96" s="21" t="s">
        <v>94</v>
      </c>
      <c r="M96" s="49" t="s">
        <v>5</v>
      </c>
      <c r="N96" s="22" t="s">
        <v>12</v>
      </c>
      <c r="O96" s="22" t="s">
        <v>15</v>
      </c>
      <c r="P96" s="23" t="s">
        <v>18</v>
      </c>
      <c r="Q96" s="24">
        <v>110</v>
      </c>
      <c r="R96" s="21" t="s">
        <v>136</v>
      </c>
      <c r="S96" s="49" t="s">
        <v>5</v>
      </c>
      <c r="T96" s="22" t="s">
        <v>12</v>
      </c>
      <c r="U96" s="22" t="s">
        <v>15</v>
      </c>
      <c r="V96" s="23" t="s">
        <v>18</v>
      </c>
      <c r="W96" s="24">
        <v>73</v>
      </c>
      <c r="X96" s="21" t="s">
        <v>164</v>
      </c>
      <c r="Y96" s="49" t="s">
        <v>5</v>
      </c>
      <c r="Z96" s="22" t="s">
        <v>12</v>
      </c>
      <c r="AA96" s="22" t="s">
        <v>15</v>
      </c>
      <c r="AB96" s="23" t="s">
        <v>18</v>
      </c>
      <c r="AC96" s="24">
        <v>84</v>
      </c>
      <c r="AD96" s="21" t="s">
        <v>168</v>
      </c>
      <c r="AE96" s="49" t="s">
        <v>5</v>
      </c>
      <c r="AF96" s="22" t="s">
        <v>12</v>
      </c>
      <c r="AG96" s="22" t="s">
        <v>15</v>
      </c>
      <c r="AH96" s="23" t="s">
        <v>18</v>
      </c>
      <c r="AI96" s="24">
        <v>140</v>
      </c>
      <c r="AJ96" s="21" t="s">
        <v>101</v>
      </c>
      <c r="AK96" s="49" t="s">
        <v>5</v>
      </c>
      <c r="AL96" s="22" t="s">
        <v>12</v>
      </c>
      <c r="AM96" s="22" t="s">
        <v>15</v>
      </c>
      <c r="AN96" s="23" t="s">
        <v>18</v>
      </c>
      <c r="AO96" s="24">
        <v>83</v>
      </c>
      <c r="AP96" s="21" t="s">
        <v>79</v>
      </c>
      <c r="AQ96" s="49" t="s">
        <v>5</v>
      </c>
      <c r="AR96" s="22" t="s">
        <v>12</v>
      </c>
      <c r="AS96" s="22" t="s">
        <v>15</v>
      </c>
      <c r="AT96" s="23" t="s">
        <v>18</v>
      </c>
      <c r="AU96" s="24">
        <v>58</v>
      </c>
      <c r="AV96" s="21" t="s">
        <v>73</v>
      </c>
      <c r="AW96" s="49" t="s">
        <v>5</v>
      </c>
      <c r="AX96" s="22" t="s">
        <v>12</v>
      </c>
      <c r="AY96" s="22" t="s">
        <v>15</v>
      </c>
      <c r="AZ96" s="23" t="s">
        <v>18</v>
      </c>
      <c r="BA96" s="24">
        <v>61</v>
      </c>
      <c r="BB96" s="21" t="s">
        <v>187</v>
      </c>
      <c r="BC96" s="49" t="s">
        <v>5</v>
      </c>
      <c r="BD96" s="22" t="s">
        <v>12</v>
      </c>
      <c r="BE96" s="22" t="s">
        <v>15</v>
      </c>
      <c r="BF96" s="23" t="s">
        <v>18</v>
      </c>
      <c r="BG96" s="24">
        <v>41</v>
      </c>
      <c r="BH96" s="21" t="s">
        <v>102</v>
      </c>
      <c r="BI96" s="49" t="s">
        <v>5</v>
      </c>
      <c r="BJ96" s="22" t="s">
        <v>12</v>
      </c>
      <c r="BK96" s="22" t="s">
        <v>15</v>
      </c>
      <c r="BL96" s="23" t="s">
        <v>18</v>
      </c>
      <c r="BM96" s="24">
        <v>24</v>
      </c>
      <c r="BN96" s="21" t="s">
        <v>196</v>
      </c>
      <c r="BO96" s="49" t="s">
        <v>5</v>
      </c>
      <c r="BP96" s="22" t="s">
        <v>12</v>
      </c>
      <c r="BQ96" s="22" t="s">
        <v>15</v>
      </c>
      <c r="BR96" s="23" t="s">
        <v>18</v>
      </c>
      <c r="BS96" s="24">
        <v>36</v>
      </c>
      <c r="BT96" s="21" t="s">
        <v>33</v>
      </c>
    </row>
    <row r="97" spans="1:72" ht="12" customHeight="1" x14ac:dyDescent="0.15">
      <c r="A97" s="49" t="s">
        <v>5</v>
      </c>
      <c r="B97" s="22" t="s">
        <v>12</v>
      </c>
      <c r="C97" s="22" t="s">
        <v>15</v>
      </c>
      <c r="D97" s="23" t="s">
        <v>19</v>
      </c>
      <c r="E97" s="24">
        <v>450</v>
      </c>
      <c r="F97" s="34" t="s">
        <v>154</v>
      </c>
      <c r="G97" s="49" t="s">
        <v>5</v>
      </c>
      <c r="H97" s="22" t="s">
        <v>12</v>
      </c>
      <c r="I97" s="22" t="s">
        <v>15</v>
      </c>
      <c r="J97" s="23" t="s">
        <v>19</v>
      </c>
      <c r="K97" s="24">
        <v>570</v>
      </c>
      <c r="L97" s="34" t="s">
        <v>94</v>
      </c>
      <c r="M97" s="49" t="s">
        <v>5</v>
      </c>
      <c r="N97" s="22" t="s">
        <v>12</v>
      </c>
      <c r="O97" s="22" t="s">
        <v>15</v>
      </c>
      <c r="P97" s="23" t="s">
        <v>19</v>
      </c>
      <c r="Q97" s="24">
        <v>560</v>
      </c>
      <c r="R97" s="34" t="s">
        <v>136</v>
      </c>
      <c r="S97" s="49" t="s">
        <v>5</v>
      </c>
      <c r="T97" s="22" t="s">
        <v>12</v>
      </c>
      <c r="U97" s="22" t="s">
        <v>15</v>
      </c>
      <c r="V97" s="23" t="s">
        <v>19</v>
      </c>
      <c r="W97" s="23">
        <v>390</v>
      </c>
      <c r="X97" s="34" t="s">
        <v>164</v>
      </c>
      <c r="Y97" s="49" t="s">
        <v>5</v>
      </c>
      <c r="Z97" s="22" t="s">
        <v>12</v>
      </c>
      <c r="AA97" s="22" t="s">
        <v>15</v>
      </c>
      <c r="AB97" s="23" t="s">
        <v>19</v>
      </c>
      <c r="AC97" s="24">
        <v>470</v>
      </c>
      <c r="AD97" s="34" t="s">
        <v>168</v>
      </c>
      <c r="AE97" s="49" t="s">
        <v>5</v>
      </c>
      <c r="AF97" s="22" t="s">
        <v>12</v>
      </c>
      <c r="AG97" s="22" t="s">
        <v>15</v>
      </c>
      <c r="AH97" s="23" t="s">
        <v>19</v>
      </c>
      <c r="AI97" s="24">
        <v>780</v>
      </c>
      <c r="AJ97" s="34" t="s">
        <v>101</v>
      </c>
      <c r="AK97" s="49" t="s">
        <v>5</v>
      </c>
      <c r="AL97" s="22" t="s">
        <v>12</v>
      </c>
      <c r="AM97" s="22" t="s">
        <v>15</v>
      </c>
      <c r="AN97" s="23" t="s">
        <v>19</v>
      </c>
      <c r="AO97" s="24">
        <v>470</v>
      </c>
      <c r="AP97" s="34" t="s">
        <v>79</v>
      </c>
      <c r="AQ97" s="49" t="s">
        <v>5</v>
      </c>
      <c r="AR97" s="22" t="s">
        <v>12</v>
      </c>
      <c r="AS97" s="22" t="s">
        <v>15</v>
      </c>
      <c r="AT97" s="23" t="s">
        <v>19</v>
      </c>
      <c r="AU97" s="24">
        <v>370</v>
      </c>
      <c r="AV97" s="34" t="s">
        <v>73</v>
      </c>
      <c r="AW97" s="49" t="s">
        <v>5</v>
      </c>
      <c r="AX97" s="22" t="s">
        <v>12</v>
      </c>
      <c r="AY97" s="22" t="s">
        <v>15</v>
      </c>
      <c r="AZ97" s="23" t="s">
        <v>19</v>
      </c>
      <c r="BA97" s="23">
        <v>390</v>
      </c>
      <c r="BB97" s="34" t="s">
        <v>187</v>
      </c>
      <c r="BC97" s="49" t="s">
        <v>5</v>
      </c>
      <c r="BD97" s="22" t="s">
        <v>12</v>
      </c>
      <c r="BE97" s="22" t="s">
        <v>15</v>
      </c>
      <c r="BF97" s="23" t="s">
        <v>19</v>
      </c>
      <c r="BG97" s="24">
        <v>260</v>
      </c>
      <c r="BH97" s="34" t="s">
        <v>102</v>
      </c>
      <c r="BI97" s="49" t="s">
        <v>5</v>
      </c>
      <c r="BJ97" s="22" t="s">
        <v>12</v>
      </c>
      <c r="BK97" s="22" t="s">
        <v>15</v>
      </c>
      <c r="BL97" s="23" t="s">
        <v>19</v>
      </c>
      <c r="BM97" s="24">
        <v>160</v>
      </c>
      <c r="BN97" s="34" t="s">
        <v>196</v>
      </c>
      <c r="BO97" s="49" t="s">
        <v>5</v>
      </c>
      <c r="BP97" s="22" t="s">
        <v>12</v>
      </c>
      <c r="BQ97" s="22" t="s">
        <v>15</v>
      </c>
      <c r="BR97" s="23" t="s">
        <v>19</v>
      </c>
      <c r="BS97" s="24">
        <v>230</v>
      </c>
      <c r="BT97" s="34" t="s">
        <v>33</v>
      </c>
    </row>
    <row r="98" spans="1:72" ht="12" customHeight="1" x14ac:dyDescent="0.15">
      <c r="A98" s="49" t="s">
        <v>5</v>
      </c>
      <c r="B98" s="22" t="s">
        <v>12</v>
      </c>
      <c r="C98" s="22" t="s">
        <v>15</v>
      </c>
      <c r="D98" s="23" t="s">
        <v>0</v>
      </c>
      <c r="E98" s="24">
        <v>540</v>
      </c>
      <c r="F98" s="35" t="s">
        <v>154</v>
      </c>
      <c r="G98" s="49" t="s">
        <v>5</v>
      </c>
      <c r="H98" s="22" t="s">
        <v>12</v>
      </c>
      <c r="I98" s="22" t="s">
        <v>15</v>
      </c>
      <c r="J98" s="23" t="s">
        <v>0</v>
      </c>
      <c r="K98" s="24">
        <v>680</v>
      </c>
      <c r="L98" s="35" t="s">
        <v>94</v>
      </c>
      <c r="M98" s="49" t="s">
        <v>5</v>
      </c>
      <c r="N98" s="22" t="s">
        <v>12</v>
      </c>
      <c r="O98" s="22" t="s">
        <v>15</v>
      </c>
      <c r="P98" s="23" t="s">
        <v>0</v>
      </c>
      <c r="Q98" s="24">
        <v>670</v>
      </c>
      <c r="R98" s="35" t="s">
        <v>136</v>
      </c>
      <c r="S98" s="49" t="s">
        <v>5</v>
      </c>
      <c r="T98" s="22" t="s">
        <v>12</v>
      </c>
      <c r="U98" s="22" t="s">
        <v>15</v>
      </c>
      <c r="V98" s="23" t="s">
        <v>0</v>
      </c>
      <c r="W98" s="24">
        <v>463</v>
      </c>
      <c r="X98" s="35" t="s">
        <v>164</v>
      </c>
      <c r="Y98" s="49" t="s">
        <v>5</v>
      </c>
      <c r="Z98" s="22" t="s">
        <v>12</v>
      </c>
      <c r="AA98" s="22" t="s">
        <v>15</v>
      </c>
      <c r="AB98" s="23" t="s">
        <v>0</v>
      </c>
      <c r="AC98" s="24">
        <v>463</v>
      </c>
      <c r="AD98" s="35" t="s">
        <v>168</v>
      </c>
      <c r="AE98" s="49" t="s">
        <v>5</v>
      </c>
      <c r="AF98" s="22" t="s">
        <v>12</v>
      </c>
      <c r="AG98" s="22" t="s">
        <v>15</v>
      </c>
      <c r="AH98" s="23" t="s">
        <v>0</v>
      </c>
      <c r="AI98" s="24">
        <v>920</v>
      </c>
      <c r="AJ98" s="35" t="s">
        <v>101</v>
      </c>
      <c r="AK98" s="49" t="s">
        <v>5</v>
      </c>
      <c r="AL98" s="22" t="s">
        <v>12</v>
      </c>
      <c r="AM98" s="22" t="s">
        <v>15</v>
      </c>
      <c r="AN98" s="23" t="s">
        <v>0</v>
      </c>
      <c r="AO98" s="24">
        <v>553</v>
      </c>
      <c r="AP98" s="35" t="s">
        <v>79</v>
      </c>
      <c r="AQ98" s="49" t="s">
        <v>5</v>
      </c>
      <c r="AR98" s="22" t="s">
        <v>12</v>
      </c>
      <c r="AS98" s="22" t="s">
        <v>15</v>
      </c>
      <c r="AT98" s="23" t="s">
        <v>0</v>
      </c>
      <c r="AU98" s="24">
        <v>428</v>
      </c>
      <c r="AV98" s="35" t="s">
        <v>73</v>
      </c>
      <c r="AW98" s="49" t="s">
        <v>5</v>
      </c>
      <c r="AX98" s="22" t="s">
        <v>12</v>
      </c>
      <c r="AY98" s="22" t="s">
        <v>15</v>
      </c>
      <c r="AZ98" s="23" t="s">
        <v>0</v>
      </c>
      <c r="BA98" s="24">
        <v>451</v>
      </c>
      <c r="BB98" s="35" t="s">
        <v>187</v>
      </c>
      <c r="BC98" s="49" t="s">
        <v>5</v>
      </c>
      <c r="BD98" s="22" t="s">
        <v>12</v>
      </c>
      <c r="BE98" s="22" t="s">
        <v>15</v>
      </c>
      <c r="BF98" s="23" t="s">
        <v>0</v>
      </c>
      <c r="BG98" s="24">
        <v>301</v>
      </c>
      <c r="BH98" s="35" t="s">
        <v>102</v>
      </c>
      <c r="BI98" s="49" t="s">
        <v>5</v>
      </c>
      <c r="BJ98" s="22" t="s">
        <v>12</v>
      </c>
      <c r="BK98" s="22" t="s">
        <v>15</v>
      </c>
      <c r="BL98" s="23" t="s">
        <v>0</v>
      </c>
      <c r="BM98" s="24">
        <v>184</v>
      </c>
      <c r="BN98" s="35" t="s">
        <v>196</v>
      </c>
      <c r="BO98" s="49" t="s">
        <v>5</v>
      </c>
      <c r="BP98" s="22" t="s">
        <v>12</v>
      </c>
      <c r="BQ98" s="22" t="s">
        <v>15</v>
      </c>
      <c r="BR98" s="23" t="s">
        <v>0</v>
      </c>
      <c r="BS98" s="24">
        <v>266</v>
      </c>
      <c r="BT98" s="35" t="s">
        <v>33</v>
      </c>
    </row>
    <row r="99" spans="1:72" ht="12" customHeight="1" x14ac:dyDescent="0.15">
      <c r="A99" s="49" t="s">
        <v>5</v>
      </c>
      <c r="B99" s="22" t="s">
        <v>10</v>
      </c>
      <c r="C99" s="22" t="s">
        <v>16</v>
      </c>
      <c r="D99" s="23" t="s">
        <v>18</v>
      </c>
      <c r="E99" s="23">
        <v>100</v>
      </c>
      <c r="F99" s="21" t="s">
        <v>154</v>
      </c>
      <c r="G99" s="49" t="s">
        <v>5</v>
      </c>
      <c r="H99" s="22" t="s">
        <v>10</v>
      </c>
      <c r="I99" s="22" t="s">
        <v>16</v>
      </c>
      <c r="J99" s="23" t="s">
        <v>18</v>
      </c>
      <c r="K99" s="24">
        <v>87</v>
      </c>
      <c r="L99" s="21" t="s">
        <v>110</v>
      </c>
      <c r="M99" s="49" t="s">
        <v>5</v>
      </c>
      <c r="N99" s="22" t="s">
        <v>10</v>
      </c>
      <c r="O99" s="22" t="s">
        <v>16</v>
      </c>
      <c r="P99" s="23" t="s">
        <v>18</v>
      </c>
      <c r="Q99" s="24">
        <v>63</v>
      </c>
      <c r="R99" s="21" t="s">
        <v>159</v>
      </c>
      <c r="S99" s="49" t="s">
        <v>5</v>
      </c>
      <c r="T99" s="22" t="s">
        <v>10</v>
      </c>
      <c r="U99" s="22" t="s">
        <v>16</v>
      </c>
      <c r="V99" s="23" t="s">
        <v>18</v>
      </c>
      <c r="W99" s="24">
        <v>48</v>
      </c>
      <c r="X99" s="21" t="s">
        <v>165</v>
      </c>
      <c r="Y99" s="49" t="s">
        <v>5</v>
      </c>
      <c r="Z99" s="22" t="s">
        <v>10</v>
      </c>
      <c r="AA99" s="22" t="s">
        <v>16</v>
      </c>
      <c r="AB99" s="23" t="s">
        <v>18</v>
      </c>
      <c r="AC99" s="24">
        <v>55</v>
      </c>
      <c r="AD99" s="21" t="s">
        <v>169</v>
      </c>
      <c r="AE99" s="49" t="s">
        <v>5</v>
      </c>
      <c r="AF99" s="22" t="s">
        <v>10</v>
      </c>
      <c r="AG99" s="22" t="s">
        <v>16</v>
      </c>
      <c r="AH99" s="23" t="s">
        <v>18</v>
      </c>
      <c r="AI99" s="24">
        <v>50</v>
      </c>
      <c r="AJ99" s="21" t="s">
        <v>172</v>
      </c>
      <c r="AK99" s="49" t="s">
        <v>5</v>
      </c>
      <c r="AL99" s="22" t="s">
        <v>10</v>
      </c>
      <c r="AM99" s="22" t="s">
        <v>16</v>
      </c>
      <c r="AN99" s="23" t="s">
        <v>18</v>
      </c>
      <c r="AO99" s="24">
        <v>35</v>
      </c>
      <c r="AP99" s="21" t="s">
        <v>176</v>
      </c>
      <c r="AQ99" s="49" t="s">
        <v>5</v>
      </c>
      <c r="AR99" s="22" t="s">
        <v>10</v>
      </c>
      <c r="AS99" s="22" t="s">
        <v>16</v>
      </c>
      <c r="AT99" s="23" t="s">
        <v>18</v>
      </c>
      <c r="AU99" s="24">
        <v>32</v>
      </c>
      <c r="AV99" s="21" t="s">
        <v>184</v>
      </c>
      <c r="AW99" s="49" t="s">
        <v>5</v>
      </c>
      <c r="AX99" s="22" t="s">
        <v>10</v>
      </c>
      <c r="AY99" s="22" t="s">
        <v>16</v>
      </c>
      <c r="AZ99" s="23" t="s">
        <v>18</v>
      </c>
      <c r="BA99" s="24">
        <v>28</v>
      </c>
      <c r="BB99" s="21" t="s">
        <v>188</v>
      </c>
      <c r="BC99" s="49" t="s">
        <v>5</v>
      </c>
      <c r="BD99" s="22" t="s">
        <v>10</v>
      </c>
      <c r="BE99" s="22" t="s">
        <v>16</v>
      </c>
      <c r="BF99" s="23" t="s">
        <v>18</v>
      </c>
      <c r="BG99" s="24">
        <v>31</v>
      </c>
      <c r="BH99" s="21" t="s">
        <v>192</v>
      </c>
      <c r="BI99" s="49" t="s">
        <v>5</v>
      </c>
      <c r="BJ99" s="22" t="s">
        <v>10</v>
      </c>
      <c r="BK99" s="22" t="s">
        <v>16</v>
      </c>
      <c r="BL99" s="23" t="s">
        <v>18</v>
      </c>
      <c r="BM99" s="24">
        <v>26</v>
      </c>
      <c r="BN99" s="21" t="s">
        <v>197</v>
      </c>
      <c r="BO99" s="49" t="s">
        <v>5</v>
      </c>
      <c r="BP99" s="22" t="s">
        <v>10</v>
      </c>
      <c r="BQ99" s="22" t="s">
        <v>16</v>
      </c>
      <c r="BR99" s="23" t="s">
        <v>18</v>
      </c>
      <c r="BS99" s="24">
        <v>28</v>
      </c>
      <c r="BT99" s="21" t="s">
        <v>23</v>
      </c>
    </row>
    <row r="100" spans="1:72" ht="12" customHeight="1" x14ac:dyDescent="0.15">
      <c r="A100" s="49" t="s">
        <v>5</v>
      </c>
      <c r="B100" s="22" t="s">
        <v>10</v>
      </c>
      <c r="C100" s="22" t="s">
        <v>16</v>
      </c>
      <c r="D100" s="23" t="s">
        <v>19</v>
      </c>
      <c r="E100" s="23">
        <v>500</v>
      </c>
      <c r="F100" s="34" t="s">
        <v>154</v>
      </c>
      <c r="G100" s="49" t="s">
        <v>5</v>
      </c>
      <c r="H100" s="22" t="s">
        <v>10</v>
      </c>
      <c r="I100" s="22" t="s">
        <v>16</v>
      </c>
      <c r="J100" s="23" t="s">
        <v>19</v>
      </c>
      <c r="K100" s="24">
        <v>460</v>
      </c>
      <c r="L100" s="34" t="s">
        <v>110</v>
      </c>
      <c r="M100" s="49" t="s">
        <v>5</v>
      </c>
      <c r="N100" s="22" t="s">
        <v>10</v>
      </c>
      <c r="O100" s="22" t="s">
        <v>16</v>
      </c>
      <c r="P100" s="23" t="s">
        <v>19</v>
      </c>
      <c r="Q100" s="24">
        <v>310</v>
      </c>
      <c r="R100" s="34" t="s">
        <v>159</v>
      </c>
      <c r="S100" s="49" t="s">
        <v>5</v>
      </c>
      <c r="T100" s="22" t="s">
        <v>10</v>
      </c>
      <c r="U100" s="22" t="s">
        <v>16</v>
      </c>
      <c r="V100" s="23" t="s">
        <v>19</v>
      </c>
      <c r="W100" s="24">
        <v>270</v>
      </c>
      <c r="X100" s="34" t="s">
        <v>165</v>
      </c>
      <c r="Y100" s="49" t="s">
        <v>5</v>
      </c>
      <c r="Z100" s="22" t="s">
        <v>10</v>
      </c>
      <c r="AA100" s="22" t="s">
        <v>16</v>
      </c>
      <c r="AB100" s="23" t="s">
        <v>19</v>
      </c>
      <c r="AC100" s="23">
        <v>290</v>
      </c>
      <c r="AD100" s="34" t="s">
        <v>169</v>
      </c>
      <c r="AE100" s="49" t="s">
        <v>5</v>
      </c>
      <c r="AF100" s="22" t="s">
        <v>10</v>
      </c>
      <c r="AG100" s="22" t="s">
        <v>16</v>
      </c>
      <c r="AH100" s="23" t="s">
        <v>19</v>
      </c>
      <c r="AI100" s="24">
        <v>270</v>
      </c>
      <c r="AJ100" s="34" t="s">
        <v>172</v>
      </c>
      <c r="AK100" s="49" t="s">
        <v>5</v>
      </c>
      <c r="AL100" s="22" t="s">
        <v>10</v>
      </c>
      <c r="AM100" s="22" t="s">
        <v>16</v>
      </c>
      <c r="AN100" s="23" t="s">
        <v>19</v>
      </c>
      <c r="AO100" s="23">
        <v>200</v>
      </c>
      <c r="AP100" s="34" t="s">
        <v>176</v>
      </c>
      <c r="AQ100" s="49" t="s">
        <v>5</v>
      </c>
      <c r="AR100" s="22" t="s">
        <v>10</v>
      </c>
      <c r="AS100" s="22" t="s">
        <v>16</v>
      </c>
      <c r="AT100" s="23" t="s">
        <v>19</v>
      </c>
      <c r="AU100" s="23">
        <v>190</v>
      </c>
      <c r="AV100" s="34" t="s">
        <v>184</v>
      </c>
      <c r="AW100" s="49" t="s">
        <v>5</v>
      </c>
      <c r="AX100" s="22" t="s">
        <v>10</v>
      </c>
      <c r="AY100" s="22" t="s">
        <v>16</v>
      </c>
      <c r="AZ100" s="23" t="s">
        <v>19</v>
      </c>
      <c r="BA100" s="24">
        <v>170</v>
      </c>
      <c r="BB100" s="34" t="s">
        <v>188</v>
      </c>
      <c r="BC100" s="49" t="s">
        <v>5</v>
      </c>
      <c r="BD100" s="22" t="s">
        <v>10</v>
      </c>
      <c r="BE100" s="22" t="s">
        <v>16</v>
      </c>
      <c r="BF100" s="23" t="s">
        <v>19</v>
      </c>
      <c r="BG100" s="23">
        <v>200</v>
      </c>
      <c r="BH100" s="34" t="s">
        <v>192</v>
      </c>
      <c r="BI100" s="49" t="s">
        <v>5</v>
      </c>
      <c r="BJ100" s="22" t="s">
        <v>10</v>
      </c>
      <c r="BK100" s="22" t="s">
        <v>16</v>
      </c>
      <c r="BL100" s="23" t="s">
        <v>19</v>
      </c>
      <c r="BM100" s="24">
        <v>180</v>
      </c>
      <c r="BN100" s="34" t="s">
        <v>197</v>
      </c>
      <c r="BO100" s="49" t="s">
        <v>5</v>
      </c>
      <c r="BP100" s="22" t="s">
        <v>10</v>
      </c>
      <c r="BQ100" s="22" t="s">
        <v>16</v>
      </c>
      <c r="BR100" s="23" t="s">
        <v>19</v>
      </c>
      <c r="BS100" s="24">
        <v>160</v>
      </c>
      <c r="BT100" s="34" t="s">
        <v>23</v>
      </c>
    </row>
    <row r="101" spans="1:72" ht="12" customHeight="1" x14ac:dyDescent="0.15">
      <c r="A101" s="49" t="s">
        <v>5</v>
      </c>
      <c r="B101" s="22" t="s">
        <v>10</v>
      </c>
      <c r="C101" s="22" t="s">
        <v>16</v>
      </c>
      <c r="D101" s="23" t="s">
        <v>0</v>
      </c>
      <c r="E101" s="24">
        <v>600</v>
      </c>
      <c r="F101" s="35" t="s">
        <v>154</v>
      </c>
      <c r="G101" s="49" t="s">
        <v>5</v>
      </c>
      <c r="H101" s="22" t="s">
        <v>10</v>
      </c>
      <c r="I101" s="22" t="s">
        <v>16</v>
      </c>
      <c r="J101" s="23" t="s">
        <v>0</v>
      </c>
      <c r="K101" s="24">
        <v>547</v>
      </c>
      <c r="L101" s="35" t="s">
        <v>110</v>
      </c>
      <c r="M101" s="49" t="s">
        <v>5</v>
      </c>
      <c r="N101" s="22" t="s">
        <v>10</v>
      </c>
      <c r="O101" s="22" t="s">
        <v>16</v>
      </c>
      <c r="P101" s="23" t="s">
        <v>0</v>
      </c>
      <c r="Q101" s="24">
        <v>373</v>
      </c>
      <c r="R101" s="35" t="s">
        <v>159</v>
      </c>
      <c r="S101" s="49" t="s">
        <v>5</v>
      </c>
      <c r="T101" s="22" t="s">
        <v>10</v>
      </c>
      <c r="U101" s="22" t="s">
        <v>16</v>
      </c>
      <c r="V101" s="23" t="s">
        <v>0</v>
      </c>
      <c r="W101" s="24">
        <v>318</v>
      </c>
      <c r="X101" s="35" t="s">
        <v>165</v>
      </c>
      <c r="Y101" s="49" t="s">
        <v>5</v>
      </c>
      <c r="Z101" s="22" t="s">
        <v>10</v>
      </c>
      <c r="AA101" s="22" t="s">
        <v>16</v>
      </c>
      <c r="AB101" s="23" t="s">
        <v>0</v>
      </c>
      <c r="AC101" s="24">
        <v>345</v>
      </c>
      <c r="AD101" s="35" t="s">
        <v>169</v>
      </c>
      <c r="AE101" s="49" t="s">
        <v>5</v>
      </c>
      <c r="AF101" s="22" t="s">
        <v>10</v>
      </c>
      <c r="AG101" s="22" t="s">
        <v>16</v>
      </c>
      <c r="AH101" s="23" t="s">
        <v>0</v>
      </c>
      <c r="AI101" s="24">
        <v>320</v>
      </c>
      <c r="AJ101" s="35" t="s">
        <v>172</v>
      </c>
      <c r="AK101" s="49" t="s">
        <v>5</v>
      </c>
      <c r="AL101" s="22" t="s">
        <v>10</v>
      </c>
      <c r="AM101" s="22" t="s">
        <v>16</v>
      </c>
      <c r="AN101" s="23" t="s">
        <v>0</v>
      </c>
      <c r="AO101" s="24">
        <v>235</v>
      </c>
      <c r="AP101" s="35" t="s">
        <v>176</v>
      </c>
      <c r="AQ101" s="49" t="s">
        <v>5</v>
      </c>
      <c r="AR101" s="22" t="s">
        <v>10</v>
      </c>
      <c r="AS101" s="22" t="s">
        <v>16</v>
      </c>
      <c r="AT101" s="23" t="s">
        <v>0</v>
      </c>
      <c r="AU101" s="24">
        <v>222</v>
      </c>
      <c r="AV101" s="35" t="s">
        <v>184</v>
      </c>
      <c r="AW101" s="49" t="s">
        <v>5</v>
      </c>
      <c r="AX101" s="22" t="s">
        <v>10</v>
      </c>
      <c r="AY101" s="22" t="s">
        <v>16</v>
      </c>
      <c r="AZ101" s="23" t="s">
        <v>0</v>
      </c>
      <c r="BA101" s="24">
        <v>198</v>
      </c>
      <c r="BB101" s="35" t="s">
        <v>188</v>
      </c>
      <c r="BC101" s="49" t="s">
        <v>5</v>
      </c>
      <c r="BD101" s="22" t="s">
        <v>10</v>
      </c>
      <c r="BE101" s="22" t="s">
        <v>16</v>
      </c>
      <c r="BF101" s="23" t="s">
        <v>0</v>
      </c>
      <c r="BG101" s="24">
        <v>231</v>
      </c>
      <c r="BH101" s="35" t="s">
        <v>192</v>
      </c>
      <c r="BI101" s="49" t="s">
        <v>5</v>
      </c>
      <c r="BJ101" s="22" t="s">
        <v>10</v>
      </c>
      <c r="BK101" s="22" t="s">
        <v>16</v>
      </c>
      <c r="BL101" s="23" t="s">
        <v>0</v>
      </c>
      <c r="BM101" s="24">
        <v>206</v>
      </c>
      <c r="BN101" s="35" t="s">
        <v>197</v>
      </c>
      <c r="BO101" s="49" t="s">
        <v>5</v>
      </c>
      <c r="BP101" s="22" t="s">
        <v>10</v>
      </c>
      <c r="BQ101" s="22" t="s">
        <v>16</v>
      </c>
      <c r="BR101" s="23" t="s">
        <v>0</v>
      </c>
      <c r="BS101" s="24">
        <v>188</v>
      </c>
      <c r="BT101" s="35" t="s">
        <v>23</v>
      </c>
    </row>
    <row r="102" spans="1:72" ht="12" customHeight="1" x14ac:dyDescent="0.15">
      <c r="A102" s="49" t="s">
        <v>5</v>
      </c>
      <c r="B102" s="22" t="s">
        <v>21</v>
      </c>
      <c r="C102" s="22" t="s">
        <v>8</v>
      </c>
      <c r="D102" s="23" t="s">
        <v>18</v>
      </c>
      <c r="E102" s="27">
        <v>1.1000000000000001</v>
      </c>
      <c r="F102" s="21" t="s">
        <v>24</v>
      </c>
      <c r="G102" s="49" t="s">
        <v>5</v>
      </c>
      <c r="H102" s="22" t="s">
        <v>21</v>
      </c>
      <c r="I102" s="22" t="s">
        <v>8</v>
      </c>
      <c r="J102" s="23" t="s">
        <v>18</v>
      </c>
      <c r="K102" s="23" t="s">
        <v>130</v>
      </c>
      <c r="L102" s="21" t="s">
        <v>110</v>
      </c>
      <c r="M102" s="49" t="s">
        <v>5</v>
      </c>
      <c r="N102" s="22" t="s">
        <v>21</v>
      </c>
      <c r="O102" s="22" t="s">
        <v>8</v>
      </c>
      <c r="P102" s="23" t="s">
        <v>18</v>
      </c>
      <c r="Q102" s="23" t="s">
        <v>130</v>
      </c>
      <c r="R102" s="21" t="s">
        <v>159</v>
      </c>
      <c r="S102" s="49" t="s">
        <v>5</v>
      </c>
      <c r="T102" s="22" t="s">
        <v>21</v>
      </c>
      <c r="U102" s="22" t="s">
        <v>8</v>
      </c>
      <c r="V102" s="23" t="s">
        <v>18</v>
      </c>
      <c r="W102" s="23" t="s">
        <v>130</v>
      </c>
      <c r="X102" s="21" t="s">
        <v>165</v>
      </c>
      <c r="Y102" s="49" t="s">
        <v>5</v>
      </c>
      <c r="Z102" s="22" t="s">
        <v>21</v>
      </c>
      <c r="AA102" s="22" t="s">
        <v>8</v>
      </c>
      <c r="AB102" s="23" t="s">
        <v>18</v>
      </c>
      <c r="AC102" s="24">
        <v>15</v>
      </c>
      <c r="AD102" s="21" t="s">
        <v>169</v>
      </c>
      <c r="AE102" s="49" t="s">
        <v>5</v>
      </c>
      <c r="AF102" s="22" t="s">
        <v>21</v>
      </c>
      <c r="AG102" s="22" t="s">
        <v>8</v>
      </c>
      <c r="AH102" s="23" t="s">
        <v>18</v>
      </c>
      <c r="AI102" s="27">
        <v>1.3</v>
      </c>
      <c r="AJ102" s="21" t="s">
        <v>172</v>
      </c>
      <c r="AK102" s="49" t="s">
        <v>5</v>
      </c>
      <c r="AL102" s="22" t="s">
        <v>21</v>
      </c>
      <c r="AM102" s="22" t="s">
        <v>8</v>
      </c>
      <c r="AN102" s="23" t="s">
        <v>18</v>
      </c>
      <c r="AO102" s="27">
        <v>0.85</v>
      </c>
      <c r="AP102" s="21" t="s">
        <v>176</v>
      </c>
      <c r="AQ102" s="49" t="s">
        <v>5</v>
      </c>
      <c r="AR102" s="22" t="s">
        <v>21</v>
      </c>
      <c r="AS102" s="22" t="s">
        <v>8</v>
      </c>
      <c r="AT102" s="23" t="s">
        <v>18</v>
      </c>
      <c r="AU102" s="23" t="s">
        <v>130</v>
      </c>
      <c r="AV102" s="21" t="s">
        <v>138</v>
      </c>
      <c r="AW102" s="49" t="s">
        <v>5</v>
      </c>
      <c r="AX102" s="22" t="s">
        <v>21</v>
      </c>
      <c r="AY102" s="22" t="s">
        <v>8</v>
      </c>
      <c r="AZ102" s="23" t="s">
        <v>18</v>
      </c>
      <c r="BA102" s="23" t="s">
        <v>130</v>
      </c>
      <c r="BB102" s="21" t="s">
        <v>188</v>
      </c>
      <c r="BC102" s="49" t="s">
        <v>5</v>
      </c>
      <c r="BD102" s="22" t="s">
        <v>21</v>
      </c>
      <c r="BE102" s="22" t="s">
        <v>8</v>
      </c>
      <c r="BF102" s="23" t="s">
        <v>18</v>
      </c>
      <c r="BG102" s="27">
        <v>1.1000000000000001</v>
      </c>
      <c r="BH102" s="21" t="s">
        <v>192</v>
      </c>
      <c r="BI102" s="49" t="s">
        <v>5</v>
      </c>
      <c r="BJ102" s="22" t="s">
        <v>21</v>
      </c>
      <c r="BK102" s="22" t="s">
        <v>8</v>
      </c>
      <c r="BL102" s="23" t="s">
        <v>18</v>
      </c>
      <c r="BM102" s="23" t="s">
        <v>130</v>
      </c>
      <c r="BN102" s="21" t="s">
        <v>197</v>
      </c>
      <c r="BO102" s="49" t="s">
        <v>5</v>
      </c>
      <c r="BP102" s="22" t="s">
        <v>21</v>
      </c>
      <c r="BQ102" s="22" t="s">
        <v>8</v>
      </c>
      <c r="BR102" s="23" t="s">
        <v>18</v>
      </c>
      <c r="BS102" s="27">
        <v>0.88</v>
      </c>
      <c r="BT102" s="21" t="s">
        <v>23</v>
      </c>
    </row>
    <row r="103" spans="1:72" ht="12" customHeight="1" x14ac:dyDescent="0.15">
      <c r="A103" s="49" t="s">
        <v>5</v>
      </c>
      <c r="B103" s="22" t="s">
        <v>21</v>
      </c>
      <c r="C103" s="22" t="s">
        <v>8</v>
      </c>
      <c r="D103" s="23" t="s">
        <v>19</v>
      </c>
      <c r="E103" s="27">
        <v>6.6</v>
      </c>
      <c r="F103" s="34" t="s">
        <v>24</v>
      </c>
      <c r="G103" s="49" t="s">
        <v>5</v>
      </c>
      <c r="H103" s="22" t="s">
        <v>21</v>
      </c>
      <c r="I103" s="22" t="s">
        <v>8</v>
      </c>
      <c r="J103" s="23" t="s">
        <v>19</v>
      </c>
      <c r="K103" s="23" t="s">
        <v>130</v>
      </c>
      <c r="L103" s="34" t="s">
        <v>110</v>
      </c>
      <c r="M103" s="49" t="s">
        <v>5</v>
      </c>
      <c r="N103" s="22" t="s">
        <v>21</v>
      </c>
      <c r="O103" s="22" t="s">
        <v>8</v>
      </c>
      <c r="P103" s="23" t="s">
        <v>19</v>
      </c>
      <c r="Q103" s="27">
        <v>4.3</v>
      </c>
      <c r="R103" s="34" t="s">
        <v>159</v>
      </c>
      <c r="S103" s="49" t="s">
        <v>5</v>
      </c>
      <c r="T103" s="22" t="s">
        <v>21</v>
      </c>
      <c r="U103" s="22" t="s">
        <v>8</v>
      </c>
      <c r="V103" s="23" t="s">
        <v>19</v>
      </c>
      <c r="W103" s="27">
        <v>3.3</v>
      </c>
      <c r="X103" s="34" t="s">
        <v>165</v>
      </c>
      <c r="Y103" s="49" t="s">
        <v>5</v>
      </c>
      <c r="Z103" s="22" t="s">
        <v>21</v>
      </c>
      <c r="AA103" s="22" t="s">
        <v>8</v>
      </c>
      <c r="AB103" s="23" t="s">
        <v>19</v>
      </c>
      <c r="AC103" s="27">
        <v>9.1</v>
      </c>
      <c r="AD103" s="34" t="s">
        <v>169</v>
      </c>
      <c r="AE103" s="49" t="s">
        <v>5</v>
      </c>
      <c r="AF103" s="22" t="s">
        <v>21</v>
      </c>
      <c r="AG103" s="22" t="s">
        <v>8</v>
      </c>
      <c r="AH103" s="23" t="s">
        <v>19</v>
      </c>
      <c r="AI103" s="23">
        <v>7.8</v>
      </c>
      <c r="AJ103" s="34" t="s">
        <v>172</v>
      </c>
      <c r="AK103" s="49" t="s">
        <v>5</v>
      </c>
      <c r="AL103" s="22" t="s">
        <v>21</v>
      </c>
      <c r="AM103" s="22" t="s">
        <v>8</v>
      </c>
      <c r="AN103" s="23" t="s">
        <v>19</v>
      </c>
      <c r="AO103" s="27">
        <v>5.0999999999999996</v>
      </c>
      <c r="AP103" s="34" t="s">
        <v>176</v>
      </c>
      <c r="AQ103" s="49" t="s">
        <v>5</v>
      </c>
      <c r="AR103" s="22" t="s">
        <v>21</v>
      </c>
      <c r="AS103" s="22" t="s">
        <v>8</v>
      </c>
      <c r="AT103" s="23" t="s">
        <v>19</v>
      </c>
      <c r="AU103" s="27">
        <v>5.2</v>
      </c>
      <c r="AV103" s="34" t="s">
        <v>138</v>
      </c>
      <c r="AW103" s="49" t="s">
        <v>5</v>
      </c>
      <c r="AX103" s="22" t="s">
        <v>21</v>
      </c>
      <c r="AY103" s="22" t="s">
        <v>8</v>
      </c>
      <c r="AZ103" s="23" t="s">
        <v>19</v>
      </c>
      <c r="BA103" s="24">
        <v>55</v>
      </c>
      <c r="BB103" s="34" t="s">
        <v>188</v>
      </c>
      <c r="BC103" s="49" t="s">
        <v>5</v>
      </c>
      <c r="BD103" s="22" t="s">
        <v>21</v>
      </c>
      <c r="BE103" s="22" t="s">
        <v>8</v>
      </c>
      <c r="BF103" s="23" t="s">
        <v>19</v>
      </c>
      <c r="BG103" s="24">
        <v>64</v>
      </c>
      <c r="BH103" s="34" t="s">
        <v>192</v>
      </c>
      <c r="BI103" s="49" t="s">
        <v>5</v>
      </c>
      <c r="BJ103" s="22" t="s">
        <v>21</v>
      </c>
      <c r="BK103" s="22" t="s">
        <v>8</v>
      </c>
      <c r="BL103" s="23" t="s">
        <v>19</v>
      </c>
      <c r="BM103" s="27">
        <v>5.6</v>
      </c>
      <c r="BN103" s="34" t="s">
        <v>197</v>
      </c>
      <c r="BO103" s="49" t="s">
        <v>5</v>
      </c>
      <c r="BP103" s="22" t="s">
        <v>21</v>
      </c>
      <c r="BQ103" s="22" t="s">
        <v>8</v>
      </c>
      <c r="BR103" s="23" t="s">
        <v>19</v>
      </c>
      <c r="BS103" s="27">
        <v>6.6</v>
      </c>
      <c r="BT103" s="34" t="s">
        <v>23</v>
      </c>
    </row>
    <row r="104" spans="1:72" ht="12" customHeight="1" x14ac:dyDescent="0.15">
      <c r="A104" s="49" t="s">
        <v>5</v>
      </c>
      <c r="B104" s="22" t="s">
        <v>21</v>
      </c>
      <c r="C104" s="22" t="s">
        <v>8</v>
      </c>
      <c r="D104" s="23" t="s">
        <v>0</v>
      </c>
      <c r="E104" s="23">
        <v>7.7</v>
      </c>
      <c r="F104" s="35" t="s">
        <v>24</v>
      </c>
      <c r="G104" s="49" t="s">
        <v>5</v>
      </c>
      <c r="H104" s="22" t="s">
        <v>21</v>
      </c>
      <c r="I104" s="22" t="s">
        <v>8</v>
      </c>
      <c r="J104" s="23" t="s">
        <v>0</v>
      </c>
      <c r="K104" s="23" t="s">
        <v>130</v>
      </c>
      <c r="L104" s="35" t="s">
        <v>110</v>
      </c>
      <c r="M104" s="49" t="s">
        <v>5</v>
      </c>
      <c r="N104" s="22" t="s">
        <v>21</v>
      </c>
      <c r="O104" s="22" t="s">
        <v>8</v>
      </c>
      <c r="P104" s="23" t="s">
        <v>0</v>
      </c>
      <c r="Q104" s="27">
        <v>4.3</v>
      </c>
      <c r="R104" s="35" t="s">
        <v>159</v>
      </c>
      <c r="S104" s="49" t="s">
        <v>5</v>
      </c>
      <c r="T104" s="22" t="s">
        <v>21</v>
      </c>
      <c r="U104" s="22" t="s">
        <v>8</v>
      </c>
      <c r="V104" s="23" t="s">
        <v>0</v>
      </c>
      <c r="W104" s="27">
        <v>3.3</v>
      </c>
      <c r="X104" s="35" t="s">
        <v>165</v>
      </c>
      <c r="Y104" s="49" t="s">
        <v>5</v>
      </c>
      <c r="Z104" s="22" t="s">
        <v>21</v>
      </c>
      <c r="AA104" s="22" t="s">
        <v>8</v>
      </c>
      <c r="AB104" s="23" t="s">
        <v>0</v>
      </c>
      <c r="AC104" s="23">
        <v>10.6</v>
      </c>
      <c r="AD104" s="35" t="s">
        <v>169</v>
      </c>
      <c r="AE104" s="49" t="s">
        <v>5</v>
      </c>
      <c r="AF104" s="22" t="s">
        <v>21</v>
      </c>
      <c r="AG104" s="22" t="s">
        <v>8</v>
      </c>
      <c r="AH104" s="23" t="s">
        <v>0</v>
      </c>
      <c r="AI104" s="27">
        <v>9.1</v>
      </c>
      <c r="AJ104" s="35" t="s">
        <v>172</v>
      </c>
      <c r="AK104" s="49" t="s">
        <v>5</v>
      </c>
      <c r="AL104" s="22" t="s">
        <v>21</v>
      </c>
      <c r="AM104" s="22" t="s">
        <v>8</v>
      </c>
      <c r="AN104" s="23" t="s">
        <v>0</v>
      </c>
      <c r="AO104" s="27">
        <v>5.95</v>
      </c>
      <c r="AP104" s="35" t="s">
        <v>176</v>
      </c>
      <c r="AQ104" s="49" t="s">
        <v>5</v>
      </c>
      <c r="AR104" s="22" t="s">
        <v>21</v>
      </c>
      <c r="AS104" s="22" t="s">
        <v>8</v>
      </c>
      <c r="AT104" s="23" t="s">
        <v>0</v>
      </c>
      <c r="AU104" s="27">
        <v>5.2</v>
      </c>
      <c r="AV104" s="35" t="s">
        <v>138</v>
      </c>
      <c r="AW104" s="49" t="s">
        <v>5</v>
      </c>
      <c r="AX104" s="22" t="s">
        <v>21</v>
      </c>
      <c r="AY104" s="22" t="s">
        <v>8</v>
      </c>
      <c r="AZ104" s="23" t="s">
        <v>0</v>
      </c>
      <c r="BA104" s="27">
        <v>5.5</v>
      </c>
      <c r="BB104" s="35" t="s">
        <v>188</v>
      </c>
      <c r="BC104" s="49" t="s">
        <v>5</v>
      </c>
      <c r="BD104" s="22" t="s">
        <v>21</v>
      </c>
      <c r="BE104" s="22" t="s">
        <v>8</v>
      </c>
      <c r="BF104" s="23" t="s">
        <v>0</v>
      </c>
      <c r="BG104" s="23">
        <v>7.5</v>
      </c>
      <c r="BH104" s="35" t="s">
        <v>192</v>
      </c>
      <c r="BI104" s="49" t="s">
        <v>5</v>
      </c>
      <c r="BJ104" s="22" t="s">
        <v>21</v>
      </c>
      <c r="BK104" s="22" t="s">
        <v>8</v>
      </c>
      <c r="BL104" s="23" t="s">
        <v>0</v>
      </c>
      <c r="BM104" s="27">
        <v>5.6</v>
      </c>
      <c r="BN104" s="35" t="s">
        <v>197</v>
      </c>
      <c r="BO104" s="49" t="s">
        <v>5</v>
      </c>
      <c r="BP104" s="22" t="s">
        <v>21</v>
      </c>
      <c r="BQ104" s="22" t="s">
        <v>8</v>
      </c>
      <c r="BR104" s="23" t="s">
        <v>0</v>
      </c>
      <c r="BS104" s="27">
        <v>7.48</v>
      </c>
      <c r="BT104" s="35" t="s">
        <v>23</v>
      </c>
    </row>
    <row r="105" spans="1:72" ht="12" customHeight="1" x14ac:dyDescent="0.15">
      <c r="A105" s="49" t="s">
        <v>6</v>
      </c>
      <c r="B105" s="28" t="s">
        <v>12</v>
      </c>
      <c r="C105" s="22" t="s">
        <v>11</v>
      </c>
      <c r="D105" s="23" t="s">
        <v>18</v>
      </c>
      <c r="E105" s="27">
        <v>9.1999999999999993</v>
      </c>
      <c r="F105" s="21" t="s">
        <v>56</v>
      </c>
      <c r="G105" s="49" t="s">
        <v>6</v>
      </c>
      <c r="H105" s="28" t="s">
        <v>12</v>
      </c>
      <c r="I105" s="22" t="s">
        <v>11</v>
      </c>
      <c r="J105" s="23" t="s">
        <v>18</v>
      </c>
      <c r="K105" s="27">
        <v>8.3000000000000007</v>
      </c>
      <c r="L105" s="21" t="s">
        <v>157</v>
      </c>
      <c r="M105" s="49" t="s">
        <v>6</v>
      </c>
      <c r="N105" s="28" t="s">
        <v>12</v>
      </c>
      <c r="O105" s="22" t="s">
        <v>11</v>
      </c>
      <c r="P105" s="23" t="s">
        <v>18</v>
      </c>
      <c r="Q105" s="27">
        <v>9.5</v>
      </c>
      <c r="R105" s="21" t="s">
        <v>160</v>
      </c>
      <c r="S105" s="49" t="s">
        <v>6</v>
      </c>
      <c r="T105" s="28" t="s">
        <v>12</v>
      </c>
      <c r="U105" s="22" t="s">
        <v>11</v>
      </c>
      <c r="V105" s="23" t="s">
        <v>18</v>
      </c>
      <c r="W105" s="27">
        <v>5.7</v>
      </c>
      <c r="X105" s="21" t="s">
        <v>164</v>
      </c>
      <c r="Y105" s="49" t="s">
        <v>6</v>
      </c>
      <c r="Z105" s="28" t="s">
        <v>12</v>
      </c>
      <c r="AA105" s="22" t="s">
        <v>11</v>
      </c>
      <c r="AB105" s="23" t="s">
        <v>18</v>
      </c>
      <c r="AC105" s="27">
        <v>8.1999999999999993</v>
      </c>
      <c r="AD105" s="21" t="s">
        <v>168</v>
      </c>
      <c r="AE105" s="49" t="s">
        <v>6</v>
      </c>
      <c r="AF105" s="28" t="s">
        <v>12</v>
      </c>
      <c r="AG105" s="22" t="s">
        <v>11</v>
      </c>
      <c r="AH105" s="23" t="s">
        <v>18</v>
      </c>
      <c r="AI105" s="27">
        <v>9.8000000000000007</v>
      </c>
      <c r="AJ105" s="21" t="s">
        <v>173</v>
      </c>
      <c r="AK105" s="49" t="s">
        <v>6</v>
      </c>
      <c r="AL105" s="28" t="s">
        <v>12</v>
      </c>
      <c r="AM105" s="22" t="s">
        <v>11</v>
      </c>
      <c r="AN105" s="23" t="s">
        <v>18</v>
      </c>
      <c r="AO105" s="27">
        <v>6.8</v>
      </c>
      <c r="AP105" s="21" t="s">
        <v>177</v>
      </c>
      <c r="AQ105" s="49" t="s">
        <v>6</v>
      </c>
      <c r="AR105" s="28" t="s">
        <v>12</v>
      </c>
      <c r="AS105" s="22" t="s">
        <v>11</v>
      </c>
      <c r="AT105" s="23" t="s">
        <v>18</v>
      </c>
      <c r="AU105" s="24">
        <v>6</v>
      </c>
      <c r="AV105" s="21" t="s">
        <v>139</v>
      </c>
      <c r="AW105" s="49" t="s">
        <v>6</v>
      </c>
      <c r="AX105" s="28" t="s">
        <v>12</v>
      </c>
      <c r="AY105" s="22" t="s">
        <v>11</v>
      </c>
      <c r="AZ105" s="23" t="s">
        <v>18</v>
      </c>
      <c r="BA105" s="27">
        <v>2.7</v>
      </c>
      <c r="BB105" s="21" t="s">
        <v>189</v>
      </c>
      <c r="BC105" s="49" t="s">
        <v>6</v>
      </c>
      <c r="BD105" s="28" t="s">
        <v>12</v>
      </c>
      <c r="BE105" s="22" t="s">
        <v>11</v>
      </c>
      <c r="BF105" s="23" t="s">
        <v>18</v>
      </c>
      <c r="BG105" s="8"/>
      <c r="BH105" s="21" t="s">
        <v>193</v>
      </c>
      <c r="BI105" s="49" t="s">
        <v>6</v>
      </c>
      <c r="BJ105" s="28" t="s">
        <v>12</v>
      </c>
      <c r="BK105" s="22" t="s">
        <v>11</v>
      </c>
      <c r="BL105" s="23" t="s">
        <v>18</v>
      </c>
      <c r="BM105" s="23" t="s">
        <v>130</v>
      </c>
      <c r="BN105" s="21" t="s">
        <v>98</v>
      </c>
      <c r="BO105" s="49" t="s">
        <v>6</v>
      </c>
      <c r="BP105" s="28" t="s">
        <v>12</v>
      </c>
      <c r="BQ105" s="22" t="s">
        <v>11</v>
      </c>
      <c r="BR105" s="23" t="s">
        <v>18</v>
      </c>
      <c r="BS105" s="27">
        <v>2.1</v>
      </c>
      <c r="BT105" s="21" t="s">
        <v>23</v>
      </c>
    </row>
    <row r="106" spans="1:72" ht="12" customHeight="1" x14ac:dyDescent="0.15">
      <c r="A106" s="49" t="s">
        <v>6</v>
      </c>
      <c r="B106" s="28" t="s">
        <v>12</v>
      </c>
      <c r="C106" s="22" t="s">
        <v>11</v>
      </c>
      <c r="D106" s="23" t="s">
        <v>19</v>
      </c>
      <c r="E106" s="24">
        <v>63</v>
      </c>
      <c r="F106" s="34" t="s">
        <v>56</v>
      </c>
      <c r="G106" s="49" t="s">
        <v>6</v>
      </c>
      <c r="H106" s="28" t="s">
        <v>12</v>
      </c>
      <c r="I106" s="22" t="s">
        <v>11</v>
      </c>
      <c r="J106" s="23" t="s">
        <v>19</v>
      </c>
      <c r="K106" s="24">
        <v>64</v>
      </c>
      <c r="L106" s="34" t="s">
        <v>157</v>
      </c>
      <c r="M106" s="49" t="s">
        <v>6</v>
      </c>
      <c r="N106" s="28" t="s">
        <v>12</v>
      </c>
      <c r="O106" s="22" t="s">
        <v>11</v>
      </c>
      <c r="P106" s="23" t="s">
        <v>19</v>
      </c>
      <c r="Q106" s="24">
        <v>74</v>
      </c>
      <c r="R106" s="34" t="s">
        <v>160</v>
      </c>
      <c r="S106" s="49" t="s">
        <v>6</v>
      </c>
      <c r="T106" s="28" t="s">
        <v>12</v>
      </c>
      <c r="U106" s="22" t="s">
        <v>11</v>
      </c>
      <c r="V106" s="23" t="s">
        <v>19</v>
      </c>
      <c r="W106" s="24">
        <v>42</v>
      </c>
      <c r="X106" s="34" t="s">
        <v>164</v>
      </c>
      <c r="Y106" s="49" t="s">
        <v>6</v>
      </c>
      <c r="Z106" s="28" t="s">
        <v>12</v>
      </c>
      <c r="AA106" s="22" t="s">
        <v>11</v>
      </c>
      <c r="AB106" s="23" t="s">
        <v>19</v>
      </c>
      <c r="AC106" s="24">
        <v>66</v>
      </c>
      <c r="AD106" s="34" t="s">
        <v>168</v>
      </c>
      <c r="AE106" s="49" t="s">
        <v>6</v>
      </c>
      <c r="AF106" s="28" t="s">
        <v>12</v>
      </c>
      <c r="AG106" s="22" t="s">
        <v>11</v>
      </c>
      <c r="AH106" s="23" t="s">
        <v>19</v>
      </c>
      <c r="AI106" s="24">
        <v>95</v>
      </c>
      <c r="AJ106" s="34" t="s">
        <v>173</v>
      </c>
      <c r="AK106" s="49" t="s">
        <v>6</v>
      </c>
      <c r="AL106" s="28" t="s">
        <v>12</v>
      </c>
      <c r="AM106" s="22" t="s">
        <v>11</v>
      </c>
      <c r="AN106" s="23" t="s">
        <v>19</v>
      </c>
      <c r="AO106" s="24">
        <v>49</v>
      </c>
      <c r="AP106" s="34" t="s">
        <v>177</v>
      </c>
      <c r="AQ106" s="49" t="s">
        <v>6</v>
      </c>
      <c r="AR106" s="28" t="s">
        <v>12</v>
      </c>
      <c r="AS106" s="22" t="s">
        <v>11</v>
      </c>
      <c r="AT106" s="23" t="s">
        <v>19</v>
      </c>
      <c r="AU106" s="24">
        <v>54</v>
      </c>
      <c r="AV106" s="34" t="s">
        <v>139</v>
      </c>
      <c r="AW106" s="49" t="s">
        <v>6</v>
      </c>
      <c r="AX106" s="28" t="s">
        <v>12</v>
      </c>
      <c r="AY106" s="22" t="s">
        <v>11</v>
      </c>
      <c r="AZ106" s="23" t="s">
        <v>19</v>
      </c>
      <c r="BA106" s="24">
        <v>19</v>
      </c>
      <c r="BB106" s="34" t="s">
        <v>189</v>
      </c>
      <c r="BC106" s="49" t="s">
        <v>6</v>
      </c>
      <c r="BD106" s="28" t="s">
        <v>12</v>
      </c>
      <c r="BE106" s="22" t="s">
        <v>11</v>
      </c>
      <c r="BF106" s="23" t="s">
        <v>19</v>
      </c>
      <c r="BG106" s="24">
        <v>25</v>
      </c>
      <c r="BH106" s="34" t="s">
        <v>193</v>
      </c>
      <c r="BI106" s="49" t="s">
        <v>6</v>
      </c>
      <c r="BJ106" s="28" t="s">
        <v>12</v>
      </c>
      <c r="BK106" s="22" t="s">
        <v>11</v>
      </c>
      <c r="BL106" s="23" t="s">
        <v>19</v>
      </c>
      <c r="BM106" s="24">
        <v>10</v>
      </c>
      <c r="BN106" s="34" t="s">
        <v>98</v>
      </c>
      <c r="BO106" s="49" t="s">
        <v>6</v>
      </c>
      <c r="BP106" s="28" t="s">
        <v>12</v>
      </c>
      <c r="BQ106" s="22" t="s">
        <v>11</v>
      </c>
      <c r="BR106" s="23" t="s">
        <v>19</v>
      </c>
      <c r="BS106" s="24">
        <v>18</v>
      </c>
      <c r="BT106" s="34" t="s">
        <v>23</v>
      </c>
    </row>
    <row r="107" spans="1:72" ht="12" customHeight="1" x14ac:dyDescent="0.15">
      <c r="A107" s="49" t="s">
        <v>6</v>
      </c>
      <c r="B107" s="28" t="s">
        <v>12</v>
      </c>
      <c r="C107" s="22" t="s">
        <v>11</v>
      </c>
      <c r="D107" s="23" t="s">
        <v>0</v>
      </c>
      <c r="E107" s="27">
        <v>72.2</v>
      </c>
      <c r="F107" s="35" t="s">
        <v>56</v>
      </c>
      <c r="G107" s="49" t="s">
        <v>6</v>
      </c>
      <c r="H107" s="28" t="s">
        <v>12</v>
      </c>
      <c r="I107" s="22" t="s">
        <v>11</v>
      </c>
      <c r="J107" s="23" t="s">
        <v>0</v>
      </c>
      <c r="K107" s="27">
        <v>72.3</v>
      </c>
      <c r="L107" s="35" t="s">
        <v>157</v>
      </c>
      <c r="M107" s="49" t="s">
        <v>6</v>
      </c>
      <c r="N107" s="28" t="s">
        <v>12</v>
      </c>
      <c r="O107" s="22" t="s">
        <v>11</v>
      </c>
      <c r="P107" s="23" t="s">
        <v>0</v>
      </c>
      <c r="Q107" s="27">
        <v>83.5</v>
      </c>
      <c r="R107" s="35" t="s">
        <v>160</v>
      </c>
      <c r="S107" s="49" t="s">
        <v>6</v>
      </c>
      <c r="T107" s="28" t="s">
        <v>12</v>
      </c>
      <c r="U107" s="22" t="s">
        <v>11</v>
      </c>
      <c r="V107" s="23" t="s">
        <v>0</v>
      </c>
      <c r="W107" s="27">
        <v>47.7</v>
      </c>
      <c r="X107" s="35" t="s">
        <v>164</v>
      </c>
      <c r="Y107" s="49" t="s">
        <v>6</v>
      </c>
      <c r="Z107" s="28" t="s">
        <v>12</v>
      </c>
      <c r="AA107" s="22" t="s">
        <v>11</v>
      </c>
      <c r="AB107" s="23" t="s">
        <v>0</v>
      </c>
      <c r="AC107" s="27">
        <v>74.2</v>
      </c>
      <c r="AD107" s="35" t="s">
        <v>168</v>
      </c>
      <c r="AE107" s="49" t="s">
        <v>6</v>
      </c>
      <c r="AF107" s="28" t="s">
        <v>12</v>
      </c>
      <c r="AG107" s="22" t="s">
        <v>11</v>
      </c>
      <c r="AH107" s="23" t="s">
        <v>0</v>
      </c>
      <c r="AI107" s="45">
        <v>104.8</v>
      </c>
      <c r="AJ107" s="35" t="s">
        <v>173</v>
      </c>
      <c r="AK107" s="49" t="s">
        <v>6</v>
      </c>
      <c r="AL107" s="28" t="s">
        <v>12</v>
      </c>
      <c r="AM107" s="22" t="s">
        <v>11</v>
      </c>
      <c r="AN107" s="23" t="s">
        <v>0</v>
      </c>
      <c r="AO107" s="27">
        <v>55.8</v>
      </c>
      <c r="AP107" s="35" t="s">
        <v>177</v>
      </c>
      <c r="AQ107" s="49" t="s">
        <v>6</v>
      </c>
      <c r="AR107" s="28" t="s">
        <v>12</v>
      </c>
      <c r="AS107" s="22" t="s">
        <v>11</v>
      </c>
      <c r="AT107" s="23" t="s">
        <v>0</v>
      </c>
      <c r="AU107" s="24">
        <v>60</v>
      </c>
      <c r="AV107" s="35" t="s">
        <v>139</v>
      </c>
      <c r="AW107" s="49" t="s">
        <v>6</v>
      </c>
      <c r="AX107" s="28" t="s">
        <v>12</v>
      </c>
      <c r="AY107" s="22" t="s">
        <v>11</v>
      </c>
      <c r="AZ107" s="23" t="s">
        <v>0</v>
      </c>
      <c r="BA107" s="27">
        <v>21.7</v>
      </c>
      <c r="BB107" s="35" t="s">
        <v>189</v>
      </c>
      <c r="BC107" s="49" t="s">
        <v>6</v>
      </c>
      <c r="BD107" s="28" t="s">
        <v>12</v>
      </c>
      <c r="BE107" s="22" t="s">
        <v>11</v>
      </c>
      <c r="BF107" s="23" t="s">
        <v>0</v>
      </c>
      <c r="BG107" s="24">
        <v>25</v>
      </c>
      <c r="BH107" s="35" t="s">
        <v>193</v>
      </c>
      <c r="BI107" s="49" t="s">
        <v>6</v>
      </c>
      <c r="BJ107" s="28" t="s">
        <v>12</v>
      </c>
      <c r="BK107" s="22" t="s">
        <v>11</v>
      </c>
      <c r="BL107" s="23" t="s">
        <v>0</v>
      </c>
      <c r="BM107" s="24">
        <v>10</v>
      </c>
      <c r="BN107" s="35" t="s">
        <v>98</v>
      </c>
      <c r="BO107" s="49" t="s">
        <v>6</v>
      </c>
      <c r="BP107" s="28" t="s">
        <v>12</v>
      </c>
      <c r="BQ107" s="22" t="s">
        <v>11</v>
      </c>
      <c r="BR107" s="23" t="s">
        <v>0</v>
      </c>
      <c r="BS107" s="27">
        <v>20.100000000000001</v>
      </c>
      <c r="BT107" s="35" t="s">
        <v>23</v>
      </c>
    </row>
    <row r="108" spans="1:72" ht="12" customHeight="1" x14ac:dyDescent="0.15">
      <c r="A108" s="49" t="s">
        <v>6</v>
      </c>
      <c r="B108" s="28" t="s">
        <v>12</v>
      </c>
      <c r="C108" s="22" t="s">
        <v>15</v>
      </c>
      <c r="D108" s="23" t="s">
        <v>18</v>
      </c>
      <c r="E108" s="24">
        <v>43</v>
      </c>
      <c r="F108" s="21" t="s">
        <v>56</v>
      </c>
      <c r="G108" s="49" t="s">
        <v>6</v>
      </c>
      <c r="H108" s="28" t="s">
        <v>12</v>
      </c>
      <c r="I108" s="22" t="s">
        <v>15</v>
      </c>
      <c r="J108" s="23" t="s">
        <v>18</v>
      </c>
      <c r="K108" s="24">
        <v>48</v>
      </c>
      <c r="L108" s="21" t="s">
        <v>157</v>
      </c>
      <c r="M108" s="49" t="s">
        <v>6</v>
      </c>
      <c r="N108" s="28" t="s">
        <v>12</v>
      </c>
      <c r="O108" s="22" t="s">
        <v>15</v>
      </c>
      <c r="P108" s="23" t="s">
        <v>18</v>
      </c>
      <c r="Q108" s="24">
        <v>58</v>
      </c>
      <c r="R108" s="21" t="s">
        <v>160</v>
      </c>
      <c r="S108" s="49" t="s">
        <v>6</v>
      </c>
      <c r="T108" s="28" t="s">
        <v>12</v>
      </c>
      <c r="U108" s="22" t="s">
        <v>15</v>
      </c>
      <c r="V108" s="23" t="s">
        <v>18</v>
      </c>
      <c r="W108" s="24">
        <v>56</v>
      </c>
      <c r="X108" s="21" t="s">
        <v>164</v>
      </c>
      <c r="Y108" s="49" t="s">
        <v>6</v>
      </c>
      <c r="Z108" s="28" t="s">
        <v>12</v>
      </c>
      <c r="AA108" s="22" t="s">
        <v>15</v>
      </c>
      <c r="AB108" s="23" t="s">
        <v>18</v>
      </c>
      <c r="AC108" s="24">
        <v>43</v>
      </c>
      <c r="AD108" s="21" t="s">
        <v>168</v>
      </c>
      <c r="AE108" s="49" t="s">
        <v>6</v>
      </c>
      <c r="AF108" s="28" t="s">
        <v>12</v>
      </c>
      <c r="AG108" s="22" t="s">
        <v>15</v>
      </c>
      <c r="AH108" s="23" t="s">
        <v>18</v>
      </c>
      <c r="AI108" s="24">
        <v>31</v>
      </c>
      <c r="AJ108" s="21" t="s">
        <v>173</v>
      </c>
      <c r="AK108" s="49" t="s">
        <v>6</v>
      </c>
      <c r="AL108" s="28" t="s">
        <v>12</v>
      </c>
      <c r="AM108" s="22" t="s">
        <v>15</v>
      </c>
      <c r="AN108" s="23" t="s">
        <v>18</v>
      </c>
      <c r="AO108" s="24">
        <v>42</v>
      </c>
      <c r="AP108" s="21" t="s">
        <v>177</v>
      </c>
      <c r="AQ108" s="49" t="s">
        <v>6</v>
      </c>
      <c r="AR108" s="28" t="s">
        <v>12</v>
      </c>
      <c r="AS108" s="22" t="s">
        <v>15</v>
      </c>
      <c r="AT108" s="23" t="s">
        <v>18</v>
      </c>
      <c r="AU108" s="24">
        <v>40</v>
      </c>
      <c r="AV108" s="21" t="s">
        <v>139</v>
      </c>
      <c r="AW108" s="49" t="s">
        <v>6</v>
      </c>
      <c r="AX108" s="28" t="s">
        <v>12</v>
      </c>
      <c r="AY108" s="22" t="s">
        <v>15</v>
      </c>
      <c r="AZ108" s="23" t="s">
        <v>18</v>
      </c>
      <c r="BA108" s="24">
        <v>31</v>
      </c>
      <c r="BB108" s="21" t="s">
        <v>189</v>
      </c>
      <c r="BC108" s="49" t="s">
        <v>6</v>
      </c>
      <c r="BD108" s="28" t="s">
        <v>12</v>
      </c>
      <c r="BE108" s="22" t="s">
        <v>15</v>
      </c>
      <c r="BF108" s="23" t="s">
        <v>18</v>
      </c>
      <c r="BG108" s="24">
        <v>17</v>
      </c>
      <c r="BH108" s="21" t="s">
        <v>193</v>
      </c>
      <c r="BI108" s="49" t="s">
        <v>6</v>
      </c>
      <c r="BJ108" s="28" t="s">
        <v>12</v>
      </c>
      <c r="BK108" s="22" t="s">
        <v>15</v>
      </c>
      <c r="BL108" s="23" t="s">
        <v>18</v>
      </c>
      <c r="BM108" s="27">
        <v>8.4</v>
      </c>
      <c r="BN108" s="21" t="s">
        <v>98</v>
      </c>
      <c r="BO108" s="49" t="s">
        <v>6</v>
      </c>
      <c r="BP108" s="28" t="s">
        <v>12</v>
      </c>
      <c r="BQ108" s="22" t="s">
        <v>15</v>
      </c>
      <c r="BR108" s="23" t="s">
        <v>18</v>
      </c>
      <c r="BS108" s="24">
        <v>12</v>
      </c>
      <c r="BT108" s="21" t="s">
        <v>23</v>
      </c>
    </row>
    <row r="109" spans="1:72" ht="12" customHeight="1" x14ac:dyDescent="0.15">
      <c r="A109" s="49" t="s">
        <v>6</v>
      </c>
      <c r="B109" s="28" t="s">
        <v>12</v>
      </c>
      <c r="C109" s="22" t="s">
        <v>15</v>
      </c>
      <c r="D109" s="23" t="s">
        <v>19</v>
      </c>
      <c r="E109" s="24">
        <v>290</v>
      </c>
      <c r="F109" s="34" t="s">
        <v>56</v>
      </c>
      <c r="G109" s="49" t="s">
        <v>6</v>
      </c>
      <c r="H109" s="28" t="s">
        <v>12</v>
      </c>
      <c r="I109" s="22" t="s">
        <v>15</v>
      </c>
      <c r="J109" s="23" t="s">
        <v>19</v>
      </c>
      <c r="K109" s="24">
        <v>340</v>
      </c>
      <c r="L109" s="34" t="s">
        <v>157</v>
      </c>
      <c r="M109" s="49" t="s">
        <v>6</v>
      </c>
      <c r="N109" s="28" t="s">
        <v>12</v>
      </c>
      <c r="O109" s="22" t="s">
        <v>15</v>
      </c>
      <c r="P109" s="23" t="s">
        <v>19</v>
      </c>
      <c r="Q109" s="24">
        <v>420</v>
      </c>
      <c r="R109" s="34" t="s">
        <v>160</v>
      </c>
      <c r="S109" s="49" t="s">
        <v>6</v>
      </c>
      <c r="T109" s="28" t="s">
        <v>12</v>
      </c>
      <c r="U109" s="22" t="s">
        <v>15</v>
      </c>
      <c r="V109" s="23" t="s">
        <v>19</v>
      </c>
      <c r="W109" s="24">
        <v>440</v>
      </c>
      <c r="X109" s="34" t="s">
        <v>164</v>
      </c>
      <c r="Y109" s="49" t="s">
        <v>6</v>
      </c>
      <c r="Z109" s="28" t="s">
        <v>12</v>
      </c>
      <c r="AA109" s="22" t="s">
        <v>15</v>
      </c>
      <c r="AB109" s="23" t="s">
        <v>19</v>
      </c>
      <c r="AC109" s="24">
        <v>310</v>
      </c>
      <c r="AD109" s="34" t="s">
        <v>168</v>
      </c>
      <c r="AE109" s="49" t="s">
        <v>6</v>
      </c>
      <c r="AF109" s="28" t="s">
        <v>12</v>
      </c>
      <c r="AG109" s="22" t="s">
        <v>15</v>
      </c>
      <c r="AH109" s="23" t="s">
        <v>19</v>
      </c>
      <c r="AI109" s="24">
        <v>250</v>
      </c>
      <c r="AJ109" s="34" t="s">
        <v>173</v>
      </c>
      <c r="AK109" s="49" t="s">
        <v>6</v>
      </c>
      <c r="AL109" s="28" t="s">
        <v>12</v>
      </c>
      <c r="AM109" s="22" t="s">
        <v>15</v>
      </c>
      <c r="AN109" s="23" t="s">
        <v>19</v>
      </c>
      <c r="AO109" s="24">
        <v>370</v>
      </c>
      <c r="AP109" s="34" t="s">
        <v>177</v>
      </c>
      <c r="AQ109" s="49" t="s">
        <v>6</v>
      </c>
      <c r="AR109" s="28" t="s">
        <v>12</v>
      </c>
      <c r="AS109" s="22" t="s">
        <v>15</v>
      </c>
      <c r="AT109" s="23" t="s">
        <v>19</v>
      </c>
      <c r="AU109" s="24">
        <v>310</v>
      </c>
      <c r="AV109" s="34" t="s">
        <v>139</v>
      </c>
      <c r="AW109" s="49" t="s">
        <v>6</v>
      </c>
      <c r="AX109" s="28" t="s">
        <v>12</v>
      </c>
      <c r="AY109" s="22" t="s">
        <v>15</v>
      </c>
      <c r="AZ109" s="23" t="s">
        <v>19</v>
      </c>
      <c r="BA109" s="24">
        <v>240</v>
      </c>
      <c r="BB109" s="34" t="s">
        <v>189</v>
      </c>
      <c r="BC109" s="49" t="s">
        <v>6</v>
      </c>
      <c r="BD109" s="28" t="s">
        <v>12</v>
      </c>
      <c r="BE109" s="22" t="s">
        <v>15</v>
      </c>
      <c r="BF109" s="23" t="s">
        <v>19</v>
      </c>
      <c r="BG109" s="23">
        <v>170</v>
      </c>
      <c r="BH109" s="34" t="s">
        <v>193</v>
      </c>
      <c r="BI109" s="49" t="s">
        <v>6</v>
      </c>
      <c r="BJ109" s="28" t="s">
        <v>12</v>
      </c>
      <c r="BK109" s="22" t="s">
        <v>15</v>
      </c>
      <c r="BL109" s="23" t="s">
        <v>19</v>
      </c>
      <c r="BM109" s="24">
        <v>72</v>
      </c>
      <c r="BN109" s="34" t="s">
        <v>98</v>
      </c>
      <c r="BO109" s="49" t="s">
        <v>6</v>
      </c>
      <c r="BP109" s="28" t="s">
        <v>12</v>
      </c>
      <c r="BQ109" s="22" t="s">
        <v>15</v>
      </c>
      <c r="BR109" s="23" t="s">
        <v>19</v>
      </c>
      <c r="BS109" s="24">
        <v>120</v>
      </c>
      <c r="BT109" s="34" t="s">
        <v>23</v>
      </c>
    </row>
    <row r="110" spans="1:72" ht="12" customHeight="1" x14ac:dyDescent="0.15">
      <c r="A110" s="49" t="s">
        <v>6</v>
      </c>
      <c r="B110" s="28" t="s">
        <v>12</v>
      </c>
      <c r="C110" s="22" t="s">
        <v>15</v>
      </c>
      <c r="D110" s="23" t="s">
        <v>0</v>
      </c>
      <c r="E110" s="24">
        <v>333</v>
      </c>
      <c r="F110" s="35" t="s">
        <v>56</v>
      </c>
      <c r="G110" s="49" t="s">
        <v>6</v>
      </c>
      <c r="H110" s="28" t="s">
        <v>12</v>
      </c>
      <c r="I110" s="22" t="s">
        <v>15</v>
      </c>
      <c r="J110" s="23" t="s">
        <v>0</v>
      </c>
      <c r="K110" s="24">
        <v>388</v>
      </c>
      <c r="L110" s="35" t="s">
        <v>157</v>
      </c>
      <c r="M110" s="49" t="s">
        <v>6</v>
      </c>
      <c r="N110" s="28" t="s">
        <v>12</v>
      </c>
      <c r="O110" s="22" t="s">
        <v>15</v>
      </c>
      <c r="P110" s="23" t="s">
        <v>0</v>
      </c>
      <c r="Q110" s="24">
        <v>478</v>
      </c>
      <c r="R110" s="35" t="s">
        <v>160</v>
      </c>
      <c r="S110" s="49" t="s">
        <v>6</v>
      </c>
      <c r="T110" s="28" t="s">
        <v>12</v>
      </c>
      <c r="U110" s="22" t="s">
        <v>15</v>
      </c>
      <c r="V110" s="23" t="s">
        <v>0</v>
      </c>
      <c r="W110" s="24">
        <v>496</v>
      </c>
      <c r="X110" s="35" t="s">
        <v>164</v>
      </c>
      <c r="Y110" s="49" t="s">
        <v>6</v>
      </c>
      <c r="Z110" s="28" t="s">
        <v>12</v>
      </c>
      <c r="AA110" s="22" t="s">
        <v>15</v>
      </c>
      <c r="AB110" s="23" t="s">
        <v>0</v>
      </c>
      <c r="AC110" s="24">
        <v>353</v>
      </c>
      <c r="AD110" s="35" t="s">
        <v>168</v>
      </c>
      <c r="AE110" s="49" t="s">
        <v>6</v>
      </c>
      <c r="AF110" s="28" t="s">
        <v>12</v>
      </c>
      <c r="AG110" s="22" t="s">
        <v>15</v>
      </c>
      <c r="AH110" s="23" t="s">
        <v>0</v>
      </c>
      <c r="AI110" s="24">
        <v>281</v>
      </c>
      <c r="AJ110" s="35" t="s">
        <v>173</v>
      </c>
      <c r="AK110" s="49" t="s">
        <v>6</v>
      </c>
      <c r="AL110" s="28" t="s">
        <v>12</v>
      </c>
      <c r="AM110" s="22" t="s">
        <v>15</v>
      </c>
      <c r="AN110" s="23" t="s">
        <v>0</v>
      </c>
      <c r="AO110" s="24">
        <v>412</v>
      </c>
      <c r="AP110" s="35" t="s">
        <v>177</v>
      </c>
      <c r="AQ110" s="49" t="s">
        <v>6</v>
      </c>
      <c r="AR110" s="28" t="s">
        <v>12</v>
      </c>
      <c r="AS110" s="22" t="s">
        <v>15</v>
      </c>
      <c r="AT110" s="23" t="s">
        <v>0</v>
      </c>
      <c r="AU110" s="24">
        <v>350</v>
      </c>
      <c r="AV110" s="35" t="s">
        <v>139</v>
      </c>
      <c r="AW110" s="49" t="s">
        <v>6</v>
      </c>
      <c r="AX110" s="28" t="s">
        <v>12</v>
      </c>
      <c r="AY110" s="22" t="s">
        <v>15</v>
      </c>
      <c r="AZ110" s="23" t="s">
        <v>0</v>
      </c>
      <c r="BA110" s="24">
        <v>271</v>
      </c>
      <c r="BB110" s="35" t="s">
        <v>189</v>
      </c>
      <c r="BC110" s="49" t="s">
        <v>6</v>
      </c>
      <c r="BD110" s="28" t="s">
        <v>12</v>
      </c>
      <c r="BE110" s="22" t="s">
        <v>15</v>
      </c>
      <c r="BF110" s="23" t="s">
        <v>0</v>
      </c>
      <c r="BG110" s="24">
        <v>187</v>
      </c>
      <c r="BH110" s="35" t="s">
        <v>193</v>
      </c>
      <c r="BI110" s="49" t="s">
        <v>6</v>
      </c>
      <c r="BJ110" s="28" t="s">
        <v>12</v>
      </c>
      <c r="BK110" s="22" t="s">
        <v>15</v>
      </c>
      <c r="BL110" s="23" t="s">
        <v>0</v>
      </c>
      <c r="BM110" s="27">
        <v>80.400000000000006</v>
      </c>
      <c r="BN110" s="35" t="s">
        <v>98</v>
      </c>
      <c r="BO110" s="49" t="s">
        <v>6</v>
      </c>
      <c r="BP110" s="28" t="s">
        <v>12</v>
      </c>
      <c r="BQ110" s="22" t="s">
        <v>15</v>
      </c>
      <c r="BR110" s="23" t="s">
        <v>0</v>
      </c>
      <c r="BS110" s="24">
        <v>132</v>
      </c>
      <c r="BT110" s="35" t="s">
        <v>23</v>
      </c>
    </row>
    <row r="111" spans="1:72" ht="12" customHeight="1" x14ac:dyDescent="0.15">
      <c r="A111" s="49" t="s">
        <v>6</v>
      </c>
      <c r="B111" s="28" t="s">
        <v>10</v>
      </c>
      <c r="C111" s="22" t="s">
        <v>16</v>
      </c>
      <c r="D111" s="23" t="s">
        <v>18</v>
      </c>
      <c r="E111" s="24">
        <v>34</v>
      </c>
      <c r="F111" s="21" t="s">
        <v>155</v>
      </c>
      <c r="G111" s="49" t="s">
        <v>6</v>
      </c>
      <c r="H111" s="28" t="s">
        <v>10</v>
      </c>
      <c r="I111" s="22" t="s">
        <v>16</v>
      </c>
      <c r="J111" s="23" t="s">
        <v>18</v>
      </c>
      <c r="K111" s="24">
        <v>31</v>
      </c>
      <c r="L111" s="21" t="s">
        <v>68</v>
      </c>
      <c r="M111" s="49" t="s">
        <v>6</v>
      </c>
      <c r="N111" s="28" t="s">
        <v>10</v>
      </c>
      <c r="O111" s="22" t="s">
        <v>16</v>
      </c>
      <c r="P111" s="23" t="s">
        <v>18</v>
      </c>
      <c r="Q111" s="24">
        <v>20</v>
      </c>
      <c r="R111" s="21" t="s">
        <v>161</v>
      </c>
      <c r="S111" s="49" t="s">
        <v>6</v>
      </c>
      <c r="T111" s="28" t="s">
        <v>10</v>
      </c>
      <c r="U111" s="22" t="s">
        <v>16</v>
      </c>
      <c r="V111" s="23" t="s">
        <v>18</v>
      </c>
      <c r="W111" s="24">
        <v>25</v>
      </c>
      <c r="X111" s="21" t="s">
        <v>125</v>
      </c>
      <c r="Y111" s="49" t="s">
        <v>6</v>
      </c>
      <c r="Z111" s="28" t="s">
        <v>10</v>
      </c>
      <c r="AA111" s="22" t="s">
        <v>16</v>
      </c>
      <c r="AB111" s="23" t="s">
        <v>18</v>
      </c>
      <c r="AC111" s="24">
        <v>19</v>
      </c>
      <c r="AD111" s="21" t="s">
        <v>34</v>
      </c>
      <c r="AE111" s="49" t="s">
        <v>6</v>
      </c>
      <c r="AF111" s="28" t="s">
        <v>10</v>
      </c>
      <c r="AG111" s="22" t="s">
        <v>16</v>
      </c>
      <c r="AH111" s="23" t="s">
        <v>18</v>
      </c>
      <c r="AI111" s="24">
        <v>16</v>
      </c>
      <c r="AJ111" s="21" t="s">
        <v>174</v>
      </c>
      <c r="AK111" s="49" t="s">
        <v>6</v>
      </c>
      <c r="AL111" s="28" t="s">
        <v>10</v>
      </c>
      <c r="AM111" s="22" t="s">
        <v>16</v>
      </c>
      <c r="AN111" s="23" t="s">
        <v>18</v>
      </c>
      <c r="AO111" s="23">
        <v>17</v>
      </c>
      <c r="AP111" s="21" t="s">
        <v>72</v>
      </c>
      <c r="AQ111" s="49" t="s">
        <v>6</v>
      </c>
      <c r="AR111" s="28" t="s">
        <v>10</v>
      </c>
      <c r="AS111" s="22" t="s">
        <v>16</v>
      </c>
      <c r="AT111" s="23" t="s">
        <v>18</v>
      </c>
      <c r="AU111" s="24">
        <v>15</v>
      </c>
      <c r="AV111" s="21" t="s">
        <v>185</v>
      </c>
      <c r="AW111" s="49" t="s">
        <v>6</v>
      </c>
      <c r="AX111" s="28" t="s">
        <v>10</v>
      </c>
      <c r="AY111" s="22" t="s">
        <v>16</v>
      </c>
      <c r="AZ111" s="23" t="s">
        <v>18</v>
      </c>
      <c r="BA111" s="24">
        <v>13</v>
      </c>
      <c r="BB111" s="21" t="s">
        <v>190</v>
      </c>
      <c r="BC111" s="49" t="s">
        <v>6</v>
      </c>
      <c r="BD111" s="28" t="s">
        <v>10</v>
      </c>
      <c r="BE111" s="22" t="s">
        <v>16</v>
      </c>
      <c r="BF111" s="23" t="s">
        <v>18</v>
      </c>
      <c r="BG111" s="23">
        <v>11</v>
      </c>
      <c r="BH111" s="21" t="s">
        <v>194</v>
      </c>
      <c r="BI111" s="49" t="s">
        <v>6</v>
      </c>
      <c r="BJ111" s="28" t="s">
        <v>10</v>
      </c>
      <c r="BK111" s="22" t="s">
        <v>16</v>
      </c>
      <c r="BL111" s="23" t="s">
        <v>18</v>
      </c>
      <c r="BM111" s="24">
        <v>13</v>
      </c>
      <c r="BN111" s="21" t="s">
        <v>198</v>
      </c>
      <c r="BO111" s="49" t="s">
        <v>6</v>
      </c>
      <c r="BP111" s="28" t="s">
        <v>10</v>
      </c>
      <c r="BQ111" s="22" t="s">
        <v>16</v>
      </c>
      <c r="BR111" s="23" t="s">
        <v>18</v>
      </c>
      <c r="BS111" s="24">
        <v>12</v>
      </c>
      <c r="BT111" s="21" t="s">
        <v>199</v>
      </c>
    </row>
    <row r="112" spans="1:72" ht="12" customHeight="1" x14ac:dyDescent="0.15">
      <c r="A112" s="49" t="s">
        <v>6</v>
      </c>
      <c r="B112" s="28" t="s">
        <v>10</v>
      </c>
      <c r="C112" s="22" t="s">
        <v>16</v>
      </c>
      <c r="D112" s="23" t="s">
        <v>19</v>
      </c>
      <c r="E112" s="24">
        <v>230</v>
      </c>
      <c r="F112" s="34" t="s">
        <v>155</v>
      </c>
      <c r="G112" s="49" t="s">
        <v>6</v>
      </c>
      <c r="H112" s="28" t="s">
        <v>10</v>
      </c>
      <c r="I112" s="22" t="s">
        <v>16</v>
      </c>
      <c r="J112" s="23" t="s">
        <v>19</v>
      </c>
      <c r="K112" s="24">
        <v>180</v>
      </c>
      <c r="L112" s="34" t="s">
        <v>68</v>
      </c>
      <c r="M112" s="49" t="s">
        <v>6</v>
      </c>
      <c r="N112" s="28" t="s">
        <v>10</v>
      </c>
      <c r="O112" s="22" t="s">
        <v>16</v>
      </c>
      <c r="P112" s="23" t="s">
        <v>19</v>
      </c>
      <c r="Q112" s="24">
        <v>160</v>
      </c>
      <c r="R112" s="34" t="s">
        <v>161</v>
      </c>
      <c r="S112" s="49" t="s">
        <v>6</v>
      </c>
      <c r="T112" s="28" t="s">
        <v>10</v>
      </c>
      <c r="U112" s="22" t="s">
        <v>16</v>
      </c>
      <c r="V112" s="23" t="s">
        <v>19</v>
      </c>
      <c r="W112" s="24">
        <v>170</v>
      </c>
      <c r="X112" s="34" t="s">
        <v>125</v>
      </c>
      <c r="Y112" s="49" t="s">
        <v>6</v>
      </c>
      <c r="Z112" s="28" t="s">
        <v>10</v>
      </c>
      <c r="AA112" s="22" t="s">
        <v>16</v>
      </c>
      <c r="AB112" s="23" t="s">
        <v>19</v>
      </c>
      <c r="AC112" s="24">
        <v>140</v>
      </c>
      <c r="AD112" s="34" t="s">
        <v>34</v>
      </c>
      <c r="AE112" s="49" t="s">
        <v>6</v>
      </c>
      <c r="AF112" s="28" t="s">
        <v>10</v>
      </c>
      <c r="AG112" s="22" t="s">
        <v>16</v>
      </c>
      <c r="AH112" s="23" t="s">
        <v>19</v>
      </c>
      <c r="AI112" s="24">
        <v>140</v>
      </c>
      <c r="AJ112" s="34" t="s">
        <v>174</v>
      </c>
      <c r="AK112" s="49" t="s">
        <v>6</v>
      </c>
      <c r="AL112" s="28" t="s">
        <v>10</v>
      </c>
      <c r="AM112" s="22" t="s">
        <v>16</v>
      </c>
      <c r="AN112" s="23" t="s">
        <v>19</v>
      </c>
      <c r="AO112" s="24">
        <v>140</v>
      </c>
      <c r="AP112" s="34" t="s">
        <v>72</v>
      </c>
      <c r="AQ112" s="49" t="s">
        <v>6</v>
      </c>
      <c r="AR112" s="28" t="s">
        <v>10</v>
      </c>
      <c r="AS112" s="22" t="s">
        <v>16</v>
      </c>
      <c r="AT112" s="23" t="s">
        <v>19</v>
      </c>
      <c r="AU112" s="24">
        <v>120</v>
      </c>
      <c r="AV112" s="34" t="s">
        <v>185</v>
      </c>
      <c r="AW112" s="49" t="s">
        <v>6</v>
      </c>
      <c r="AX112" s="28" t="s">
        <v>10</v>
      </c>
      <c r="AY112" s="22" t="s">
        <v>16</v>
      </c>
      <c r="AZ112" s="23" t="s">
        <v>19</v>
      </c>
      <c r="BA112" s="24">
        <v>110</v>
      </c>
      <c r="BB112" s="34" t="s">
        <v>190</v>
      </c>
      <c r="BC112" s="49" t="s">
        <v>6</v>
      </c>
      <c r="BD112" s="28" t="s">
        <v>10</v>
      </c>
      <c r="BE112" s="22" t="s">
        <v>16</v>
      </c>
      <c r="BF112" s="23" t="s">
        <v>19</v>
      </c>
      <c r="BG112" s="24">
        <v>110</v>
      </c>
      <c r="BH112" s="34" t="s">
        <v>194</v>
      </c>
      <c r="BI112" s="49" t="s">
        <v>6</v>
      </c>
      <c r="BJ112" s="28" t="s">
        <v>10</v>
      </c>
      <c r="BK112" s="22" t="s">
        <v>16</v>
      </c>
      <c r="BL112" s="23" t="s">
        <v>19</v>
      </c>
      <c r="BM112" s="24">
        <v>110</v>
      </c>
      <c r="BN112" s="34" t="s">
        <v>198</v>
      </c>
      <c r="BO112" s="49" t="s">
        <v>6</v>
      </c>
      <c r="BP112" s="28" t="s">
        <v>10</v>
      </c>
      <c r="BQ112" s="22" t="s">
        <v>16</v>
      </c>
      <c r="BR112" s="23" t="s">
        <v>19</v>
      </c>
      <c r="BS112" s="24">
        <v>120</v>
      </c>
      <c r="BT112" s="34" t="s">
        <v>199</v>
      </c>
    </row>
    <row r="113" spans="1:72" ht="12" customHeight="1" x14ac:dyDescent="0.15">
      <c r="A113" s="49" t="s">
        <v>6</v>
      </c>
      <c r="B113" s="28" t="s">
        <v>10</v>
      </c>
      <c r="C113" s="22" t="s">
        <v>16</v>
      </c>
      <c r="D113" s="23" t="s">
        <v>0</v>
      </c>
      <c r="E113" s="24">
        <v>264</v>
      </c>
      <c r="F113" s="35" t="s">
        <v>155</v>
      </c>
      <c r="G113" s="49" t="s">
        <v>6</v>
      </c>
      <c r="H113" s="28" t="s">
        <v>10</v>
      </c>
      <c r="I113" s="22" t="s">
        <v>16</v>
      </c>
      <c r="J113" s="23" t="s">
        <v>0</v>
      </c>
      <c r="K113" s="24">
        <v>211</v>
      </c>
      <c r="L113" s="35" t="s">
        <v>68</v>
      </c>
      <c r="M113" s="49" t="s">
        <v>6</v>
      </c>
      <c r="N113" s="28" t="s">
        <v>10</v>
      </c>
      <c r="O113" s="22" t="s">
        <v>16</v>
      </c>
      <c r="P113" s="23" t="s">
        <v>0</v>
      </c>
      <c r="Q113" s="24">
        <v>180</v>
      </c>
      <c r="R113" s="35" t="s">
        <v>161</v>
      </c>
      <c r="S113" s="49" t="s">
        <v>6</v>
      </c>
      <c r="T113" s="28" t="s">
        <v>10</v>
      </c>
      <c r="U113" s="22" t="s">
        <v>16</v>
      </c>
      <c r="V113" s="23" t="s">
        <v>0</v>
      </c>
      <c r="W113" s="24">
        <v>195</v>
      </c>
      <c r="X113" s="35" t="s">
        <v>125</v>
      </c>
      <c r="Y113" s="49" t="s">
        <v>6</v>
      </c>
      <c r="Z113" s="28" t="s">
        <v>10</v>
      </c>
      <c r="AA113" s="22" t="s">
        <v>16</v>
      </c>
      <c r="AB113" s="23" t="s">
        <v>0</v>
      </c>
      <c r="AC113" s="24">
        <v>159</v>
      </c>
      <c r="AD113" s="35" t="s">
        <v>34</v>
      </c>
      <c r="AE113" s="49" t="s">
        <v>6</v>
      </c>
      <c r="AF113" s="28" t="s">
        <v>10</v>
      </c>
      <c r="AG113" s="22" t="s">
        <v>16</v>
      </c>
      <c r="AH113" s="23" t="s">
        <v>0</v>
      </c>
      <c r="AI113" s="24">
        <v>156</v>
      </c>
      <c r="AJ113" s="35" t="s">
        <v>174</v>
      </c>
      <c r="AK113" s="49" t="s">
        <v>6</v>
      </c>
      <c r="AL113" s="28" t="s">
        <v>10</v>
      </c>
      <c r="AM113" s="22" t="s">
        <v>16</v>
      </c>
      <c r="AN113" s="23" t="s">
        <v>0</v>
      </c>
      <c r="AO113" s="24">
        <v>157</v>
      </c>
      <c r="AP113" s="35" t="s">
        <v>72</v>
      </c>
      <c r="AQ113" s="49" t="s">
        <v>6</v>
      </c>
      <c r="AR113" s="28" t="s">
        <v>10</v>
      </c>
      <c r="AS113" s="22" t="s">
        <v>16</v>
      </c>
      <c r="AT113" s="23" t="s">
        <v>0</v>
      </c>
      <c r="AU113" s="24">
        <v>135</v>
      </c>
      <c r="AV113" s="35" t="s">
        <v>185</v>
      </c>
      <c r="AW113" s="49" t="s">
        <v>6</v>
      </c>
      <c r="AX113" s="28" t="s">
        <v>10</v>
      </c>
      <c r="AY113" s="22" t="s">
        <v>16</v>
      </c>
      <c r="AZ113" s="23" t="s">
        <v>0</v>
      </c>
      <c r="BA113" s="24">
        <v>123</v>
      </c>
      <c r="BB113" s="35" t="s">
        <v>190</v>
      </c>
      <c r="BC113" s="49" t="s">
        <v>6</v>
      </c>
      <c r="BD113" s="28" t="s">
        <v>10</v>
      </c>
      <c r="BE113" s="22" t="s">
        <v>16</v>
      </c>
      <c r="BF113" s="23" t="s">
        <v>0</v>
      </c>
      <c r="BG113" s="24">
        <v>121</v>
      </c>
      <c r="BH113" s="35" t="s">
        <v>194</v>
      </c>
      <c r="BI113" s="49" t="s">
        <v>6</v>
      </c>
      <c r="BJ113" s="28" t="s">
        <v>10</v>
      </c>
      <c r="BK113" s="22" t="s">
        <v>16</v>
      </c>
      <c r="BL113" s="23" t="s">
        <v>0</v>
      </c>
      <c r="BM113" s="24">
        <v>123</v>
      </c>
      <c r="BN113" s="35" t="s">
        <v>198</v>
      </c>
      <c r="BO113" s="49" t="s">
        <v>6</v>
      </c>
      <c r="BP113" s="28" t="s">
        <v>10</v>
      </c>
      <c r="BQ113" s="22" t="s">
        <v>16</v>
      </c>
      <c r="BR113" s="23" t="s">
        <v>0</v>
      </c>
      <c r="BS113" s="24">
        <v>132</v>
      </c>
      <c r="BT113" s="35" t="s">
        <v>199</v>
      </c>
    </row>
    <row r="114" spans="1:72" ht="12" customHeight="1" x14ac:dyDescent="0.15">
      <c r="A114" s="49" t="s">
        <v>6</v>
      </c>
      <c r="B114" s="28" t="s">
        <v>21</v>
      </c>
      <c r="C114" s="22" t="s">
        <v>8</v>
      </c>
      <c r="D114" s="23" t="s">
        <v>18</v>
      </c>
      <c r="E114" s="27">
        <v>1.4</v>
      </c>
      <c r="F114" s="21" t="s">
        <v>155</v>
      </c>
      <c r="G114" s="49" t="s">
        <v>6</v>
      </c>
      <c r="H114" s="28" t="s">
        <v>21</v>
      </c>
      <c r="I114" s="22" t="s">
        <v>8</v>
      </c>
      <c r="J114" s="23" t="s">
        <v>18</v>
      </c>
      <c r="K114" s="27">
        <v>1.4</v>
      </c>
      <c r="L114" s="21" t="s">
        <v>68</v>
      </c>
      <c r="M114" s="49" t="s">
        <v>6</v>
      </c>
      <c r="N114" s="28" t="s">
        <v>21</v>
      </c>
      <c r="O114" s="22" t="s">
        <v>8</v>
      </c>
      <c r="P114" s="23" t="s">
        <v>18</v>
      </c>
      <c r="Q114" s="27">
        <v>0.79</v>
      </c>
      <c r="R114" s="21" t="s">
        <v>161</v>
      </c>
      <c r="S114" s="49" t="s">
        <v>6</v>
      </c>
      <c r="T114" s="28" t="s">
        <v>21</v>
      </c>
      <c r="U114" s="22" t="s">
        <v>8</v>
      </c>
      <c r="V114" s="23" t="s">
        <v>18</v>
      </c>
      <c r="W114" s="27">
        <v>1.2</v>
      </c>
      <c r="X114" s="21" t="s">
        <v>166</v>
      </c>
      <c r="Y114" s="49" t="s">
        <v>6</v>
      </c>
      <c r="Z114" s="28" t="s">
        <v>21</v>
      </c>
      <c r="AA114" s="22" t="s">
        <v>8</v>
      </c>
      <c r="AB114" s="23" t="s">
        <v>18</v>
      </c>
      <c r="AC114" s="27">
        <v>1.2</v>
      </c>
      <c r="AD114" s="21" t="s">
        <v>34</v>
      </c>
      <c r="AE114" s="49" t="s">
        <v>6</v>
      </c>
      <c r="AF114" s="28" t="s">
        <v>21</v>
      </c>
      <c r="AG114" s="22" t="s">
        <v>8</v>
      </c>
      <c r="AH114" s="23" t="s">
        <v>18</v>
      </c>
      <c r="AI114" s="27">
        <v>0.86</v>
      </c>
      <c r="AJ114" s="21" t="s">
        <v>174</v>
      </c>
      <c r="AK114" s="49" t="s">
        <v>6</v>
      </c>
      <c r="AL114" s="28" t="s">
        <v>21</v>
      </c>
      <c r="AM114" s="22" t="s">
        <v>8</v>
      </c>
      <c r="AN114" s="23" t="s">
        <v>18</v>
      </c>
      <c r="AO114" s="23" t="s">
        <v>130</v>
      </c>
      <c r="AP114" s="21" t="s">
        <v>72</v>
      </c>
      <c r="AQ114" s="49" t="s">
        <v>6</v>
      </c>
      <c r="AR114" s="28" t="s">
        <v>21</v>
      </c>
      <c r="AS114" s="22" t="s">
        <v>8</v>
      </c>
      <c r="AT114" s="23" t="s">
        <v>18</v>
      </c>
      <c r="AU114" s="27">
        <v>0.99</v>
      </c>
      <c r="AV114" s="21" t="s">
        <v>180</v>
      </c>
      <c r="AW114" s="49" t="s">
        <v>6</v>
      </c>
      <c r="AX114" s="28" t="s">
        <v>21</v>
      </c>
      <c r="AY114" s="22" t="s">
        <v>8</v>
      </c>
      <c r="AZ114" s="23" t="s">
        <v>18</v>
      </c>
      <c r="BA114" s="23" t="s">
        <v>130</v>
      </c>
      <c r="BB114" s="21" t="s">
        <v>52</v>
      </c>
      <c r="BC114" s="49" t="s">
        <v>6</v>
      </c>
      <c r="BD114" s="28" t="s">
        <v>21</v>
      </c>
      <c r="BE114" s="22" t="s">
        <v>8</v>
      </c>
      <c r="BF114" s="23" t="s">
        <v>18</v>
      </c>
      <c r="BG114" s="23" t="s">
        <v>130</v>
      </c>
      <c r="BH114" s="21" t="s">
        <v>194</v>
      </c>
      <c r="BI114" s="49" t="s">
        <v>6</v>
      </c>
      <c r="BJ114" s="28" t="s">
        <v>21</v>
      </c>
      <c r="BK114" s="22" t="s">
        <v>8</v>
      </c>
      <c r="BL114" s="23" t="s">
        <v>18</v>
      </c>
      <c r="BM114" s="23" t="s">
        <v>130</v>
      </c>
      <c r="BN114" s="21" t="s">
        <v>32</v>
      </c>
      <c r="BO114" s="49" t="s">
        <v>6</v>
      </c>
      <c r="BP114" s="28" t="s">
        <v>21</v>
      </c>
      <c r="BQ114" s="22" t="s">
        <v>8</v>
      </c>
      <c r="BR114" s="23" t="s">
        <v>18</v>
      </c>
      <c r="BS114" s="23" t="s">
        <v>130</v>
      </c>
      <c r="BT114" s="21" t="s">
        <v>199</v>
      </c>
    </row>
    <row r="115" spans="1:72" ht="12" customHeight="1" x14ac:dyDescent="0.15">
      <c r="A115" s="49" t="s">
        <v>6</v>
      </c>
      <c r="B115" s="28" t="s">
        <v>21</v>
      </c>
      <c r="C115" s="22" t="s">
        <v>8</v>
      </c>
      <c r="D115" s="23" t="s">
        <v>19</v>
      </c>
      <c r="E115" s="27">
        <v>9.6999999999999993</v>
      </c>
      <c r="F115" s="34" t="s">
        <v>155</v>
      </c>
      <c r="G115" s="49" t="s">
        <v>6</v>
      </c>
      <c r="H115" s="28" t="s">
        <v>21</v>
      </c>
      <c r="I115" s="22" t="s">
        <v>8</v>
      </c>
      <c r="J115" s="23" t="s">
        <v>19</v>
      </c>
      <c r="K115" s="24">
        <v>12</v>
      </c>
      <c r="L115" s="34" t="s">
        <v>68</v>
      </c>
      <c r="M115" s="49" t="s">
        <v>6</v>
      </c>
      <c r="N115" s="28" t="s">
        <v>21</v>
      </c>
      <c r="O115" s="22" t="s">
        <v>8</v>
      </c>
      <c r="P115" s="23" t="s">
        <v>19</v>
      </c>
      <c r="Q115" s="23">
        <v>7.9</v>
      </c>
      <c r="R115" s="34" t="s">
        <v>161</v>
      </c>
      <c r="S115" s="49" t="s">
        <v>6</v>
      </c>
      <c r="T115" s="28" t="s">
        <v>21</v>
      </c>
      <c r="U115" s="22" t="s">
        <v>8</v>
      </c>
      <c r="V115" s="23" t="s">
        <v>19</v>
      </c>
      <c r="W115" s="24">
        <v>14</v>
      </c>
      <c r="X115" s="34" t="s">
        <v>166</v>
      </c>
      <c r="Y115" s="49" t="s">
        <v>6</v>
      </c>
      <c r="Z115" s="28" t="s">
        <v>21</v>
      </c>
      <c r="AA115" s="22" t="s">
        <v>8</v>
      </c>
      <c r="AB115" s="23" t="s">
        <v>19</v>
      </c>
      <c r="AC115" s="26">
        <v>11</v>
      </c>
      <c r="AD115" s="34" t="s">
        <v>34</v>
      </c>
      <c r="AE115" s="49" t="s">
        <v>6</v>
      </c>
      <c r="AF115" s="28" t="s">
        <v>21</v>
      </c>
      <c r="AG115" s="22" t="s">
        <v>8</v>
      </c>
      <c r="AH115" s="23" t="s">
        <v>19</v>
      </c>
      <c r="AI115" s="23">
        <v>7.4</v>
      </c>
      <c r="AJ115" s="34" t="s">
        <v>174</v>
      </c>
      <c r="AK115" s="49" t="s">
        <v>6</v>
      </c>
      <c r="AL115" s="28" t="s">
        <v>21</v>
      </c>
      <c r="AM115" s="22" t="s">
        <v>8</v>
      </c>
      <c r="AN115" s="23" t="s">
        <v>19</v>
      </c>
      <c r="AO115" s="23">
        <v>7.2</v>
      </c>
      <c r="AP115" s="34" t="s">
        <v>72</v>
      </c>
      <c r="AQ115" s="49" t="s">
        <v>6</v>
      </c>
      <c r="AR115" s="28" t="s">
        <v>21</v>
      </c>
      <c r="AS115" s="22" t="s">
        <v>8</v>
      </c>
      <c r="AT115" s="23" t="s">
        <v>19</v>
      </c>
      <c r="AU115" s="23">
        <v>7.7</v>
      </c>
      <c r="AV115" s="34" t="s">
        <v>180</v>
      </c>
      <c r="AW115" s="49" t="s">
        <v>6</v>
      </c>
      <c r="AX115" s="28" t="s">
        <v>21</v>
      </c>
      <c r="AY115" s="22" t="s">
        <v>8</v>
      </c>
      <c r="AZ115" s="23" t="s">
        <v>19</v>
      </c>
      <c r="BA115" s="27">
        <v>6.2</v>
      </c>
      <c r="BB115" s="34" t="s">
        <v>52</v>
      </c>
      <c r="BC115" s="49" t="s">
        <v>6</v>
      </c>
      <c r="BD115" s="28" t="s">
        <v>21</v>
      </c>
      <c r="BE115" s="22" t="s">
        <v>8</v>
      </c>
      <c r="BF115" s="23" t="s">
        <v>19</v>
      </c>
      <c r="BG115" s="27">
        <v>6.6</v>
      </c>
      <c r="BH115" s="34" t="s">
        <v>194</v>
      </c>
      <c r="BI115" s="49" t="s">
        <v>6</v>
      </c>
      <c r="BJ115" s="28" t="s">
        <v>21</v>
      </c>
      <c r="BK115" s="22" t="s">
        <v>8</v>
      </c>
      <c r="BL115" s="23" t="s">
        <v>19</v>
      </c>
      <c r="BM115" s="23" t="s">
        <v>130</v>
      </c>
      <c r="BN115" s="34" t="s">
        <v>32</v>
      </c>
      <c r="BO115" s="49" t="s">
        <v>6</v>
      </c>
      <c r="BP115" s="28" t="s">
        <v>21</v>
      </c>
      <c r="BQ115" s="22" t="s">
        <v>8</v>
      </c>
      <c r="BR115" s="23" t="s">
        <v>19</v>
      </c>
      <c r="BS115" s="23" t="s">
        <v>130</v>
      </c>
      <c r="BT115" s="34" t="s">
        <v>199</v>
      </c>
    </row>
    <row r="116" spans="1:72" ht="12" customHeight="1" x14ac:dyDescent="0.15">
      <c r="A116" s="49" t="s">
        <v>6</v>
      </c>
      <c r="B116" s="28" t="s">
        <v>21</v>
      </c>
      <c r="C116" s="22" t="s">
        <v>8</v>
      </c>
      <c r="D116" s="23" t="s">
        <v>0</v>
      </c>
      <c r="E116" s="27">
        <v>11.1</v>
      </c>
      <c r="F116" s="35" t="s">
        <v>155</v>
      </c>
      <c r="G116" s="49" t="s">
        <v>6</v>
      </c>
      <c r="H116" s="28" t="s">
        <v>21</v>
      </c>
      <c r="I116" s="22" t="s">
        <v>8</v>
      </c>
      <c r="J116" s="23" t="s">
        <v>0</v>
      </c>
      <c r="K116" s="27">
        <v>13.4</v>
      </c>
      <c r="L116" s="35" t="s">
        <v>68</v>
      </c>
      <c r="M116" s="49" t="s">
        <v>6</v>
      </c>
      <c r="N116" s="28" t="s">
        <v>21</v>
      </c>
      <c r="O116" s="22" t="s">
        <v>8</v>
      </c>
      <c r="P116" s="23" t="s">
        <v>0</v>
      </c>
      <c r="Q116" s="27">
        <v>8.69</v>
      </c>
      <c r="R116" s="35" t="s">
        <v>161</v>
      </c>
      <c r="S116" s="49" t="s">
        <v>6</v>
      </c>
      <c r="T116" s="28" t="s">
        <v>21</v>
      </c>
      <c r="U116" s="22" t="s">
        <v>8</v>
      </c>
      <c r="V116" s="23" t="s">
        <v>0</v>
      </c>
      <c r="W116" s="27">
        <v>15.2</v>
      </c>
      <c r="X116" s="35" t="s">
        <v>166</v>
      </c>
      <c r="Y116" s="49" t="s">
        <v>6</v>
      </c>
      <c r="Z116" s="28" t="s">
        <v>21</v>
      </c>
      <c r="AA116" s="22" t="s">
        <v>8</v>
      </c>
      <c r="AB116" s="23" t="s">
        <v>0</v>
      </c>
      <c r="AC116" s="27">
        <v>12.2</v>
      </c>
      <c r="AD116" s="35" t="s">
        <v>34</v>
      </c>
      <c r="AE116" s="49" t="s">
        <v>6</v>
      </c>
      <c r="AF116" s="28" t="s">
        <v>21</v>
      </c>
      <c r="AG116" s="22" t="s">
        <v>8</v>
      </c>
      <c r="AH116" s="23" t="s">
        <v>0</v>
      </c>
      <c r="AI116" s="27">
        <v>8.26</v>
      </c>
      <c r="AJ116" s="35" t="s">
        <v>174</v>
      </c>
      <c r="AK116" s="49" t="s">
        <v>6</v>
      </c>
      <c r="AL116" s="28" t="s">
        <v>21</v>
      </c>
      <c r="AM116" s="22" t="s">
        <v>8</v>
      </c>
      <c r="AN116" s="23" t="s">
        <v>0</v>
      </c>
      <c r="AO116" s="23">
        <v>7.2</v>
      </c>
      <c r="AP116" s="35" t="s">
        <v>72</v>
      </c>
      <c r="AQ116" s="49" t="s">
        <v>6</v>
      </c>
      <c r="AR116" s="28" t="s">
        <v>21</v>
      </c>
      <c r="AS116" s="22" t="s">
        <v>8</v>
      </c>
      <c r="AT116" s="23" t="s">
        <v>0</v>
      </c>
      <c r="AU116" s="27">
        <v>8.69</v>
      </c>
      <c r="AV116" s="35" t="s">
        <v>180</v>
      </c>
      <c r="AW116" s="49" t="s">
        <v>6</v>
      </c>
      <c r="AX116" s="28" t="s">
        <v>21</v>
      </c>
      <c r="AY116" s="22" t="s">
        <v>8</v>
      </c>
      <c r="AZ116" s="23" t="s">
        <v>0</v>
      </c>
      <c r="BA116" s="27">
        <v>6.2</v>
      </c>
      <c r="BB116" s="35" t="s">
        <v>52</v>
      </c>
      <c r="BC116" s="49" t="s">
        <v>6</v>
      </c>
      <c r="BD116" s="28" t="s">
        <v>21</v>
      </c>
      <c r="BE116" s="22" t="s">
        <v>8</v>
      </c>
      <c r="BF116" s="23" t="s">
        <v>0</v>
      </c>
      <c r="BG116" s="27">
        <v>6.6</v>
      </c>
      <c r="BH116" s="35" t="s">
        <v>194</v>
      </c>
      <c r="BI116" s="49" t="s">
        <v>6</v>
      </c>
      <c r="BJ116" s="28" t="s">
        <v>21</v>
      </c>
      <c r="BK116" s="22" t="s">
        <v>8</v>
      </c>
      <c r="BL116" s="23" t="s">
        <v>0</v>
      </c>
      <c r="BM116" s="23" t="s">
        <v>130</v>
      </c>
      <c r="BN116" s="35" t="s">
        <v>32</v>
      </c>
      <c r="BO116" s="49" t="s">
        <v>6</v>
      </c>
      <c r="BP116" s="28" t="s">
        <v>21</v>
      </c>
      <c r="BQ116" s="22" t="s">
        <v>8</v>
      </c>
      <c r="BR116" s="23" t="s">
        <v>0</v>
      </c>
      <c r="BS116" s="23" t="s">
        <v>130</v>
      </c>
      <c r="BT116" s="35" t="s">
        <v>199</v>
      </c>
    </row>
    <row r="117" spans="1:72" ht="14.1" customHeight="1" x14ac:dyDescent="0.15">
      <c r="A117" s="49" t="s">
        <v>7</v>
      </c>
      <c r="B117" s="22" t="s">
        <v>12</v>
      </c>
      <c r="C117" s="22" t="s">
        <v>11</v>
      </c>
      <c r="D117" s="23" t="s">
        <v>18</v>
      </c>
      <c r="E117" s="37">
        <v>43</v>
      </c>
      <c r="F117" s="38" t="s">
        <v>156</v>
      </c>
      <c r="G117" s="49" t="s">
        <v>7</v>
      </c>
      <c r="H117" s="22" t="s">
        <v>12</v>
      </c>
      <c r="I117" s="22" t="s">
        <v>11</v>
      </c>
      <c r="J117" s="23" t="s">
        <v>18</v>
      </c>
      <c r="K117" s="37">
        <v>67</v>
      </c>
      <c r="L117" s="38" t="s">
        <v>158</v>
      </c>
      <c r="M117" s="49" t="s">
        <v>7</v>
      </c>
      <c r="N117" s="22" t="s">
        <v>12</v>
      </c>
      <c r="O117" s="22" t="s">
        <v>11</v>
      </c>
      <c r="P117" s="23" t="s">
        <v>18</v>
      </c>
      <c r="Q117" s="39">
        <v>4.3</v>
      </c>
      <c r="R117" s="38" t="s">
        <v>162</v>
      </c>
      <c r="S117" s="49" t="s">
        <v>7</v>
      </c>
      <c r="T117" s="22" t="s">
        <v>12</v>
      </c>
      <c r="U117" s="22" t="s">
        <v>11</v>
      </c>
      <c r="V117" s="23" t="s">
        <v>18</v>
      </c>
      <c r="W117" s="37">
        <v>45</v>
      </c>
      <c r="X117" s="38" t="s">
        <v>167</v>
      </c>
      <c r="Y117" s="49" t="s">
        <v>7</v>
      </c>
      <c r="Z117" s="22" t="s">
        <v>12</v>
      </c>
      <c r="AA117" s="22" t="s">
        <v>11</v>
      </c>
      <c r="AB117" s="23" t="s">
        <v>18</v>
      </c>
      <c r="AC117" s="37">
        <v>47</v>
      </c>
      <c r="AD117" s="38" t="s">
        <v>170</v>
      </c>
      <c r="AE117" s="49" t="s">
        <v>7</v>
      </c>
      <c r="AF117" s="22" t="s">
        <v>12</v>
      </c>
      <c r="AG117" s="22" t="s">
        <v>11</v>
      </c>
      <c r="AH117" s="23" t="s">
        <v>18</v>
      </c>
      <c r="AI117" s="37">
        <v>44</v>
      </c>
      <c r="AJ117" s="38" t="s">
        <v>175</v>
      </c>
      <c r="AK117" s="49" t="s">
        <v>7</v>
      </c>
      <c r="AL117" s="22" t="s">
        <v>12</v>
      </c>
      <c r="AM117" s="22" t="s">
        <v>11</v>
      </c>
      <c r="AN117" s="23" t="s">
        <v>18</v>
      </c>
      <c r="AO117" s="39">
        <v>4.2</v>
      </c>
      <c r="AP117" s="38" t="s">
        <v>72</v>
      </c>
      <c r="AQ117" s="49" t="s">
        <v>7</v>
      </c>
      <c r="AR117" s="22" t="s">
        <v>12</v>
      </c>
      <c r="AS117" s="22" t="s">
        <v>11</v>
      </c>
      <c r="AT117" s="23" t="s">
        <v>18</v>
      </c>
      <c r="AU117" s="37">
        <v>22</v>
      </c>
      <c r="AV117" s="38" t="s">
        <v>185</v>
      </c>
      <c r="AW117" s="49" t="s">
        <v>7</v>
      </c>
      <c r="AX117" s="22" t="s">
        <v>12</v>
      </c>
      <c r="AY117" s="22" t="s">
        <v>11</v>
      </c>
      <c r="AZ117" s="23" t="s">
        <v>18</v>
      </c>
      <c r="BA117" s="40" t="s">
        <v>130</v>
      </c>
      <c r="BB117" s="38" t="s">
        <v>191</v>
      </c>
      <c r="BC117" s="49" t="s">
        <v>7</v>
      </c>
      <c r="BD117" s="22" t="s">
        <v>12</v>
      </c>
      <c r="BE117" s="22" t="s">
        <v>11</v>
      </c>
      <c r="BF117" s="23" t="s">
        <v>18</v>
      </c>
      <c r="BG117" s="40" t="s">
        <v>130</v>
      </c>
      <c r="BH117" s="38" t="s">
        <v>87</v>
      </c>
      <c r="BI117" s="49" t="s">
        <v>7</v>
      </c>
      <c r="BJ117" s="22" t="s">
        <v>12</v>
      </c>
      <c r="BK117" s="22" t="s">
        <v>11</v>
      </c>
      <c r="BL117" s="23" t="s">
        <v>18</v>
      </c>
      <c r="BM117" s="40" t="s">
        <v>130</v>
      </c>
      <c r="BN117" s="133" t="s">
        <v>277</v>
      </c>
      <c r="BO117" s="49" t="s">
        <v>7</v>
      </c>
      <c r="BP117" s="22" t="s">
        <v>12</v>
      </c>
      <c r="BQ117" s="22" t="s">
        <v>11</v>
      </c>
      <c r="BR117" s="23" t="s">
        <v>18</v>
      </c>
      <c r="BS117" s="41">
        <v>1.5</v>
      </c>
      <c r="BT117" s="134" t="s">
        <v>281</v>
      </c>
    </row>
    <row r="118" spans="1:72" ht="12.95" customHeight="1" x14ac:dyDescent="0.15">
      <c r="A118" s="49" t="s">
        <v>7</v>
      </c>
      <c r="B118" s="22" t="s">
        <v>12</v>
      </c>
      <c r="C118" s="22" t="s">
        <v>11</v>
      </c>
      <c r="D118" s="23" t="s">
        <v>19</v>
      </c>
      <c r="E118" s="37">
        <v>37</v>
      </c>
      <c r="F118" s="42" t="s">
        <v>156</v>
      </c>
      <c r="G118" s="49" t="s">
        <v>7</v>
      </c>
      <c r="H118" s="22" t="s">
        <v>12</v>
      </c>
      <c r="I118" s="22" t="s">
        <v>11</v>
      </c>
      <c r="J118" s="23" t="s">
        <v>19</v>
      </c>
      <c r="K118" s="37">
        <v>61</v>
      </c>
      <c r="L118" s="42" t="s">
        <v>158</v>
      </c>
      <c r="M118" s="49" t="s">
        <v>7</v>
      </c>
      <c r="N118" s="22" t="s">
        <v>12</v>
      </c>
      <c r="O118" s="22" t="s">
        <v>11</v>
      </c>
      <c r="P118" s="23" t="s">
        <v>19</v>
      </c>
      <c r="Q118" s="37">
        <v>45</v>
      </c>
      <c r="R118" s="42" t="s">
        <v>162</v>
      </c>
      <c r="S118" s="49" t="s">
        <v>7</v>
      </c>
      <c r="T118" s="22" t="s">
        <v>12</v>
      </c>
      <c r="U118" s="22" t="s">
        <v>11</v>
      </c>
      <c r="V118" s="23" t="s">
        <v>19</v>
      </c>
      <c r="W118" s="37">
        <v>52</v>
      </c>
      <c r="X118" s="42" t="s">
        <v>167</v>
      </c>
      <c r="Y118" s="49" t="s">
        <v>7</v>
      </c>
      <c r="Z118" s="22" t="s">
        <v>12</v>
      </c>
      <c r="AA118" s="22" t="s">
        <v>11</v>
      </c>
      <c r="AB118" s="23" t="s">
        <v>19</v>
      </c>
      <c r="AC118" s="37">
        <v>45</v>
      </c>
      <c r="AD118" s="42" t="s">
        <v>170</v>
      </c>
      <c r="AE118" s="49" t="s">
        <v>7</v>
      </c>
      <c r="AF118" s="22" t="s">
        <v>12</v>
      </c>
      <c r="AG118" s="22" t="s">
        <v>11</v>
      </c>
      <c r="AH118" s="23" t="s">
        <v>19</v>
      </c>
      <c r="AI118" s="37">
        <v>39</v>
      </c>
      <c r="AJ118" s="42" t="s">
        <v>175</v>
      </c>
      <c r="AK118" s="49" t="s">
        <v>7</v>
      </c>
      <c r="AL118" s="22" t="s">
        <v>12</v>
      </c>
      <c r="AM118" s="22" t="s">
        <v>11</v>
      </c>
      <c r="AN118" s="23" t="s">
        <v>19</v>
      </c>
      <c r="AO118" s="37">
        <v>42</v>
      </c>
      <c r="AP118" s="42" t="s">
        <v>72</v>
      </c>
      <c r="AQ118" s="49" t="s">
        <v>7</v>
      </c>
      <c r="AR118" s="22" t="s">
        <v>12</v>
      </c>
      <c r="AS118" s="22" t="s">
        <v>11</v>
      </c>
      <c r="AT118" s="23" t="s">
        <v>19</v>
      </c>
      <c r="AU118" s="37">
        <v>230</v>
      </c>
      <c r="AV118" s="42" t="s">
        <v>185</v>
      </c>
      <c r="AW118" s="49" t="s">
        <v>7</v>
      </c>
      <c r="AX118" s="22" t="s">
        <v>12</v>
      </c>
      <c r="AY118" s="22" t="s">
        <v>11</v>
      </c>
      <c r="AZ118" s="23" t="s">
        <v>19</v>
      </c>
      <c r="BA118" s="37">
        <v>18</v>
      </c>
      <c r="BB118" s="42" t="s">
        <v>191</v>
      </c>
      <c r="BC118" s="49" t="s">
        <v>7</v>
      </c>
      <c r="BD118" s="22" t="s">
        <v>12</v>
      </c>
      <c r="BE118" s="22" t="s">
        <v>11</v>
      </c>
      <c r="BF118" s="23" t="s">
        <v>19</v>
      </c>
      <c r="BG118" s="37">
        <v>14</v>
      </c>
      <c r="BH118" s="42" t="s">
        <v>87</v>
      </c>
      <c r="BI118" s="49" t="s">
        <v>7</v>
      </c>
      <c r="BJ118" s="22" t="s">
        <v>12</v>
      </c>
      <c r="BK118" s="22" t="s">
        <v>11</v>
      </c>
      <c r="BL118" s="23" t="s">
        <v>19</v>
      </c>
      <c r="BM118" s="37">
        <v>14</v>
      </c>
      <c r="BN118" s="133" t="s">
        <v>277</v>
      </c>
      <c r="BO118" s="49" t="s">
        <v>7</v>
      </c>
      <c r="BP118" s="22" t="s">
        <v>12</v>
      </c>
      <c r="BQ118" s="22" t="s">
        <v>11</v>
      </c>
      <c r="BR118" s="23" t="s">
        <v>19</v>
      </c>
      <c r="BS118" s="41">
        <v>16</v>
      </c>
      <c r="BT118" s="134" t="s">
        <v>281</v>
      </c>
    </row>
    <row r="119" spans="1:72" ht="12.95" customHeight="1" x14ac:dyDescent="0.15">
      <c r="A119" s="49" t="s">
        <v>7</v>
      </c>
      <c r="B119" s="22" t="s">
        <v>12</v>
      </c>
      <c r="C119" s="22" t="s">
        <v>11</v>
      </c>
      <c r="D119" s="23" t="s">
        <v>0</v>
      </c>
      <c r="E119" s="39">
        <v>41.3</v>
      </c>
      <c r="F119" s="43" t="s">
        <v>156</v>
      </c>
      <c r="G119" s="49" t="s">
        <v>7</v>
      </c>
      <c r="H119" s="22" t="s">
        <v>12</v>
      </c>
      <c r="I119" s="22" t="s">
        <v>11</v>
      </c>
      <c r="J119" s="23" t="s">
        <v>0</v>
      </c>
      <c r="K119" s="39">
        <v>67.7</v>
      </c>
      <c r="L119" s="43" t="s">
        <v>158</v>
      </c>
      <c r="M119" s="49" t="s">
        <v>7</v>
      </c>
      <c r="N119" s="22" t="s">
        <v>12</v>
      </c>
      <c r="O119" s="22" t="s">
        <v>11</v>
      </c>
      <c r="P119" s="23" t="s">
        <v>0</v>
      </c>
      <c r="Q119" s="39">
        <v>49.3</v>
      </c>
      <c r="R119" s="43" t="s">
        <v>162</v>
      </c>
      <c r="S119" s="49" t="s">
        <v>7</v>
      </c>
      <c r="T119" s="22" t="s">
        <v>12</v>
      </c>
      <c r="U119" s="22" t="s">
        <v>11</v>
      </c>
      <c r="V119" s="23" t="s">
        <v>0</v>
      </c>
      <c r="W119" s="39">
        <v>56.5</v>
      </c>
      <c r="X119" s="43" t="s">
        <v>167</v>
      </c>
      <c r="Y119" s="49" t="s">
        <v>7</v>
      </c>
      <c r="Z119" s="22" t="s">
        <v>12</v>
      </c>
      <c r="AA119" s="22" t="s">
        <v>11</v>
      </c>
      <c r="AB119" s="23" t="s">
        <v>0</v>
      </c>
      <c r="AC119" s="39">
        <v>49.7</v>
      </c>
      <c r="AD119" s="43" t="s">
        <v>170</v>
      </c>
      <c r="AE119" s="49" t="s">
        <v>7</v>
      </c>
      <c r="AF119" s="22" t="s">
        <v>12</v>
      </c>
      <c r="AG119" s="22" t="s">
        <v>11</v>
      </c>
      <c r="AH119" s="23" t="s">
        <v>0</v>
      </c>
      <c r="AI119" s="39">
        <v>43.4</v>
      </c>
      <c r="AJ119" s="43" t="s">
        <v>175</v>
      </c>
      <c r="AK119" s="49" t="s">
        <v>7</v>
      </c>
      <c r="AL119" s="22" t="s">
        <v>12</v>
      </c>
      <c r="AM119" s="22" t="s">
        <v>11</v>
      </c>
      <c r="AN119" s="23" t="s">
        <v>0</v>
      </c>
      <c r="AO119" s="39">
        <v>46.2</v>
      </c>
      <c r="AP119" s="43" t="s">
        <v>72</v>
      </c>
      <c r="AQ119" s="49" t="s">
        <v>7</v>
      </c>
      <c r="AR119" s="22" t="s">
        <v>12</v>
      </c>
      <c r="AS119" s="22" t="s">
        <v>11</v>
      </c>
      <c r="AT119" s="23" t="s">
        <v>0</v>
      </c>
      <c r="AU119" s="37">
        <v>252</v>
      </c>
      <c r="AV119" s="43" t="s">
        <v>185</v>
      </c>
      <c r="AW119" s="49" t="s">
        <v>7</v>
      </c>
      <c r="AX119" s="22" t="s">
        <v>12</v>
      </c>
      <c r="AY119" s="22" t="s">
        <v>11</v>
      </c>
      <c r="AZ119" s="23" t="s">
        <v>0</v>
      </c>
      <c r="BA119" s="37">
        <v>18</v>
      </c>
      <c r="BB119" s="43" t="s">
        <v>191</v>
      </c>
      <c r="BC119" s="49" t="s">
        <v>7</v>
      </c>
      <c r="BD119" s="22" t="s">
        <v>12</v>
      </c>
      <c r="BE119" s="22" t="s">
        <v>11</v>
      </c>
      <c r="BF119" s="23" t="s">
        <v>0</v>
      </c>
      <c r="BG119" s="37">
        <v>14</v>
      </c>
      <c r="BH119" s="43" t="s">
        <v>87</v>
      </c>
      <c r="BI119" s="49" t="s">
        <v>7</v>
      </c>
      <c r="BJ119" s="22" t="s">
        <v>12</v>
      </c>
      <c r="BK119" s="22" t="s">
        <v>11</v>
      </c>
      <c r="BL119" s="23" t="s">
        <v>0</v>
      </c>
      <c r="BM119" s="37">
        <v>14</v>
      </c>
      <c r="BN119" s="133" t="s">
        <v>277</v>
      </c>
      <c r="BO119" s="49" t="s">
        <v>7</v>
      </c>
      <c r="BP119" s="22" t="s">
        <v>12</v>
      </c>
      <c r="BQ119" s="22" t="s">
        <v>11</v>
      </c>
      <c r="BR119" s="23" t="s">
        <v>0</v>
      </c>
      <c r="BS119" s="41">
        <v>17.5</v>
      </c>
      <c r="BT119" s="134" t="s">
        <v>281</v>
      </c>
    </row>
    <row r="120" spans="1:72" ht="12.95" customHeight="1" x14ac:dyDescent="0.15">
      <c r="A120" s="49" t="s">
        <v>7</v>
      </c>
      <c r="B120" s="22" t="s">
        <v>12</v>
      </c>
      <c r="C120" s="22" t="s">
        <v>15</v>
      </c>
      <c r="D120" s="23" t="s">
        <v>18</v>
      </c>
      <c r="E120" s="37">
        <v>29</v>
      </c>
      <c r="F120" s="38" t="s">
        <v>156</v>
      </c>
      <c r="G120" s="49" t="s">
        <v>7</v>
      </c>
      <c r="H120" s="22" t="s">
        <v>12</v>
      </c>
      <c r="I120" s="22" t="s">
        <v>15</v>
      </c>
      <c r="J120" s="23" t="s">
        <v>18</v>
      </c>
      <c r="K120" s="37">
        <v>37</v>
      </c>
      <c r="L120" s="38" t="s">
        <v>158</v>
      </c>
      <c r="M120" s="49" t="s">
        <v>7</v>
      </c>
      <c r="N120" s="22" t="s">
        <v>12</v>
      </c>
      <c r="O120" s="22" t="s">
        <v>15</v>
      </c>
      <c r="P120" s="23" t="s">
        <v>18</v>
      </c>
      <c r="Q120" s="37">
        <v>29</v>
      </c>
      <c r="R120" s="38" t="s">
        <v>162</v>
      </c>
      <c r="S120" s="49" t="s">
        <v>7</v>
      </c>
      <c r="T120" s="22" t="s">
        <v>12</v>
      </c>
      <c r="U120" s="22" t="s">
        <v>15</v>
      </c>
      <c r="V120" s="23" t="s">
        <v>18</v>
      </c>
      <c r="W120" s="37">
        <v>30</v>
      </c>
      <c r="X120" s="38" t="s">
        <v>167</v>
      </c>
      <c r="Y120" s="49" t="s">
        <v>7</v>
      </c>
      <c r="Z120" s="22" t="s">
        <v>12</v>
      </c>
      <c r="AA120" s="22" t="s">
        <v>15</v>
      </c>
      <c r="AB120" s="23" t="s">
        <v>18</v>
      </c>
      <c r="AC120" s="37">
        <v>29</v>
      </c>
      <c r="AD120" s="38" t="s">
        <v>170</v>
      </c>
      <c r="AE120" s="49" t="s">
        <v>7</v>
      </c>
      <c r="AF120" s="22" t="s">
        <v>12</v>
      </c>
      <c r="AG120" s="22" t="s">
        <v>15</v>
      </c>
      <c r="AH120" s="23" t="s">
        <v>18</v>
      </c>
      <c r="AI120" s="37">
        <v>26</v>
      </c>
      <c r="AJ120" s="38" t="s">
        <v>175</v>
      </c>
      <c r="AK120" s="49" t="s">
        <v>7</v>
      </c>
      <c r="AL120" s="22" t="s">
        <v>12</v>
      </c>
      <c r="AM120" s="22" t="s">
        <v>15</v>
      </c>
      <c r="AN120" s="23" t="s">
        <v>18</v>
      </c>
      <c r="AO120" s="37">
        <v>25</v>
      </c>
      <c r="AP120" s="38" t="s">
        <v>72</v>
      </c>
      <c r="AQ120" s="49" t="s">
        <v>7</v>
      </c>
      <c r="AR120" s="22" t="s">
        <v>12</v>
      </c>
      <c r="AS120" s="22" t="s">
        <v>15</v>
      </c>
      <c r="AT120" s="23" t="s">
        <v>18</v>
      </c>
      <c r="AU120" s="39">
        <v>3.9</v>
      </c>
      <c r="AV120" s="38" t="s">
        <v>185</v>
      </c>
      <c r="AW120" s="49" t="s">
        <v>7</v>
      </c>
      <c r="AX120" s="22" t="s">
        <v>12</v>
      </c>
      <c r="AY120" s="22" t="s">
        <v>15</v>
      </c>
      <c r="AZ120" s="23" t="s">
        <v>18</v>
      </c>
      <c r="BA120" s="37">
        <v>11</v>
      </c>
      <c r="BB120" s="38" t="s">
        <v>191</v>
      </c>
      <c r="BC120" s="49" t="s">
        <v>7</v>
      </c>
      <c r="BD120" s="22" t="s">
        <v>12</v>
      </c>
      <c r="BE120" s="22" t="s">
        <v>15</v>
      </c>
      <c r="BF120" s="23" t="s">
        <v>18</v>
      </c>
      <c r="BG120" s="39">
        <v>8.3000000000000007</v>
      </c>
      <c r="BH120" s="38" t="s">
        <v>87</v>
      </c>
      <c r="BI120" s="49" t="s">
        <v>7</v>
      </c>
      <c r="BJ120" s="22" t="s">
        <v>12</v>
      </c>
      <c r="BK120" s="22" t="s">
        <v>15</v>
      </c>
      <c r="BL120" s="23" t="s">
        <v>18</v>
      </c>
      <c r="BM120" s="41">
        <v>8.5</v>
      </c>
      <c r="BN120" s="133" t="s">
        <v>278</v>
      </c>
      <c r="BO120" s="49" t="s">
        <v>7</v>
      </c>
      <c r="BP120" s="22" t="s">
        <v>12</v>
      </c>
      <c r="BQ120" s="22" t="s">
        <v>15</v>
      </c>
      <c r="BR120" s="23" t="s">
        <v>18</v>
      </c>
      <c r="BS120" s="41">
        <v>13</v>
      </c>
      <c r="BT120" s="134" t="s">
        <v>281</v>
      </c>
    </row>
    <row r="121" spans="1:72" ht="12.95" customHeight="1" x14ac:dyDescent="0.15">
      <c r="A121" s="49" t="s">
        <v>7</v>
      </c>
      <c r="B121" s="22" t="s">
        <v>12</v>
      </c>
      <c r="C121" s="22" t="s">
        <v>15</v>
      </c>
      <c r="D121" s="23" t="s">
        <v>19</v>
      </c>
      <c r="E121" s="37">
        <v>290</v>
      </c>
      <c r="F121" s="42" t="s">
        <v>156</v>
      </c>
      <c r="G121" s="49" t="s">
        <v>7</v>
      </c>
      <c r="H121" s="22" t="s">
        <v>12</v>
      </c>
      <c r="I121" s="22" t="s">
        <v>15</v>
      </c>
      <c r="J121" s="23" t="s">
        <v>19</v>
      </c>
      <c r="K121" s="37">
        <v>370</v>
      </c>
      <c r="L121" s="42" t="s">
        <v>158</v>
      </c>
      <c r="M121" s="49" t="s">
        <v>7</v>
      </c>
      <c r="N121" s="22" t="s">
        <v>12</v>
      </c>
      <c r="O121" s="22" t="s">
        <v>15</v>
      </c>
      <c r="P121" s="23" t="s">
        <v>19</v>
      </c>
      <c r="Q121" s="37">
        <v>270</v>
      </c>
      <c r="R121" s="42" t="s">
        <v>162</v>
      </c>
      <c r="S121" s="49" t="s">
        <v>7</v>
      </c>
      <c r="T121" s="22" t="s">
        <v>12</v>
      </c>
      <c r="U121" s="22" t="s">
        <v>15</v>
      </c>
      <c r="V121" s="23" t="s">
        <v>19</v>
      </c>
      <c r="W121" s="37">
        <v>310</v>
      </c>
      <c r="X121" s="42" t="s">
        <v>167</v>
      </c>
      <c r="Y121" s="49" t="s">
        <v>7</v>
      </c>
      <c r="Z121" s="22" t="s">
        <v>12</v>
      </c>
      <c r="AA121" s="22" t="s">
        <v>15</v>
      </c>
      <c r="AB121" s="23" t="s">
        <v>19</v>
      </c>
      <c r="AC121" s="37">
        <v>310</v>
      </c>
      <c r="AD121" s="42" t="s">
        <v>170</v>
      </c>
      <c r="AE121" s="49" t="s">
        <v>7</v>
      </c>
      <c r="AF121" s="22" t="s">
        <v>12</v>
      </c>
      <c r="AG121" s="22" t="s">
        <v>15</v>
      </c>
      <c r="AH121" s="23" t="s">
        <v>19</v>
      </c>
      <c r="AI121" s="37">
        <v>260</v>
      </c>
      <c r="AJ121" s="42" t="s">
        <v>175</v>
      </c>
      <c r="AK121" s="49" t="s">
        <v>7</v>
      </c>
      <c r="AL121" s="22" t="s">
        <v>12</v>
      </c>
      <c r="AM121" s="22" t="s">
        <v>15</v>
      </c>
      <c r="AN121" s="23" t="s">
        <v>19</v>
      </c>
      <c r="AO121" s="37">
        <v>270</v>
      </c>
      <c r="AP121" s="42" t="s">
        <v>72</v>
      </c>
      <c r="AQ121" s="49" t="s">
        <v>7</v>
      </c>
      <c r="AR121" s="22" t="s">
        <v>12</v>
      </c>
      <c r="AS121" s="22" t="s">
        <v>15</v>
      </c>
      <c r="AT121" s="23" t="s">
        <v>19</v>
      </c>
      <c r="AU121" s="37">
        <v>39</v>
      </c>
      <c r="AV121" s="42" t="s">
        <v>185</v>
      </c>
      <c r="AW121" s="49" t="s">
        <v>7</v>
      </c>
      <c r="AX121" s="22" t="s">
        <v>12</v>
      </c>
      <c r="AY121" s="22" t="s">
        <v>15</v>
      </c>
      <c r="AZ121" s="23" t="s">
        <v>19</v>
      </c>
      <c r="BA121" s="37">
        <v>130</v>
      </c>
      <c r="BB121" s="42" t="s">
        <v>191</v>
      </c>
      <c r="BC121" s="49" t="s">
        <v>7</v>
      </c>
      <c r="BD121" s="22" t="s">
        <v>12</v>
      </c>
      <c r="BE121" s="22" t="s">
        <v>15</v>
      </c>
      <c r="BF121" s="23" t="s">
        <v>19</v>
      </c>
      <c r="BG121" s="37">
        <v>98</v>
      </c>
      <c r="BH121" s="42" t="s">
        <v>87</v>
      </c>
      <c r="BI121" s="49" t="s">
        <v>7</v>
      </c>
      <c r="BJ121" s="22" t="s">
        <v>12</v>
      </c>
      <c r="BK121" s="22" t="s">
        <v>15</v>
      </c>
      <c r="BL121" s="23" t="s">
        <v>19</v>
      </c>
      <c r="BM121" s="41">
        <v>96</v>
      </c>
      <c r="BN121" s="133" t="s">
        <v>278</v>
      </c>
      <c r="BO121" s="49" t="s">
        <v>7</v>
      </c>
      <c r="BP121" s="22" t="s">
        <v>12</v>
      </c>
      <c r="BQ121" s="22" t="s">
        <v>15</v>
      </c>
      <c r="BR121" s="23" t="s">
        <v>19</v>
      </c>
      <c r="BS121" s="41">
        <v>130</v>
      </c>
      <c r="BT121" s="134" t="s">
        <v>281</v>
      </c>
    </row>
    <row r="122" spans="1:72" ht="12.95" customHeight="1" x14ac:dyDescent="0.15">
      <c r="A122" s="49" t="s">
        <v>7</v>
      </c>
      <c r="B122" s="22" t="s">
        <v>12</v>
      </c>
      <c r="C122" s="22" t="s">
        <v>15</v>
      </c>
      <c r="D122" s="23" t="s">
        <v>0</v>
      </c>
      <c r="E122" s="37">
        <v>319</v>
      </c>
      <c r="F122" s="43" t="s">
        <v>156</v>
      </c>
      <c r="G122" s="49" t="s">
        <v>7</v>
      </c>
      <c r="H122" s="22" t="s">
        <v>12</v>
      </c>
      <c r="I122" s="22" t="s">
        <v>15</v>
      </c>
      <c r="J122" s="23" t="s">
        <v>0</v>
      </c>
      <c r="K122" s="37">
        <v>407</v>
      </c>
      <c r="L122" s="43" t="s">
        <v>158</v>
      </c>
      <c r="M122" s="49" t="s">
        <v>7</v>
      </c>
      <c r="N122" s="22" t="s">
        <v>12</v>
      </c>
      <c r="O122" s="22" t="s">
        <v>15</v>
      </c>
      <c r="P122" s="23" t="s">
        <v>0</v>
      </c>
      <c r="Q122" s="37">
        <v>299</v>
      </c>
      <c r="R122" s="43" t="s">
        <v>162</v>
      </c>
      <c r="S122" s="49" t="s">
        <v>7</v>
      </c>
      <c r="T122" s="22" t="s">
        <v>12</v>
      </c>
      <c r="U122" s="22" t="s">
        <v>15</v>
      </c>
      <c r="V122" s="23" t="s">
        <v>0</v>
      </c>
      <c r="W122" s="37">
        <v>340</v>
      </c>
      <c r="X122" s="43" t="s">
        <v>167</v>
      </c>
      <c r="Y122" s="49" t="s">
        <v>7</v>
      </c>
      <c r="Z122" s="22" t="s">
        <v>12</v>
      </c>
      <c r="AA122" s="22" t="s">
        <v>15</v>
      </c>
      <c r="AB122" s="23" t="s">
        <v>0</v>
      </c>
      <c r="AC122" s="37">
        <v>339</v>
      </c>
      <c r="AD122" s="43" t="s">
        <v>170</v>
      </c>
      <c r="AE122" s="49" t="s">
        <v>7</v>
      </c>
      <c r="AF122" s="22" t="s">
        <v>12</v>
      </c>
      <c r="AG122" s="22" t="s">
        <v>15</v>
      </c>
      <c r="AH122" s="23" t="s">
        <v>0</v>
      </c>
      <c r="AI122" s="37">
        <v>286</v>
      </c>
      <c r="AJ122" s="43" t="s">
        <v>175</v>
      </c>
      <c r="AK122" s="49" t="s">
        <v>7</v>
      </c>
      <c r="AL122" s="22" t="s">
        <v>12</v>
      </c>
      <c r="AM122" s="22" t="s">
        <v>15</v>
      </c>
      <c r="AN122" s="23" t="s">
        <v>0</v>
      </c>
      <c r="AO122" s="37">
        <v>295</v>
      </c>
      <c r="AP122" s="43" t="s">
        <v>72</v>
      </c>
      <c r="AQ122" s="49" t="s">
        <v>7</v>
      </c>
      <c r="AR122" s="22" t="s">
        <v>12</v>
      </c>
      <c r="AS122" s="22" t="s">
        <v>15</v>
      </c>
      <c r="AT122" s="23" t="s">
        <v>0</v>
      </c>
      <c r="AU122" s="39">
        <v>42.9</v>
      </c>
      <c r="AV122" s="43" t="s">
        <v>185</v>
      </c>
      <c r="AW122" s="49" t="s">
        <v>7</v>
      </c>
      <c r="AX122" s="22" t="s">
        <v>12</v>
      </c>
      <c r="AY122" s="22" t="s">
        <v>15</v>
      </c>
      <c r="AZ122" s="23" t="s">
        <v>0</v>
      </c>
      <c r="BA122" s="37">
        <v>141</v>
      </c>
      <c r="BB122" s="43" t="s">
        <v>191</v>
      </c>
      <c r="BC122" s="49" t="s">
        <v>7</v>
      </c>
      <c r="BD122" s="22" t="s">
        <v>12</v>
      </c>
      <c r="BE122" s="22" t="s">
        <v>15</v>
      </c>
      <c r="BF122" s="23" t="s">
        <v>0</v>
      </c>
      <c r="BG122" s="39">
        <v>106.3</v>
      </c>
      <c r="BH122" s="43" t="s">
        <v>87</v>
      </c>
      <c r="BI122" s="49" t="s">
        <v>7</v>
      </c>
      <c r="BJ122" s="22" t="s">
        <v>12</v>
      </c>
      <c r="BK122" s="22" t="s">
        <v>15</v>
      </c>
      <c r="BL122" s="23" t="s">
        <v>0</v>
      </c>
      <c r="BM122" s="41">
        <v>104.5</v>
      </c>
      <c r="BN122" s="133" t="s">
        <v>278</v>
      </c>
      <c r="BO122" s="49" t="s">
        <v>7</v>
      </c>
      <c r="BP122" s="22" t="s">
        <v>12</v>
      </c>
      <c r="BQ122" s="22" t="s">
        <v>15</v>
      </c>
      <c r="BR122" s="23" t="s">
        <v>0</v>
      </c>
      <c r="BS122" s="41">
        <v>143</v>
      </c>
      <c r="BT122" s="134" t="s">
        <v>281</v>
      </c>
    </row>
    <row r="123" spans="1:72" ht="12.95" customHeight="1" x14ac:dyDescent="0.15">
      <c r="A123" s="49" t="s">
        <v>7</v>
      </c>
      <c r="B123" s="22" t="s">
        <v>10</v>
      </c>
      <c r="C123" s="22" t="s">
        <v>16</v>
      </c>
      <c r="D123" s="23" t="s">
        <v>18</v>
      </c>
      <c r="E123" s="37">
        <v>15</v>
      </c>
      <c r="F123" s="38" t="s">
        <v>24</v>
      </c>
      <c r="G123" s="49" t="s">
        <v>7</v>
      </c>
      <c r="H123" s="22" t="s">
        <v>10</v>
      </c>
      <c r="I123" s="22" t="s">
        <v>16</v>
      </c>
      <c r="J123" s="23" t="s">
        <v>18</v>
      </c>
      <c r="K123" s="37">
        <v>11</v>
      </c>
      <c r="L123" s="38" t="s">
        <v>25</v>
      </c>
      <c r="M123" s="49" t="s">
        <v>7</v>
      </c>
      <c r="N123" s="22" t="s">
        <v>10</v>
      </c>
      <c r="O123" s="22" t="s">
        <v>16</v>
      </c>
      <c r="P123" s="23" t="s">
        <v>18</v>
      </c>
      <c r="Q123" s="37">
        <v>10</v>
      </c>
      <c r="R123" s="38" t="s">
        <v>163</v>
      </c>
      <c r="S123" s="49" t="s">
        <v>7</v>
      </c>
      <c r="T123" s="22" t="s">
        <v>10</v>
      </c>
      <c r="U123" s="22" t="s">
        <v>16</v>
      </c>
      <c r="V123" s="23" t="s">
        <v>18</v>
      </c>
      <c r="W123" s="37">
        <v>9</v>
      </c>
      <c r="X123" s="38" t="s">
        <v>124</v>
      </c>
      <c r="Y123" s="49" t="s">
        <v>7</v>
      </c>
      <c r="Z123" s="22" t="s">
        <v>10</v>
      </c>
      <c r="AA123" s="22" t="s">
        <v>16</v>
      </c>
      <c r="AB123" s="23" t="s">
        <v>18</v>
      </c>
      <c r="AC123" s="37">
        <v>13</v>
      </c>
      <c r="AD123" s="38" t="s">
        <v>171</v>
      </c>
      <c r="AE123" s="49" t="s">
        <v>7</v>
      </c>
      <c r="AF123" s="22" t="s">
        <v>10</v>
      </c>
      <c r="AG123" s="22" t="s">
        <v>16</v>
      </c>
      <c r="AH123" s="23" t="s">
        <v>18</v>
      </c>
      <c r="AI123" s="37">
        <v>15</v>
      </c>
      <c r="AJ123" s="38" t="s">
        <v>49</v>
      </c>
      <c r="AK123" s="49" t="s">
        <v>7</v>
      </c>
      <c r="AL123" s="22" t="s">
        <v>10</v>
      </c>
      <c r="AM123" s="22" t="s">
        <v>16</v>
      </c>
      <c r="AN123" s="23" t="s">
        <v>18</v>
      </c>
      <c r="AO123" s="39">
        <v>8.4</v>
      </c>
      <c r="AP123" s="38" t="s">
        <v>79</v>
      </c>
      <c r="AQ123" s="49" t="s">
        <v>7</v>
      </c>
      <c r="AR123" s="22" t="s">
        <v>10</v>
      </c>
      <c r="AS123" s="22" t="s">
        <v>16</v>
      </c>
      <c r="AT123" s="23" t="s">
        <v>18</v>
      </c>
      <c r="AU123" s="37">
        <v>10</v>
      </c>
      <c r="AV123" s="38" t="s">
        <v>186</v>
      </c>
      <c r="AW123" s="49" t="s">
        <v>7</v>
      </c>
      <c r="AX123" s="22" t="s">
        <v>10</v>
      </c>
      <c r="AY123" s="22" t="s">
        <v>16</v>
      </c>
      <c r="AZ123" s="23" t="s">
        <v>18</v>
      </c>
      <c r="BA123" s="39">
        <v>8.3000000000000007</v>
      </c>
      <c r="BB123" s="38" t="s">
        <v>63</v>
      </c>
      <c r="BC123" s="49" t="s">
        <v>7</v>
      </c>
      <c r="BD123" s="22" t="s">
        <v>10</v>
      </c>
      <c r="BE123" s="22" t="s">
        <v>16</v>
      </c>
      <c r="BF123" s="23" t="s">
        <v>18</v>
      </c>
      <c r="BG123" s="44">
        <v>6.8</v>
      </c>
      <c r="BH123" s="38" t="s">
        <v>195</v>
      </c>
      <c r="BI123" s="49" t="s">
        <v>7</v>
      </c>
      <c r="BJ123" s="22" t="s">
        <v>10</v>
      </c>
      <c r="BK123" s="22" t="s">
        <v>16</v>
      </c>
      <c r="BL123" s="23" t="s">
        <v>18</v>
      </c>
      <c r="BM123" s="41">
        <v>8.4</v>
      </c>
      <c r="BN123" s="133" t="s">
        <v>279</v>
      </c>
      <c r="BO123" s="49" t="s">
        <v>7</v>
      </c>
      <c r="BP123" s="22" t="s">
        <v>10</v>
      </c>
      <c r="BQ123" s="22" t="s">
        <v>16</v>
      </c>
      <c r="BR123" s="23" t="s">
        <v>18</v>
      </c>
      <c r="BS123" s="41">
        <v>4.8</v>
      </c>
      <c r="BT123" s="134" t="s">
        <v>281</v>
      </c>
    </row>
    <row r="124" spans="1:72" ht="12.95" customHeight="1" x14ac:dyDescent="0.15">
      <c r="A124" s="49" t="s">
        <v>7</v>
      </c>
      <c r="B124" s="22" t="s">
        <v>10</v>
      </c>
      <c r="C124" s="22" t="s">
        <v>16</v>
      </c>
      <c r="D124" s="23" t="s">
        <v>19</v>
      </c>
      <c r="E124" s="37">
        <v>150</v>
      </c>
      <c r="F124" s="42" t="s">
        <v>24</v>
      </c>
      <c r="G124" s="49" t="s">
        <v>7</v>
      </c>
      <c r="H124" s="22" t="s">
        <v>10</v>
      </c>
      <c r="I124" s="22" t="s">
        <v>16</v>
      </c>
      <c r="J124" s="23" t="s">
        <v>19</v>
      </c>
      <c r="K124" s="37">
        <v>100</v>
      </c>
      <c r="L124" s="42" t="s">
        <v>25</v>
      </c>
      <c r="M124" s="49" t="s">
        <v>7</v>
      </c>
      <c r="N124" s="22" t="s">
        <v>10</v>
      </c>
      <c r="O124" s="22" t="s">
        <v>16</v>
      </c>
      <c r="P124" s="23" t="s">
        <v>19</v>
      </c>
      <c r="Q124" s="37">
        <v>100</v>
      </c>
      <c r="R124" s="42" t="s">
        <v>163</v>
      </c>
      <c r="S124" s="49" t="s">
        <v>7</v>
      </c>
      <c r="T124" s="22" t="s">
        <v>10</v>
      </c>
      <c r="U124" s="22" t="s">
        <v>16</v>
      </c>
      <c r="V124" s="23" t="s">
        <v>19</v>
      </c>
      <c r="W124" s="37">
        <v>96</v>
      </c>
      <c r="X124" s="42" t="s">
        <v>124</v>
      </c>
      <c r="Y124" s="49" t="s">
        <v>7</v>
      </c>
      <c r="Z124" s="22" t="s">
        <v>10</v>
      </c>
      <c r="AA124" s="22" t="s">
        <v>16</v>
      </c>
      <c r="AB124" s="23" t="s">
        <v>19</v>
      </c>
      <c r="AC124" s="37">
        <v>140</v>
      </c>
      <c r="AD124" s="42" t="s">
        <v>171</v>
      </c>
      <c r="AE124" s="49" t="s">
        <v>7</v>
      </c>
      <c r="AF124" s="22" t="s">
        <v>10</v>
      </c>
      <c r="AG124" s="22" t="s">
        <v>16</v>
      </c>
      <c r="AH124" s="23" t="s">
        <v>19</v>
      </c>
      <c r="AI124" s="37">
        <v>170</v>
      </c>
      <c r="AJ124" s="42" t="s">
        <v>49</v>
      </c>
      <c r="AK124" s="49" t="s">
        <v>7</v>
      </c>
      <c r="AL124" s="22" t="s">
        <v>10</v>
      </c>
      <c r="AM124" s="22" t="s">
        <v>16</v>
      </c>
      <c r="AN124" s="23" t="s">
        <v>19</v>
      </c>
      <c r="AO124" s="37">
        <v>100</v>
      </c>
      <c r="AP124" s="42" t="s">
        <v>79</v>
      </c>
      <c r="AQ124" s="49" t="s">
        <v>7</v>
      </c>
      <c r="AR124" s="22" t="s">
        <v>10</v>
      </c>
      <c r="AS124" s="22" t="s">
        <v>16</v>
      </c>
      <c r="AT124" s="23" t="s">
        <v>19</v>
      </c>
      <c r="AU124" s="37">
        <v>120</v>
      </c>
      <c r="AV124" s="42" t="s">
        <v>186</v>
      </c>
      <c r="AW124" s="49" t="s">
        <v>7</v>
      </c>
      <c r="AX124" s="22" t="s">
        <v>10</v>
      </c>
      <c r="AY124" s="22" t="s">
        <v>16</v>
      </c>
      <c r="AZ124" s="23" t="s">
        <v>19</v>
      </c>
      <c r="BA124" s="37">
        <v>100</v>
      </c>
      <c r="BB124" s="42" t="s">
        <v>63</v>
      </c>
      <c r="BC124" s="49" t="s">
        <v>7</v>
      </c>
      <c r="BD124" s="22" t="s">
        <v>10</v>
      </c>
      <c r="BE124" s="22" t="s">
        <v>16</v>
      </c>
      <c r="BF124" s="23" t="s">
        <v>19</v>
      </c>
      <c r="BG124" s="37">
        <v>90</v>
      </c>
      <c r="BH124" s="42" t="s">
        <v>195</v>
      </c>
      <c r="BI124" s="49" t="s">
        <v>7</v>
      </c>
      <c r="BJ124" s="22" t="s">
        <v>10</v>
      </c>
      <c r="BK124" s="22" t="s">
        <v>16</v>
      </c>
      <c r="BL124" s="23" t="s">
        <v>19</v>
      </c>
      <c r="BM124" s="41">
        <v>87</v>
      </c>
      <c r="BN124" s="133" t="s">
        <v>279</v>
      </c>
      <c r="BO124" s="49" t="s">
        <v>7</v>
      </c>
      <c r="BP124" s="22" t="s">
        <v>10</v>
      </c>
      <c r="BQ124" s="22" t="s">
        <v>16</v>
      </c>
      <c r="BR124" s="23" t="s">
        <v>19</v>
      </c>
      <c r="BS124" s="41">
        <v>67</v>
      </c>
      <c r="BT124" s="134" t="s">
        <v>281</v>
      </c>
    </row>
    <row r="125" spans="1:72" ht="12.95" customHeight="1" x14ac:dyDescent="0.15">
      <c r="A125" s="49" t="s">
        <v>7</v>
      </c>
      <c r="B125" s="22" t="s">
        <v>10</v>
      </c>
      <c r="C125" s="22" t="s">
        <v>16</v>
      </c>
      <c r="D125" s="23" t="s">
        <v>0</v>
      </c>
      <c r="E125" s="37">
        <v>165</v>
      </c>
      <c r="F125" s="43" t="s">
        <v>24</v>
      </c>
      <c r="G125" s="49" t="s">
        <v>7</v>
      </c>
      <c r="H125" s="22" t="s">
        <v>10</v>
      </c>
      <c r="I125" s="22" t="s">
        <v>16</v>
      </c>
      <c r="J125" s="23" t="s">
        <v>0</v>
      </c>
      <c r="K125" s="44">
        <v>111</v>
      </c>
      <c r="L125" s="43" t="s">
        <v>25</v>
      </c>
      <c r="M125" s="49" t="s">
        <v>7</v>
      </c>
      <c r="N125" s="22" t="s">
        <v>10</v>
      </c>
      <c r="O125" s="22" t="s">
        <v>16</v>
      </c>
      <c r="P125" s="23" t="s">
        <v>0</v>
      </c>
      <c r="Q125" s="37">
        <v>110</v>
      </c>
      <c r="R125" s="43" t="s">
        <v>163</v>
      </c>
      <c r="S125" s="49" t="s">
        <v>7</v>
      </c>
      <c r="T125" s="22" t="s">
        <v>10</v>
      </c>
      <c r="U125" s="22" t="s">
        <v>16</v>
      </c>
      <c r="V125" s="23" t="s">
        <v>0</v>
      </c>
      <c r="W125" s="45">
        <v>104.6</v>
      </c>
      <c r="X125" s="43" t="s">
        <v>124</v>
      </c>
      <c r="Y125" s="49" t="s">
        <v>7</v>
      </c>
      <c r="Z125" s="22" t="s">
        <v>10</v>
      </c>
      <c r="AA125" s="22" t="s">
        <v>16</v>
      </c>
      <c r="AB125" s="23" t="s">
        <v>0</v>
      </c>
      <c r="AC125" s="37">
        <v>153</v>
      </c>
      <c r="AD125" s="43" t="s">
        <v>171</v>
      </c>
      <c r="AE125" s="49" t="s">
        <v>7</v>
      </c>
      <c r="AF125" s="22" t="s">
        <v>10</v>
      </c>
      <c r="AG125" s="22" t="s">
        <v>16</v>
      </c>
      <c r="AH125" s="23" t="s">
        <v>0</v>
      </c>
      <c r="AI125" s="37">
        <v>185</v>
      </c>
      <c r="AJ125" s="43" t="s">
        <v>49</v>
      </c>
      <c r="AK125" s="49" t="s">
        <v>7</v>
      </c>
      <c r="AL125" s="22" t="s">
        <v>10</v>
      </c>
      <c r="AM125" s="22" t="s">
        <v>16</v>
      </c>
      <c r="AN125" s="23" t="s">
        <v>0</v>
      </c>
      <c r="AO125" s="39">
        <v>108.4</v>
      </c>
      <c r="AP125" s="43" t="s">
        <v>79</v>
      </c>
      <c r="AQ125" s="49" t="s">
        <v>7</v>
      </c>
      <c r="AR125" s="22" t="s">
        <v>10</v>
      </c>
      <c r="AS125" s="22" t="s">
        <v>16</v>
      </c>
      <c r="AT125" s="23" t="s">
        <v>0</v>
      </c>
      <c r="AU125" s="37">
        <v>130</v>
      </c>
      <c r="AV125" s="43" t="s">
        <v>186</v>
      </c>
      <c r="AW125" s="49" t="s">
        <v>7</v>
      </c>
      <c r="AX125" s="22" t="s">
        <v>10</v>
      </c>
      <c r="AY125" s="22" t="s">
        <v>16</v>
      </c>
      <c r="AZ125" s="23" t="s">
        <v>0</v>
      </c>
      <c r="BA125" s="39">
        <v>108.3</v>
      </c>
      <c r="BB125" s="43" t="s">
        <v>63</v>
      </c>
      <c r="BC125" s="49" t="s">
        <v>7</v>
      </c>
      <c r="BD125" s="22" t="s">
        <v>10</v>
      </c>
      <c r="BE125" s="22" t="s">
        <v>16</v>
      </c>
      <c r="BF125" s="23" t="s">
        <v>0</v>
      </c>
      <c r="BG125" s="39">
        <v>96.8</v>
      </c>
      <c r="BH125" s="43" t="s">
        <v>195</v>
      </c>
      <c r="BI125" s="49" t="s">
        <v>7</v>
      </c>
      <c r="BJ125" s="22" t="s">
        <v>10</v>
      </c>
      <c r="BK125" s="22" t="s">
        <v>16</v>
      </c>
      <c r="BL125" s="23" t="s">
        <v>0</v>
      </c>
      <c r="BM125" s="41">
        <v>95.4</v>
      </c>
      <c r="BN125" s="133" t="s">
        <v>279</v>
      </c>
      <c r="BO125" s="49" t="s">
        <v>7</v>
      </c>
      <c r="BP125" s="22" t="s">
        <v>10</v>
      </c>
      <c r="BQ125" s="22" t="s">
        <v>16</v>
      </c>
      <c r="BR125" s="23" t="s">
        <v>0</v>
      </c>
      <c r="BS125" s="41">
        <v>71.8</v>
      </c>
      <c r="BT125" s="134" t="s">
        <v>281</v>
      </c>
    </row>
    <row r="126" spans="1:72" ht="12.95" customHeight="1" x14ac:dyDescent="0.15">
      <c r="A126" s="49" t="s">
        <v>7</v>
      </c>
      <c r="B126" s="22" t="s">
        <v>21</v>
      </c>
      <c r="C126" s="22" t="s">
        <v>8</v>
      </c>
      <c r="D126" s="23" t="s">
        <v>18</v>
      </c>
      <c r="E126" s="40" t="s">
        <v>130</v>
      </c>
      <c r="F126" s="38" t="s">
        <v>24</v>
      </c>
      <c r="G126" s="49" t="s">
        <v>7</v>
      </c>
      <c r="H126" s="22" t="s">
        <v>21</v>
      </c>
      <c r="I126" s="22" t="s">
        <v>8</v>
      </c>
      <c r="J126" s="23" t="s">
        <v>18</v>
      </c>
      <c r="K126" s="40" t="s">
        <v>130</v>
      </c>
      <c r="L126" s="38" t="s">
        <v>25</v>
      </c>
      <c r="M126" s="49" t="s">
        <v>7</v>
      </c>
      <c r="N126" s="22" t="s">
        <v>21</v>
      </c>
      <c r="O126" s="22" t="s">
        <v>8</v>
      </c>
      <c r="P126" s="23" t="s">
        <v>18</v>
      </c>
      <c r="Q126" s="40" t="s">
        <v>130</v>
      </c>
      <c r="R126" s="38" t="s">
        <v>163</v>
      </c>
      <c r="S126" s="49" t="s">
        <v>7</v>
      </c>
      <c r="T126" s="22" t="s">
        <v>21</v>
      </c>
      <c r="U126" s="22" t="s">
        <v>8</v>
      </c>
      <c r="V126" s="23" t="s">
        <v>18</v>
      </c>
      <c r="W126" s="40" t="s">
        <v>130</v>
      </c>
      <c r="X126" s="38" t="s">
        <v>121</v>
      </c>
      <c r="Y126" s="49" t="s">
        <v>7</v>
      </c>
      <c r="Z126" s="22" t="s">
        <v>21</v>
      </c>
      <c r="AA126" s="22" t="s">
        <v>8</v>
      </c>
      <c r="AB126" s="23" t="s">
        <v>18</v>
      </c>
      <c r="AC126" s="40" t="s">
        <v>130</v>
      </c>
      <c r="AD126" s="38" t="s">
        <v>171</v>
      </c>
      <c r="AE126" s="49" t="s">
        <v>7</v>
      </c>
      <c r="AF126" s="22" t="s">
        <v>21</v>
      </c>
      <c r="AG126" s="22" t="s">
        <v>8</v>
      </c>
      <c r="AH126" s="23" t="s">
        <v>18</v>
      </c>
      <c r="AI126" s="40" t="s">
        <v>130</v>
      </c>
      <c r="AJ126" s="38" t="s">
        <v>49</v>
      </c>
      <c r="AK126" s="49" t="s">
        <v>7</v>
      </c>
      <c r="AL126" s="22" t="s">
        <v>21</v>
      </c>
      <c r="AM126" s="22" t="s">
        <v>8</v>
      </c>
      <c r="AN126" s="23" t="s">
        <v>18</v>
      </c>
      <c r="AO126" s="40" t="s">
        <v>130</v>
      </c>
      <c r="AP126" s="38" t="s">
        <v>79</v>
      </c>
      <c r="AQ126" s="49" t="s">
        <v>7</v>
      </c>
      <c r="AR126" s="22" t="s">
        <v>21</v>
      </c>
      <c r="AS126" s="22" t="s">
        <v>8</v>
      </c>
      <c r="AT126" s="23" t="s">
        <v>18</v>
      </c>
      <c r="AU126" s="40" t="s">
        <v>130</v>
      </c>
      <c r="AV126" s="38" t="s">
        <v>147</v>
      </c>
      <c r="AW126" s="49" t="s">
        <v>7</v>
      </c>
      <c r="AX126" s="22" t="s">
        <v>21</v>
      </c>
      <c r="AY126" s="22" t="s">
        <v>8</v>
      </c>
      <c r="AZ126" s="23" t="s">
        <v>18</v>
      </c>
      <c r="BA126" s="40" t="s">
        <v>130</v>
      </c>
      <c r="BB126" s="38" t="s">
        <v>63</v>
      </c>
      <c r="BC126" s="49" t="s">
        <v>7</v>
      </c>
      <c r="BD126" s="22" t="s">
        <v>21</v>
      </c>
      <c r="BE126" s="22" t="s">
        <v>8</v>
      </c>
      <c r="BF126" s="23" t="s">
        <v>18</v>
      </c>
      <c r="BG126" s="40" t="s">
        <v>130</v>
      </c>
      <c r="BH126" s="38" t="s">
        <v>195</v>
      </c>
      <c r="BI126" s="49" t="s">
        <v>7</v>
      </c>
      <c r="BJ126" s="22" t="s">
        <v>21</v>
      </c>
      <c r="BK126" s="22" t="s">
        <v>8</v>
      </c>
      <c r="BL126" s="23" t="s">
        <v>18</v>
      </c>
      <c r="BM126" s="41" t="s">
        <v>276</v>
      </c>
      <c r="BN126" s="133" t="s">
        <v>280</v>
      </c>
      <c r="BO126" s="49" t="s">
        <v>7</v>
      </c>
      <c r="BP126" s="22" t="s">
        <v>21</v>
      </c>
      <c r="BQ126" s="22" t="s">
        <v>8</v>
      </c>
      <c r="BR126" s="23" t="s">
        <v>18</v>
      </c>
      <c r="BS126" s="41" t="s">
        <v>282</v>
      </c>
      <c r="BT126" s="134" t="s">
        <v>281</v>
      </c>
    </row>
    <row r="127" spans="1:72" ht="12.95" customHeight="1" x14ac:dyDescent="0.15">
      <c r="A127" s="49" t="s">
        <v>7</v>
      </c>
      <c r="B127" s="22" t="s">
        <v>21</v>
      </c>
      <c r="C127" s="22" t="s">
        <v>8</v>
      </c>
      <c r="D127" s="23" t="s">
        <v>19</v>
      </c>
      <c r="E127" s="40">
        <v>7</v>
      </c>
      <c r="F127" s="42" t="s">
        <v>24</v>
      </c>
      <c r="G127" s="49" t="s">
        <v>7</v>
      </c>
      <c r="H127" s="22" t="s">
        <v>21</v>
      </c>
      <c r="I127" s="22" t="s">
        <v>8</v>
      </c>
      <c r="J127" s="23" t="s">
        <v>19</v>
      </c>
      <c r="K127" s="40">
        <v>7.6</v>
      </c>
      <c r="L127" s="42" t="s">
        <v>25</v>
      </c>
      <c r="M127" s="49" t="s">
        <v>7</v>
      </c>
      <c r="N127" s="22" t="s">
        <v>21</v>
      </c>
      <c r="O127" s="22" t="s">
        <v>8</v>
      </c>
      <c r="P127" s="23" t="s">
        <v>19</v>
      </c>
      <c r="Q127" s="39">
        <v>8.1999999999999993</v>
      </c>
      <c r="R127" s="42" t="s">
        <v>163</v>
      </c>
      <c r="S127" s="49" t="s">
        <v>7</v>
      </c>
      <c r="T127" s="22" t="s">
        <v>21</v>
      </c>
      <c r="U127" s="22" t="s">
        <v>8</v>
      </c>
      <c r="V127" s="23" t="s">
        <v>19</v>
      </c>
      <c r="W127" s="37">
        <v>8</v>
      </c>
      <c r="X127" s="42" t="s">
        <v>121</v>
      </c>
      <c r="Y127" s="49" t="s">
        <v>7</v>
      </c>
      <c r="Z127" s="22" t="s">
        <v>21</v>
      </c>
      <c r="AA127" s="22" t="s">
        <v>8</v>
      </c>
      <c r="AB127" s="23" t="s">
        <v>19</v>
      </c>
      <c r="AC127" s="37">
        <v>64</v>
      </c>
      <c r="AD127" s="42" t="s">
        <v>171</v>
      </c>
      <c r="AE127" s="49" t="s">
        <v>7</v>
      </c>
      <c r="AF127" s="22" t="s">
        <v>21</v>
      </c>
      <c r="AG127" s="22" t="s">
        <v>8</v>
      </c>
      <c r="AH127" s="23" t="s">
        <v>19</v>
      </c>
      <c r="AI127" s="37">
        <v>55</v>
      </c>
      <c r="AJ127" s="42" t="s">
        <v>49</v>
      </c>
      <c r="AK127" s="49" t="s">
        <v>7</v>
      </c>
      <c r="AL127" s="22" t="s">
        <v>21</v>
      </c>
      <c r="AM127" s="22" t="s">
        <v>8</v>
      </c>
      <c r="AN127" s="23" t="s">
        <v>19</v>
      </c>
      <c r="AO127" s="39">
        <v>3.5</v>
      </c>
      <c r="AP127" s="42" t="s">
        <v>79</v>
      </c>
      <c r="AQ127" s="49" t="s">
        <v>7</v>
      </c>
      <c r="AR127" s="22" t="s">
        <v>21</v>
      </c>
      <c r="AS127" s="22" t="s">
        <v>8</v>
      </c>
      <c r="AT127" s="23" t="s">
        <v>19</v>
      </c>
      <c r="AU127" s="40" t="s">
        <v>130</v>
      </c>
      <c r="AV127" s="42" t="s">
        <v>147</v>
      </c>
      <c r="AW127" s="49" t="s">
        <v>7</v>
      </c>
      <c r="AX127" s="22" t="s">
        <v>21</v>
      </c>
      <c r="AY127" s="22" t="s">
        <v>8</v>
      </c>
      <c r="AZ127" s="23" t="s">
        <v>19</v>
      </c>
      <c r="BA127" s="37">
        <v>57</v>
      </c>
      <c r="BB127" s="42" t="s">
        <v>63</v>
      </c>
      <c r="BC127" s="49" t="s">
        <v>7</v>
      </c>
      <c r="BD127" s="22" t="s">
        <v>21</v>
      </c>
      <c r="BE127" s="22" t="s">
        <v>8</v>
      </c>
      <c r="BF127" s="23" t="s">
        <v>19</v>
      </c>
      <c r="BG127" s="40">
        <v>7.3</v>
      </c>
      <c r="BH127" s="42" t="s">
        <v>195</v>
      </c>
      <c r="BI127" s="49" t="s">
        <v>7</v>
      </c>
      <c r="BJ127" s="22" t="s">
        <v>21</v>
      </c>
      <c r="BK127" s="22" t="s">
        <v>8</v>
      </c>
      <c r="BL127" s="23" t="s">
        <v>19</v>
      </c>
      <c r="BM127" s="41">
        <v>6.4</v>
      </c>
      <c r="BN127" s="133" t="s">
        <v>280</v>
      </c>
      <c r="BO127" s="49" t="s">
        <v>7</v>
      </c>
      <c r="BP127" s="22" t="s">
        <v>21</v>
      </c>
      <c r="BQ127" s="22" t="s">
        <v>8</v>
      </c>
      <c r="BR127" s="23" t="s">
        <v>19</v>
      </c>
      <c r="BS127" s="41">
        <v>7.1</v>
      </c>
      <c r="BT127" s="134" t="s">
        <v>281</v>
      </c>
    </row>
    <row r="128" spans="1:72" ht="12.95" customHeight="1" x14ac:dyDescent="0.15">
      <c r="A128" s="49" t="s">
        <v>7</v>
      </c>
      <c r="B128" s="22" t="s">
        <v>21</v>
      </c>
      <c r="C128" s="22" t="s">
        <v>8</v>
      </c>
      <c r="D128" s="23" t="s">
        <v>0</v>
      </c>
      <c r="E128" s="40">
        <v>7</v>
      </c>
      <c r="F128" s="43" t="s">
        <v>24</v>
      </c>
      <c r="G128" s="49" t="s">
        <v>7</v>
      </c>
      <c r="H128" s="22" t="s">
        <v>21</v>
      </c>
      <c r="I128" s="22" t="s">
        <v>8</v>
      </c>
      <c r="J128" s="23" t="s">
        <v>0</v>
      </c>
      <c r="K128" s="40">
        <v>7.6</v>
      </c>
      <c r="L128" s="43" t="s">
        <v>25</v>
      </c>
      <c r="M128" s="49" t="s">
        <v>7</v>
      </c>
      <c r="N128" s="22" t="s">
        <v>21</v>
      </c>
      <c r="O128" s="22" t="s">
        <v>8</v>
      </c>
      <c r="P128" s="23" t="s">
        <v>0</v>
      </c>
      <c r="Q128" s="39">
        <v>8.1999999999999993</v>
      </c>
      <c r="R128" s="43" t="s">
        <v>163</v>
      </c>
      <c r="S128" s="49" t="s">
        <v>7</v>
      </c>
      <c r="T128" s="22" t="s">
        <v>21</v>
      </c>
      <c r="U128" s="22" t="s">
        <v>8</v>
      </c>
      <c r="V128" s="23" t="s">
        <v>0</v>
      </c>
      <c r="W128" s="37">
        <v>8</v>
      </c>
      <c r="X128" s="43" t="s">
        <v>121</v>
      </c>
      <c r="Y128" s="49" t="s">
        <v>7</v>
      </c>
      <c r="Z128" s="22" t="s">
        <v>21</v>
      </c>
      <c r="AA128" s="22" t="s">
        <v>8</v>
      </c>
      <c r="AB128" s="23" t="s">
        <v>0</v>
      </c>
      <c r="AC128" s="39">
        <v>6.4</v>
      </c>
      <c r="AD128" s="43" t="s">
        <v>171</v>
      </c>
      <c r="AE128" s="49" t="s">
        <v>7</v>
      </c>
      <c r="AF128" s="22" t="s">
        <v>21</v>
      </c>
      <c r="AG128" s="22" t="s">
        <v>8</v>
      </c>
      <c r="AH128" s="23" t="s">
        <v>0</v>
      </c>
      <c r="AI128" s="39">
        <v>5.5</v>
      </c>
      <c r="AJ128" s="43" t="s">
        <v>49</v>
      </c>
      <c r="AK128" s="49" t="s">
        <v>7</v>
      </c>
      <c r="AL128" s="22" t="s">
        <v>21</v>
      </c>
      <c r="AM128" s="22" t="s">
        <v>8</v>
      </c>
      <c r="AN128" s="23" t="s">
        <v>0</v>
      </c>
      <c r="AO128" s="39">
        <v>3.5</v>
      </c>
      <c r="AP128" s="43" t="s">
        <v>79</v>
      </c>
      <c r="AQ128" s="49" t="s">
        <v>7</v>
      </c>
      <c r="AR128" s="22" t="s">
        <v>21</v>
      </c>
      <c r="AS128" s="22" t="s">
        <v>8</v>
      </c>
      <c r="AT128" s="23" t="s">
        <v>0</v>
      </c>
      <c r="AU128" s="40" t="s">
        <v>130</v>
      </c>
      <c r="AV128" s="43" t="s">
        <v>147</v>
      </c>
      <c r="AW128" s="49" t="s">
        <v>7</v>
      </c>
      <c r="AX128" s="22" t="s">
        <v>21</v>
      </c>
      <c r="AY128" s="22" t="s">
        <v>8</v>
      </c>
      <c r="AZ128" s="23" t="s">
        <v>0</v>
      </c>
      <c r="BA128" s="39">
        <v>5.7</v>
      </c>
      <c r="BB128" s="43" t="s">
        <v>63</v>
      </c>
      <c r="BC128" s="49" t="s">
        <v>7</v>
      </c>
      <c r="BD128" s="22" t="s">
        <v>21</v>
      </c>
      <c r="BE128" s="22" t="s">
        <v>8</v>
      </c>
      <c r="BF128" s="23" t="s">
        <v>0</v>
      </c>
      <c r="BG128" s="40">
        <v>7.3</v>
      </c>
      <c r="BH128" s="43" t="s">
        <v>195</v>
      </c>
      <c r="BI128" s="49" t="s">
        <v>7</v>
      </c>
      <c r="BJ128" s="22" t="s">
        <v>21</v>
      </c>
      <c r="BK128" s="22" t="s">
        <v>8</v>
      </c>
      <c r="BL128" s="23" t="s">
        <v>0</v>
      </c>
      <c r="BM128" s="41">
        <v>6.4</v>
      </c>
      <c r="BN128" s="133" t="s">
        <v>280</v>
      </c>
      <c r="BO128" s="49" t="s">
        <v>7</v>
      </c>
      <c r="BP128" s="22" t="s">
        <v>21</v>
      </c>
      <c r="BQ128" s="22" t="s">
        <v>8</v>
      </c>
      <c r="BR128" s="23" t="s">
        <v>0</v>
      </c>
      <c r="BS128" s="41">
        <v>7.1</v>
      </c>
      <c r="BT128" s="134" t="s">
        <v>281</v>
      </c>
    </row>
  </sheetData>
  <phoneticPr fontId="5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16"/>
  <sheetViews>
    <sheetView topLeftCell="A174" zoomScale="80" zoomScaleNormal="80" workbookViewId="0">
      <selection activeCell="N262" sqref="N262"/>
    </sheetView>
  </sheetViews>
  <sheetFormatPr defaultColWidth="3.875" defaultRowHeight="9.9499999999999993" customHeight="1" x14ac:dyDescent="0.15"/>
  <cols>
    <col min="1" max="1" width="2.625" customWidth="1"/>
    <col min="2" max="2" width="4.125" customWidth="1"/>
    <col min="3" max="3" width="7.125" customWidth="1"/>
    <col min="4" max="26" width="4.625" customWidth="1"/>
    <col min="27" max="29" width="4.375" customWidth="1"/>
  </cols>
  <sheetData>
    <row r="2" spans="1:26" ht="18" customHeight="1" x14ac:dyDescent="0.2">
      <c r="B2" s="110" t="s">
        <v>264</v>
      </c>
      <c r="I2" s="178" t="s">
        <v>334</v>
      </c>
      <c r="P2" s="111"/>
    </row>
    <row r="3" spans="1:26" ht="12" customHeight="1" x14ac:dyDescent="0.2">
      <c r="B3" s="110"/>
      <c r="I3" s="178" t="s">
        <v>335</v>
      </c>
      <c r="P3" s="111"/>
    </row>
    <row r="4" spans="1:26" ht="12" customHeight="1" x14ac:dyDescent="0.15">
      <c r="B4" s="320" t="s">
        <v>203</v>
      </c>
      <c r="C4" s="321" t="s">
        <v>517</v>
      </c>
      <c r="D4" s="322" t="s">
        <v>205</v>
      </c>
      <c r="E4" s="322" t="s">
        <v>206</v>
      </c>
      <c r="F4" s="322" t="s">
        <v>207</v>
      </c>
      <c r="G4" s="322" t="s">
        <v>208</v>
      </c>
      <c r="H4" s="322" t="s">
        <v>518</v>
      </c>
      <c r="I4" s="322" t="s">
        <v>519</v>
      </c>
      <c r="J4" s="322" t="s">
        <v>520</v>
      </c>
      <c r="K4" s="323" t="s">
        <v>521</v>
      </c>
      <c r="L4" s="322" t="s">
        <v>522</v>
      </c>
      <c r="M4" s="322" t="s">
        <v>523</v>
      </c>
      <c r="N4" s="323" t="s">
        <v>524</v>
      </c>
      <c r="O4" s="323" t="s">
        <v>525</v>
      </c>
      <c r="P4" s="324" t="s">
        <v>212</v>
      </c>
      <c r="Q4" s="325" t="s">
        <v>526</v>
      </c>
      <c r="R4" s="323" t="s">
        <v>527</v>
      </c>
      <c r="S4" s="324" t="s">
        <v>214</v>
      </c>
      <c r="T4" s="323" t="s">
        <v>528</v>
      </c>
      <c r="U4" s="323" t="s">
        <v>529</v>
      </c>
      <c r="V4" s="324" t="s">
        <v>530</v>
      </c>
      <c r="W4" s="322" t="s">
        <v>218</v>
      </c>
      <c r="X4" s="326" t="s">
        <v>531</v>
      </c>
      <c r="Y4" s="322" t="s">
        <v>532</v>
      </c>
      <c r="Z4" s="327"/>
    </row>
    <row r="5" spans="1:26" s="69" customFormat="1" ht="54" customHeight="1" x14ac:dyDescent="0.2">
      <c r="B5" s="320" t="s">
        <v>203</v>
      </c>
      <c r="C5" s="321" t="s">
        <v>204</v>
      </c>
      <c r="D5" s="322" t="s">
        <v>205</v>
      </c>
      <c r="E5" s="322" t="s">
        <v>206</v>
      </c>
      <c r="F5" s="322" t="s">
        <v>207</v>
      </c>
      <c r="G5" s="328" t="s">
        <v>533</v>
      </c>
      <c r="H5" s="329" t="s">
        <v>236</v>
      </c>
      <c r="I5" s="322" t="s">
        <v>209</v>
      </c>
      <c r="J5" s="322" t="s">
        <v>534</v>
      </c>
      <c r="K5" s="323" t="s">
        <v>535</v>
      </c>
      <c r="L5" s="322" t="s">
        <v>536</v>
      </c>
      <c r="M5" s="328" t="s">
        <v>537</v>
      </c>
      <c r="N5" s="330" t="s">
        <v>210</v>
      </c>
      <c r="O5" s="323" t="s">
        <v>211</v>
      </c>
      <c r="P5" s="331" t="s">
        <v>212</v>
      </c>
      <c r="Q5" s="332" t="s">
        <v>213</v>
      </c>
      <c r="R5" s="330" t="s">
        <v>527</v>
      </c>
      <c r="S5" s="332" t="s">
        <v>214</v>
      </c>
      <c r="T5" s="323" t="s">
        <v>215</v>
      </c>
      <c r="U5" s="323" t="s">
        <v>216</v>
      </c>
      <c r="V5" s="332" t="s">
        <v>217</v>
      </c>
      <c r="W5" s="322" t="s">
        <v>218</v>
      </c>
      <c r="X5" s="322" t="s">
        <v>538</v>
      </c>
      <c r="Y5" s="333" t="s">
        <v>539</v>
      </c>
      <c r="Z5" s="334" t="s">
        <v>540</v>
      </c>
    </row>
    <row r="6" spans="1:26" s="69" customFormat="1" ht="9.9499999999999993" customHeight="1" x14ac:dyDescent="0.2">
      <c r="B6" s="165">
        <v>30407</v>
      </c>
      <c r="C6" s="54" t="s">
        <v>296</v>
      </c>
      <c r="D6" s="67" t="s">
        <v>297</v>
      </c>
      <c r="E6" s="68" t="s">
        <v>298</v>
      </c>
      <c r="F6" s="74">
        <v>22527</v>
      </c>
      <c r="G6" s="74">
        <v>22527</v>
      </c>
      <c r="H6" s="74">
        <v>4624</v>
      </c>
      <c r="I6" s="74">
        <v>4624</v>
      </c>
      <c r="J6" s="74">
        <v>0</v>
      </c>
      <c r="K6" s="74"/>
      <c r="L6" s="74">
        <v>2613</v>
      </c>
      <c r="M6" s="74">
        <v>1390</v>
      </c>
      <c r="N6" s="74">
        <v>621</v>
      </c>
      <c r="O6" s="74"/>
      <c r="P6" s="169"/>
      <c r="Q6" s="170"/>
      <c r="R6" s="81"/>
      <c r="S6" s="170"/>
      <c r="T6" s="81"/>
      <c r="U6" s="81"/>
      <c r="V6" s="169"/>
      <c r="W6" s="68" t="s">
        <v>299</v>
      </c>
      <c r="X6" s="68"/>
      <c r="Y6" s="68"/>
      <c r="Z6" s="336"/>
    </row>
    <row r="7" spans="1:26" s="69" customFormat="1" ht="9.9499999999999993" customHeight="1" x14ac:dyDescent="0.2">
      <c r="B7" s="165">
        <v>30407</v>
      </c>
      <c r="C7" s="54" t="s">
        <v>296</v>
      </c>
      <c r="D7" s="67" t="s">
        <v>300</v>
      </c>
      <c r="E7" s="68" t="s">
        <v>301</v>
      </c>
      <c r="F7" s="74">
        <v>7106</v>
      </c>
      <c r="G7" s="74">
        <v>7106</v>
      </c>
      <c r="H7" s="74">
        <v>2594</v>
      </c>
      <c r="I7" s="74">
        <v>1818</v>
      </c>
      <c r="J7" s="74">
        <v>776</v>
      </c>
      <c r="K7" s="74"/>
      <c r="L7" s="74">
        <v>1623</v>
      </c>
      <c r="M7" s="74">
        <v>0</v>
      </c>
      <c r="N7" s="74">
        <v>195</v>
      </c>
      <c r="O7" s="74"/>
      <c r="P7" s="169"/>
      <c r="Q7" s="170"/>
      <c r="R7" s="81"/>
      <c r="S7" s="170"/>
      <c r="T7" s="81"/>
      <c r="U7" s="81"/>
      <c r="V7" s="169"/>
      <c r="W7" s="68" t="s">
        <v>299</v>
      </c>
      <c r="X7" s="68"/>
      <c r="Y7" s="68"/>
      <c r="Z7" s="336"/>
    </row>
    <row r="8" spans="1:26" s="69" customFormat="1" ht="9.9499999999999993" customHeight="1" x14ac:dyDescent="0.2">
      <c r="A8" s="1"/>
      <c r="B8" s="165">
        <v>30407</v>
      </c>
      <c r="C8" s="54" t="s">
        <v>296</v>
      </c>
      <c r="D8" s="67" t="s">
        <v>302</v>
      </c>
      <c r="E8" s="68" t="s">
        <v>303</v>
      </c>
      <c r="F8" s="74">
        <v>10259</v>
      </c>
      <c r="G8" s="74">
        <v>6051</v>
      </c>
      <c r="H8" s="74">
        <v>3745</v>
      </c>
      <c r="I8" s="74">
        <v>1859</v>
      </c>
      <c r="J8" s="74">
        <v>1886</v>
      </c>
      <c r="K8" s="74"/>
      <c r="L8" s="74">
        <v>1359</v>
      </c>
      <c r="M8" s="74">
        <v>450</v>
      </c>
      <c r="N8" s="74">
        <v>50</v>
      </c>
      <c r="O8" s="74"/>
      <c r="P8" s="169"/>
      <c r="Q8" s="170"/>
      <c r="R8" s="81"/>
      <c r="S8" s="170"/>
      <c r="T8" s="81"/>
      <c r="U8" s="81"/>
      <c r="V8" s="169"/>
      <c r="W8" s="68" t="s">
        <v>299</v>
      </c>
      <c r="X8" s="68"/>
      <c r="Y8" s="68"/>
      <c r="Z8" s="336"/>
    </row>
    <row r="9" spans="1:26" s="69" customFormat="1" ht="9.9499999999999993" customHeight="1" x14ac:dyDescent="0.2">
      <c r="A9" s="1"/>
      <c r="B9" s="165">
        <v>30407</v>
      </c>
      <c r="C9" s="54" t="s">
        <v>296</v>
      </c>
      <c r="D9" s="67" t="s">
        <v>304</v>
      </c>
      <c r="E9" s="72" t="s">
        <v>305</v>
      </c>
      <c r="F9" s="171">
        <v>17711</v>
      </c>
      <c r="G9" s="171">
        <v>17711</v>
      </c>
      <c r="H9" s="171">
        <v>7986</v>
      </c>
      <c r="I9" s="171">
        <v>1521</v>
      </c>
      <c r="J9" s="171">
        <v>6465</v>
      </c>
      <c r="K9" s="171"/>
      <c r="L9" s="171">
        <v>1136</v>
      </c>
      <c r="M9" s="171">
        <v>168</v>
      </c>
      <c r="N9" s="171">
        <v>217</v>
      </c>
      <c r="O9" s="171"/>
      <c r="P9" s="169"/>
      <c r="Q9" s="170"/>
      <c r="R9" s="172"/>
      <c r="S9" s="170"/>
      <c r="T9" s="172"/>
      <c r="U9" s="172"/>
      <c r="V9" s="169"/>
      <c r="W9" s="72" t="s">
        <v>299</v>
      </c>
      <c r="X9" s="68"/>
      <c r="Y9" s="68"/>
      <c r="Z9" s="336"/>
    </row>
    <row r="10" spans="1:26" s="69" customFormat="1" ht="9.9499999999999993" customHeight="1" x14ac:dyDescent="0.2">
      <c r="A10" s="1"/>
      <c r="B10" s="165">
        <v>30407</v>
      </c>
      <c r="C10" s="54" t="s">
        <v>296</v>
      </c>
      <c r="D10" s="67" t="s">
        <v>306</v>
      </c>
      <c r="E10" s="68" t="s">
        <v>307</v>
      </c>
      <c r="F10" s="74">
        <v>8343</v>
      </c>
      <c r="G10" s="74">
        <v>8343</v>
      </c>
      <c r="H10" s="74">
        <v>3045</v>
      </c>
      <c r="I10" s="74">
        <v>1092</v>
      </c>
      <c r="J10" s="74">
        <v>1953</v>
      </c>
      <c r="K10" s="74"/>
      <c r="L10" s="74">
        <v>884</v>
      </c>
      <c r="M10" s="74">
        <v>208</v>
      </c>
      <c r="N10" s="74">
        <v>0</v>
      </c>
      <c r="O10" s="74"/>
      <c r="P10" s="169"/>
      <c r="Q10" s="170"/>
      <c r="R10" s="81"/>
      <c r="S10" s="170"/>
      <c r="T10" s="81"/>
      <c r="U10" s="81"/>
      <c r="V10" s="169"/>
      <c r="W10" s="68" t="s">
        <v>299</v>
      </c>
      <c r="X10" s="68"/>
      <c r="Y10" s="68"/>
      <c r="Z10" s="336"/>
    </row>
    <row r="11" spans="1:26" s="69" customFormat="1" ht="9.9499999999999993" customHeight="1" x14ac:dyDescent="0.2">
      <c r="B11" s="165">
        <v>30407</v>
      </c>
      <c r="C11" s="54" t="s">
        <v>296</v>
      </c>
      <c r="D11" s="67" t="s">
        <v>308</v>
      </c>
      <c r="E11" s="68" t="s">
        <v>309</v>
      </c>
      <c r="F11" s="74">
        <v>12638</v>
      </c>
      <c r="G11" s="74">
        <v>12638</v>
      </c>
      <c r="H11" s="74">
        <v>2490</v>
      </c>
      <c r="I11" s="74">
        <v>925</v>
      </c>
      <c r="J11" s="74">
        <v>1565</v>
      </c>
      <c r="K11" s="74"/>
      <c r="L11" s="74">
        <v>668</v>
      </c>
      <c r="M11" s="74">
        <v>257</v>
      </c>
      <c r="N11" s="74">
        <v>0</v>
      </c>
      <c r="O11" s="74"/>
      <c r="P11" s="169"/>
      <c r="Q11" s="170"/>
      <c r="R11" s="81"/>
      <c r="S11" s="170"/>
      <c r="T11" s="81"/>
      <c r="U11" s="81"/>
      <c r="V11" s="169"/>
      <c r="W11" s="68" t="s">
        <v>299</v>
      </c>
      <c r="X11" s="68"/>
      <c r="Y11" s="68"/>
      <c r="Z11" s="336"/>
    </row>
    <row r="12" spans="1:26" s="69" customFormat="1" ht="9.9499999999999993" customHeight="1" x14ac:dyDescent="0.2">
      <c r="B12" s="165">
        <v>30407</v>
      </c>
      <c r="C12" s="54" t="s">
        <v>296</v>
      </c>
      <c r="D12" s="67" t="s">
        <v>310</v>
      </c>
      <c r="E12" s="68" t="s">
        <v>311</v>
      </c>
      <c r="F12" s="74">
        <v>6953</v>
      </c>
      <c r="G12" s="74">
        <v>6953</v>
      </c>
      <c r="H12" s="74">
        <v>1576</v>
      </c>
      <c r="I12" s="74">
        <v>498</v>
      </c>
      <c r="J12" s="74">
        <v>1078</v>
      </c>
      <c r="K12" s="74"/>
      <c r="L12" s="74">
        <v>280</v>
      </c>
      <c r="M12" s="74">
        <v>86</v>
      </c>
      <c r="N12" s="74">
        <v>132</v>
      </c>
      <c r="O12" s="74"/>
      <c r="P12" s="169"/>
      <c r="Q12" s="170"/>
      <c r="R12" s="81"/>
      <c r="S12" s="170"/>
      <c r="T12" s="81"/>
      <c r="U12" s="81"/>
      <c r="V12" s="169"/>
      <c r="W12" s="68" t="s">
        <v>299</v>
      </c>
      <c r="X12" s="68"/>
      <c r="Y12" s="68"/>
      <c r="Z12" s="336"/>
    </row>
    <row r="13" spans="1:26" s="69" customFormat="1" ht="9.9499999999999993" customHeight="1" x14ac:dyDescent="0.2">
      <c r="B13" s="165">
        <v>30407</v>
      </c>
      <c r="C13" s="54" t="s">
        <v>296</v>
      </c>
      <c r="D13" s="67" t="s">
        <v>312</v>
      </c>
      <c r="E13" s="68" t="s">
        <v>313</v>
      </c>
      <c r="F13" s="74">
        <v>9859</v>
      </c>
      <c r="G13" s="74">
        <v>9859</v>
      </c>
      <c r="H13" s="74">
        <v>2820</v>
      </c>
      <c r="I13" s="74">
        <v>628</v>
      </c>
      <c r="J13" s="74">
        <v>2192</v>
      </c>
      <c r="K13" s="74"/>
      <c r="L13" s="74">
        <v>412</v>
      </c>
      <c r="M13" s="74">
        <v>216</v>
      </c>
      <c r="N13" s="74">
        <v>0</v>
      </c>
      <c r="O13" s="74"/>
      <c r="P13" s="169"/>
      <c r="Q13" s="170"/>
      <c r="R13" s="81"/>
      <c r="S13" s="170"/>
      <c r="T13" s="81"/>
      <c r="U13" s="81"/>
      <c r="V13" s="169"/>
      <c r="W13" s="68" t="s">
        <v>299</v>
      </c>
      <c r="X13" s="68"/>
      <c r="Y13" s="68"/>
      <c r="Z13" s="336"/>
    </row>
    <row r="14" spans="1:26" s="69" customFormat="1" ht="9.9499999999999993" customHeight="1" x14ac:dyDescent="0.2">
      <c r="B14" s="165">
        <v>30407</v>
      </c>
      <c r="C14" s="54" t="s">
        <v>296</v>
      </c>
      <c r="D14" s="67" t="s">
        <v>314</v>
      </c>
      <c r="E14" s="68" t="s">
        <v>315</v>
      </c>
      <c r="F14" s="74">
        <v>5077</v>
      </c>
      <c r="G14" s="74">
        <v>5077</v>
      </c>
      <c r="H14" s="74">
        <v>1853</v>
      </c>
      <c r="I14" s="74">
        <v>1099</v>
      </c>
      <c r="J14" s="74">
        <v>754</v>
      </c>
      <c r="K14" s="74"/>
      <c r="L14" s="74">
        <v>945</v>
      </c>
      <c r="M14" s="74">
        <v>0</v>
      </c>
      <c r="N14" s="74">
        <v>154</v>
      </c>
      <c r="O14" s="74"/>
      <c r="P14" s="169"/>
      <c r="Q14" s="170"/>
      <c r="R14" s="81"/>
      <c r="S14" s="170"/>
      <c r="T14" s="81"/>
      <c r="U14" s="81"/>
      <c r="V14" s="169"/>
      <c r="W14" s="68" t="s">
        <v>299</v>
      </c>
      <c r="X14" s="68"/>
      <c r="Y14" s="68"/>
      <c r="Z14" s="336"/>
    </row>
    <row r="15" spans="1:26" s="69" customFormat="1" ht="9.9499999999999993" customHeight="1" x14ac:dyDescent="0.2">
      <c r="B15" s="165">
        <v>30773</v>
      </c>
      <c r="C15" s="54" t="s">
        <v>316</v>
      </c>
      <c r="D15" s="67" t="s">
        <v>297</v>
      </c>
      <c r="E15" s="68" t="s">
        <v>298</v>
      </c>
      <c r="F15" s="74">
        <v>22598</v>
      </c>
      <c r="G15" s="74">
        <v>22598</v>
      </c>
      <c r="H15" s="74">
        <v>5955</v>
      </c>
      <c r="I15" s="74">
        <v>5955</v>
      </c>
      <c r="J15" s="74">
        <v>0</v>
      </c>
      <c r="K15" s="74"/>
      <c r="L15" s="74">
        <v>3051</v>
      </c>
      <c r="M15" s="74">
        <v>2487</v>
      </c>
      <c r="N15" s="74">
        <v>417</v>
      </c>
      <c r="O15" s="74"/>
      <c r="P15" s="169"/>
      <c r="Q15" s="170"/>
      <c r="R15" s="81"/>
      <c r="S15" s="170"/>
      <c r="T15" s="81"/>
      <c r="U15" s="81"/>
      <c r="V15" s="169"/>
      <c r="W15" s="68" t="s">
        <v>299</v>
      </c>
      <c r="X15" s="68"/>
      <c r="Y15" s="68"/>
      <c r="Z15" s="336"/>
    </row>
    <row r="16" spans="1:26" s="69" customFormat="1" ht="9.9499999999999993" customHeight="1" x14ac:dyDescent="0.2">
      <c r="B16" s="165">
        <v>30773</v>
      </c>
      <c r="C16" s="54" t="s">
        <v>316</v>
      </c>
      <c r="D16" s="67" t="s">
        <v>300</v>
      </c>
      <c r="E16" s="68" t="s">
        <v>301</v>
      </c>
      <c r="F16" s="74">
        <v>7127</v>
      </c>
      <c r="G16" s="74">
        <v>7127</v>
      </c>
      <c r="H16" s="74">
        <v>2601</v>
      </c>
      <c r="I16" s="74">
        <v>1809</v>
      </c>
      <c r="J16" s="74">
        <v>792</v>
      </c>
      <c r="K16" s="74"/>
      <c r="L16" s="74">
        <v>1602</v>
      </c>
      <c r="M16" s="74">
        <v>0</v>
      </c>
      <c r="N16" s="74">
        <v>207</v>
      </c>
      <c r="O16" s="74"/>
      <c r="P16" s="169"/>
      <c r="Q16" s="170"/>
      <c r="R16" s="81"/>
      <c r="S16" s="170"/>
      <c r="T16" s="81"/>
      <c r="U16" s="81"/>
      <c r="V16" s="169"/>
      <c r="W16" s="68" t="s">
        <v>299</v>
      </c>
      <c r="X16" s="68"/>
      <c r="Y16" s="68"/>
      <c r="Z16" s="336"/>
    </row>
    <row r="17" spans="1:26" s="69" customFormat="1" ht="9.9499999999999993" customHeight="1" x14ac:dyDescent="0.2">
      <c r="B17" s="165">
        <v>30773</v>
      </c>
      <c r="C17" s="54" t="s">
        <v>316</v>
      </c>
      <c r="D17" s="67" t="s">
        <v>302</v>
      </c>
      <c r="E17" s="68" t="s">
        <v>303</v>
      </c>
      <c r="F17" s="74">
        <v>10141</v>
      </c>
      <c r="G17" s="74">
        <v>5963</v>
      </c>
      <c r="H17" s="74">
        <v>3701</v>
      </c>
      <c r="I17" s="74">
        <v>1895</v>
      </c>
      <c r="J17" s="74">
        <v>1806</v>
      </c>
      <c r="K17" s="74"/>
      <c r="L17" s="74">
        <v>1382</v>
      </c>
      <c r="M17" s="74">
        <v>458</v>
      </c>
      <c r="N17" s="74">
        <v>55</v>
      </c>
      <c r="O17" s="74"/>
      <c r="P17" s="169"/>
      <c r="Q17" s="170"/>
      <c r="R17" s="81"/>
      <c r="S17" s="170"/>
      <c r="T17" s="81"/>
      <c r="U17" s="81"/>
      <c r="V17" s="169"/>
      <c r="W17" s="68" t="s">
        <v>299</v>
      </c>
      <c r="X17" s="68"/>
      <c r="Y17" s="68"/>
      <c r="Z17" s="336"/>
    </row>
    <row r="18" spans="1:26" s="69" customFormat="1" ht="9.9499999999999993" customHeight="1" x14ac:dyDescent="0.2">
      <c r="B18" s="165">
        <v>30773</v>
      </c>
      <c r="C18" s="54" t="s">
        <v>316</v>
      </c>
      <c r="D18" s="70" t="s">
        <v>304</v>
      </c>
      <c r="E18" s="73" t="s">
        <v>305</v>
      </c>
      <c r="F18" s="74">
        <v>17734</v>
      </c>
      <c r="G18" s="74">
        <v>17734</v>
      </c>
      <c r="H18" s="74">
        <v>8032</v>
      </c>
      <c r="I18" s="74">
        <v>1559</v>
      </c>
      <c r="J18" s="74">
        <v>6473</v>
      </c>
      <c r="K18" s="74"/>
      <c r="L18" s="74">
        <v>1175</v>
      </c>
      <c r="M18" s="74">
        <v>201</v>
      </c>
      <c r="N18" s="74">
        <v>183</v>
      </c>
      <c r="O18" s="74"/>
      <c r="P18" s="169"/>
      <c r="Q18" s="170"/>
      <c r="R18" s="82"/>
      <c r="S18" s="170"/>
      <c r="T18" s="82"/>
      <c r="U18" s="82"/>
      <c r="V18" s="169"/>
      <c r="W18" s="70" t="s">
        <v>299</v>
      </c>
      <c r="X18" s="68"/>
      <c r="Y18" s="68"/>
      <c r="Z18" s="336"/>
    </row>
    <row r="19" spans="1:26" s="69" customFormat="1" ht="9.9499999999999993" customHeight="1" x14ac:dyDescent="0.2">
      <c r="B19" s="166">
        <v>30773</v>
      </c>
      <c r="C19" s="54" t="s">
        <v>316</v>
      </c>
      <c r="D19" s="70" t="s">
        <v>306</v>
      </c>
      <c r="E19" s="70" t="s">
        <v>307</v>
      </c>
      <c r="F19" s="74">
        <v>8331</v>
      </c>
      <c r="G19" s="74">
        <v>8331</v>
      </c>
      <c r="H19" s="74">
        <v>3040</v>
      </c>
      <c r="I19" s="74">
        <v>1094</v>
      </c>
      <c r="J19" s="74">
        <v>1946</v>
      </c>
      <c r="K19" s="74"/>
      <c r="L19" s="74">
        <v>878</v>
      </c>
      <c r="M19" s="74">
        <v>216</v>
      </c>
      <c r="N19" s="74">
        <v>0</v>
      </c>
      <c r="O19" s="74"/>
      <c r="P19" s="169"/>
      <c r="Q19" s="170"/>
      <c r="R19" s="82"/>
      <c r="S19" s="170"/>
      <c r="T19" s="82"/>
      <c r="U19" s="82"/>
      <c r="V19" s="169"/>
      <c r="W19" s="70" t="s">
        <v>299</v>
      </c>
      <c r="X19" s="68"/>
      <c r="Y19" s="68"/>
      <c r="Z19" s="336"/>
    </row>
    <row r="20" spans="1:26" s="69" customFormat="1" ht="9.9499999999999993" customHeight="1" x14ac:dyDescent="0.2">
      <c r="B20" s="166">
        <v>30773</v>
      </c>
      <c r="C20" s="54" t="s">
        <v>316</v>
      </c>
      <c r="D20" s="70" t="s">
        <v>308</v>
      </c>
      <c r="E20" s="70" t="s">
        <v>309</v>
      </c>
      <c r="F20" s="74">
        <v>12661</v>
      </c>
      <c r="G20" s="74">
        <v>12661</v>
      </c>
      <c r="H20" s="74">
        <v>2532</v>
      </c>
      <c r="I20" s="74">
        <v>944</v>
      </c>
      <c r="J20" s="74">
        <v>1588</v>
      </c>
      <c r="K20" s="74"/>
      <c r="L20" s="74">
        <v>654</v>
      </c>
      <c r="M20" s="74">
        <v>290</v>
      </c>
      <c r="N20" s="74">
        <v>0</v>
      </c>
      <c r="O20" s="74"/>
      <c r="P20" s="169"/>
      <c r="Q20" s="170"/>
      <c r="R20" s="82"/>
      <c r="S20" s="170"/>
      <c r="T20" s="82"/>
      <c r="U20" s="82"/>
      <c r="V20" s="169"/>
      <c r="W20" s="70" t="s">
        <v>299</v>
      </c>
      <c r="X20" s="68"/>
      <c r="Y20" s="68"/>
      <c r="Z20" s="336"/>
    </row>
    <row r="21" spans="1:26" s="69" customFormat="1" ht="9.9499999999999993" customHeight="1" x14ac:dyDescent="0.2">
      <c r="B21" s="166">
        <v>30773</v>
      </c>
      <c r="C21" s="54" t="s">
        <v>316</v>
      </c>
      <c r="D21" s="75" t="s">
        <v>310</v>
      </c>
      <c r="E21" s="75" t="s">
        <v>311</v>
      </c>
      <c r="F21" s="83">
        <v>6928</v>
      </c>
      <c r="G21" s="83">
        <v>6928</v>
      </c>
      <c r="H21" s="83">
        <v>1637</v>
      </c>
      <c r="I21" s="83">
        <v>462</v>
      </c>
      <c r="J21" s="83">
        <v>1175</v>
      </c>
      <c r="K21" s="83"/>
      <c r="L21" s="83">
        <v>321</v>
      </c>
      <c r="M21" s="83">
        <v>106</v>
      </c>
      <c r="N21" s="83">
        <v>35</v>
      </c>
      <c r="O21" s="83"/>
      <c r="P21" s="169"/>
      <c r="Q21" s="170"/>
      <c r="R21" s="83"/>
      <c r="S21" s="170"/>
      <c r="T21" s="83"/>
      <c r="U21" s="83"/>
      <c r="V21" s="169"/>
      <c r="W21" s="68" t="s">
        <v>299</v>
      </c>
      <c r="X21" s="68"/>
      <c r="Y21" s="68"/>
      <c r="Z21" s="336"/>
    </row>
    <row r="22" spans="1:26" s="69" customFormat="1" ht="9.9499999999999993" customHeight="1" x14ac:dyDescent="0.2">
      <c r="B22" s="166">
        <v>30773</v>
      </c>
      <c r="C22" s="54" t="s">
        <v>316</v>
      </c>
      <c r="D22" s="76" t="s">
        <v>312</v>
      </c>
      <c r="E22" s="76" t="s">
        <v>313</v>
      </c>
      <c r="F22" s="84">
        <v>9833</v>
      </c>
      <c r="G22" s="84">
        <v>9833</v>
      </c>
      <c r="H22" s="84">
        <v>2812</v>
      </c>
      <c r="I22" s="84">
        <v>614</v>
      </c>
      <c r="J22" s="84">
        <v>2198</v>
      </c>
      <c r="K22" s="84"/>
      <c r="L22" s="84">
        <v>390</v>
      </c>
      <c r="M22" s="84">
        <v>224</v>
      </c>
      <c r="N22" s="84">
        <v>0</v>
      </c>
      <c r="O22" s="84"/>
      <c r="P22" s="169"/>
      <c r="Q22" s="170"/>
      <c r="R22" s="84"/>
      <c r="S22" s="170"/>
      <c r="T22" s="84"/>
      <c r="U22" s="84"/>
      <c r="V22" s="169"/>
      <c r="W22" s="68" t="s">
        <v>299</v>
      </c>
      <c r="X22" s="68"/>
      <c r="Y22" s="68"/>
      <c r="Z22" s="336"/>
    </row>
    <row r="23" spans="1:26" s="69" customFormat="1" ht="9.9499999999999993" customHeight="1" x14ac:dyDescent="0.2">
      <c r="B23" s="165">
        <v>30773</v>
      </c>
      <c r="C23" s="54" t="s">
        <v>316</v>
      </c>
      <c r="D23" s="67" t="s">
        <v>314</v>
      </c>
      <c r="E23" s="68" t="s">
        <v>315</v>
      </c>
      <c r="F23" s="74">
        <v>5065</v>
      </c>
      <c r="G23" s="74">
        <v>5065</v>
      </c>
      <c r="H23" s="74">
        <v>1849</v>
      </c>
      <c r="I23" s="74">
        <v>1094</v>
      </c>
      <c r="J23" s="74">
        <v>755</v>
      </c>
      <c r="K23" s="74"/>
      <c r="L23" s="74">
        <v>933</v>
      </c>
      <c r="M23" s="74">
        <v>0</v>
      </c>
      <c r="N23" s="74">
        <v>161</v>
      </c>
      <c r="O23" s="74"/>
      <c r="P23" s="169"/>
      <c r="Q23" s="170"/>
      <c r="R23" s="81"/>
      <c r="S23" s="170"/>
      <c r="T23" s="81"/>
      <c r="U23" s="81"/>
      <c r="V23" s="169"/>
      <c r="W23" s="68" t="s">
        <v>299</v>
      </c>
      <c r="X23" s="68"/>
      <c r="Y23" s="68"/>
      <c r="Z23" s="336"/>
    </row>
    <row r="24" spans="1:26" s="69" customFormat="1" ht="9.9499999999999993" customHeight="1" x14ac:dyDescent="0.2">
      <c r="B24" s="165">
        <v>31138</v>
      </c>
      <c r="C24" s="54" t="s">
        <v>317</v>
      </c>
      <c r="D24" s="67" t="s">
        <v>297</v>
      </c>
      <c r="E24" s="71" t="s">
        <v>298</v>
      </c>
      <c r="F24" s="173">
        <v>22767</v>
      </c>
      <c r="G24" s="173">
        <v>22767</v>
      </c>
      <c r="H24" s="173">
        <v>6163</v>
      </c>
      <c r="I24" s="173">
        <v>6163</v>
      </c>
      <c r="J24" s="173">
        <v>0</v>
      </c>
      <c r="K24" s="173"/>
      <c r="L24" s="173">
        <v>3223</v>
      </c>
      <c r="M24" s="173">
        <v>2553</v>
      </c>
      <c r="N24" s="173">
        <v>387</v>
      </c>
      <c r="O24" s="173"/>
      <c r="P24" s="169"/>
      <c r="Q24" s="170"/>
      <c r="R24" s="174"/>
      <c r="S24" s="170"/>
      <c r="T24" s="174"/>
      <c r="U24" s="174"/>
      <c r="V24" s="169"/>
      <c r="W24" s="71" t="s">
        <v>299</v>
      </c>
      <c r="X24" s="68"/>
      <c r="Y24" s="68"/>
      <c r="Z24" s="336"/>
    </row>
    <row r="25" spans="1:26" s="69" customFormat="1" ht="9.9499999999999993" customHeight="1" x14ac:dyDescent="0.2">
      <c r="B25" s="165">
        <v>31138</v>
      </c>
      <c r="C25" s="54" t="s">
        <v>317</v>
      </c>
      <c r="D25" s="67" t="s">
        <v>300</v>
      </c>
      <c r="E25" s="68" t="s">
        <v>301</v>
      </c>
      <c r="F25" s="74">
        <v>7140</v>
      </c>
      <c r="G25" s="74">
        <v>7140</v>
      </c>
      <c r="H25" s="74">
        <v>2606</v>
      </c>
      <c r="I25" s="74">
        <v>1640</v>
      </c>
      <c r="J25" s="74">
        <v>966</v>
      </c>
      <c r="K25" s="74"/>
      <c r="L25" s="74">
        <v>1449</v>
      </c>
      <c r="M25" s="74">
        <v>0</v>
      </c>
      <c r="N25" s="74">
        <v>191</v>
      </c>
      <c r="O25" s="74"/>
      <c r="P25" s="169"/>
      <c r="Q25" s="170"/>
      <c r="R25" s="81"/>
      <c r="S25" s="170"/>
      <c r="T25" s="81"/>
      <c r="U25" s="81"/>
      <c r="V25" s="169"/>
      <c r="W25" s="68" t="s">
        <v>299</v>
      </c>
      <c r="X25" s="68"/>
      <c r="Y25" s="68"/>
      <c r="Z25" s="336"/>
    </row>
    <row r="26" spans="1:26" s="69" customFormat="1" ht="9.9499999999999993" customHeight="1" x14ac:dyDescent="0.2">
      <c r="B26" s="165">
        <v>31138</v>
      </c>
      <c r="C26" s="54" t="s">
        <v>317</v>
      </c>
      <c r="D26" s="67" t="s">
        <v>302</v>
      </c>
      <c r="E26" s="68" t="s">
        <v>303</v>
      </c>
      <c r="F26" s="74">
        <v>10094</v>
      </c>
      <c r="G26" s="74">
        <v>5985</v>
      </c>
      <c r="H26" s="74">
        <v>3684</v>
      </c>
      <c r="I26" s="74">
        <v>1941</v>
      </c>
      <c r="J26" s="74">
        <v>1743</v>
      </c>
      <c r="K26" s="74"/>
      <c r="L26" s="74">
        <v>1424</v>
      </c>
      <c r="M26" s="74">
        <v>455</v>
      </c>
      <c r="N26" s="74">
        <v>62</v>
      </c>
      <c r="O26" s="74"/>
      <c r="P26" s="169"/>
      <c r="Q26" s="170"/>
      <c r="R26" s="81"/>
      <c r="S26" s="170"/>
      <c r="T26" s="81"/>
      <c r="U26" s="81"/>
      <c r="V26" s="169"/>
      <c r="W26" s="68" t="s">
        <v>299</v>
      </c>
      <c r="X26" s="68"/>
      <c r="Y26" s="68"/>
      <c r="Z26" s="336"/>
    </row>
    <row r="27" spans="1:26" s="69" customFormat="1" ht="9.9499999999999993" customHeight="1" x14ac:dyDescent="0.2">
      <c r="A27" s="1"/>
      <c r="B27" s="165">
        <v>31138</v>
      </c>
      <c r="C27" s="54" t="s">
        <v>317</v>
      </c>
      <c r="D27" s="67" t="s">
        <v>304</v>
      </c>
      <c r="E27" s="68" t="s">
        <v>305</v>
      </c>
      <c r="F27" s="74">
        <v>17841</v>
      </c>
      <c r="G27" s="74">
        <v>17841</v>
      </c>
      <c r="H27" s="74">
        <v>8166</v>
      </c>
      <c r="I27" s="74">
        <v>1655</v>
      </c>
      <c r="J27" s="74">
        <v>6511</v>
      </c>
      <c r="K27" s="74"/>
      <c r="L27" s="74">
        <v>1308</v>
      </c>
      <c r="M27" s="74">
        <v>200</v>
      </c>
      <c r="N27" s="74">
        <v>147</v>
      </c>
      <c r="O27" s="74"/>
      <c r="P27" s="169"/>
      <c r="Q27" s="170"/>
      <c r="R27" s="81"/>
      <c r="S27" s="170"/>
      <c r="T27" s="81"/>
      <c r="U27" s="81"/>
      <c r="V27" s="169"/>
      <c r="W27" s="68" t="s">
        <v>299</v>
      </c>
      <c r="X27" s="68"/>
      <c r="Y27" s="68"/>
      <c r="Z27" s="336"/>
    </row>
    <row r="28" spans="1:26" s="69" customFormat="1" ht="9.9499999999999993" customHeight="1" x14ac:dyDescent="0.2">
      <c r="A28" s="1"/>
      <c r="B28" s="165">
        <v>31138</v>
      </c>
      <c r="C28" s="54" t="s">
        <v>317</v>
      </c>
      <c r="D28" s="67" t="s">
        <v>306</v>
      </c>
      <c r="E28" s="72" t="s">
        <v>307</v>
      </c>
      <c r="F28" s="171">
        <v>8363</v>
      </c>
      <c r="G28" s="171">
        <v>8363</v>
      </c>
      <c r="H28" s="171">
        <v>2145</v>
      </c>
      <c r="I28" s="171">
        <v>1065</v>
      </c>
      <c r="J28" s="171">
        <v>1080</v>
      </c>
      <c r="K28" s="171"/>
      <c r="L28" s="171">
        <v>856</v>
      </c>
      <c r="M28" s="171">
        <v>209</v>
      </c>
      <c r="N28" s="171">
        <v>0</v>
      </c>
      <c r="O28" s="171"/>
      <c r="P28" s="169"/>
      <c r="Q28" s="170"/>
      <c r="R28" s="172"/>
      <c r="S28" s="170"/>
      <c r="T28" s="172"/>
      <c r="U28" s="172"/>
      <c r="V28" s="169"/>
      <c r="W28" s="72" t="s">
        <v>299</v>
      </c>
      <c r="X28" s="68"/>
      <c r="Y28" s="68"/>
      <c r="Z28" s="336"/>
    </row>
    <row r="29" spans="1:26" s="69" customFormat="1" ht="9.9499999999999993" customHeight="1" x14ac:dyDescent="0.2">
      <c r="A29" s="1"/>
      <c r="B29" s="165">
        <v>31138</v>
      </c>
      <c r="C29" s="54" t="s">
        <v>317</v>
      </c>
      <c r="D29" s="67" t="s">
        <v>308</v>
      </c>
      <c r="E29" s="68" t="s">
        <v>309</v>
      </c>
      <c r="F29" s="74">
        <v>12678</v>
      </c>
      <c r="G29" s="74">
        <v>12678</v>
      </c>
      <c r="H29" s="74">
        <v>4627</v>
      </c>
      <c r="I29" s="74">
        <v>909</v>
      </c>
      <c r="J29" s="74">
        <v>3718</v>
      </c>
      <c r="K29" s="74"/>
      <c r="L29" s="74">
        <v>644</v>
      </c>
      <c r="M29" s="74">
        <v>265</v>
      </c>
      <c r="N29" s="74">
        <v>0</v>
      </c>
      <c r="O29" s="74"/>
      <c r="P29" s="169"/>
      <c r="Q29" s="170"/>
      <c r="R29" s="81"/>
      <c r="S29" s="170"/>
      <c r="T29" s="81"/>
      <c r="U29" s="81"/>
      <c r="V29" s="169"/>
      <c r="W29" s="68" t="s">
        <v>299</v>
      </c>
      <c r="X29" s="68"/>
      <c r="Y29" s="68"/>
      <c r="Z29" s="336"/>
    </row>
    <row r="30" spans="1:26" s="69" customFormat="1" ht="9.9499999999999993" customHeight="1" x14ac:dyDescent="0.2">
      <c r="B30" s="165">
        <v>31138</v>
      </c>
      <c r="C30" s="54" t="s">
        <v>317</v>
      </c>
      <c r="D30" s="67" t="s">
        <v>310</v>
      </c>
      <c r="E30" s="68" t="s">
        <v>311</v>
      </c>
      <c r="F30" s="74">
        <v>6886</v>
      </c>
      <c r="G30" s="74">
        <v>6886</v>
      </c>
      <c r="H30" s="74">
        <v>1685</v>
      </c>
      <c r="I30" s="74">
        <v>470</v>
      </c>
      <c r="J30" s="74">
        <v>1215</v>
      </c>
      <c r="K30" s="74"/>
      <c r="L30" s="74">
        <v>330</v>
      </c>
      <c r="M30" s="74">
        <v>112</v>
      </c>
      <c r="N30" s="74">
        <v>28</v>
      </c>
      <c r="O30" s="74"/>
      <c r="P30" s="169"/>
      <c r="Q30" s="170"/>
      <c r="R30" s="81"/>
      <c r="S30" s="170"/>
      <c r="T30" s="81"/>
      <c r="U30" s="81"/>
      <c r="V30" s="169"/>
      <c r="W30" s="68" t="s">
        <v>299</v>
      </c>
      <c r="X30" s="68"/>
      <c r="Y30" s="68"/>
      <c r="Z30" s="336"/>
    </row>
    <row r="31" spans="1:26" s="1" customFormat="1" ht="9.9499999999999993" customHeight="1" x14ac:dyDescent="0.2">
      <c r="A31" s="69"/>
      <c r="B31" s="165">
        <v>31138</v>
      </c>
      <c r="C31" s="54" t="s">
        <v>317</v>
      </c>
      <c r="D31" s="67" t="s">
        <v>312</v>
      </c>
      <c r="E31" s="68" t="s">
        <v>313</v>
      </c>
      <c r="F31" s="74">
        <v>9870</v>
      </c>
      <c r="G31" s="74">
        <v>9870</v>
      </c>
      <c r="H31" s="74">
        <v>2823</v>
      </c>
      <c r="I31" s="74">
        <v>584</v>
      </c>
      <c r="J31" s="74">
        <v>2239</v>
      </c>
      <c r="K31" s="74"/>
      <c r="L31" s="74">
        <v>354</v>
      </c>
      <c r="M31" s="74">
        <v>230</v>
      </c>
      <c r="N31" s="74">
        <v>0</v>
      </c>
      <c r="O31" s="74"/>
      <c r="P31" s="169"/>
      <c r="Q31" s="170"/>
      <c r="R31" s="81"/>
      <c r="S31" s="170"/>
      <c r="T31" s="81"/>
      <c r="U31" s="81"/>
      <c r="V31" s="169"/>
      <c r="W31" s="68" t="s">
        <v>299</v>
      </c>
      <c r="X31" s="68"/>
      <c r="Y31" s="70"/>
      <c r="Z31" s="335"/>
    </row>
    <row r="32" spans="1:26" s="1" customFormat="1" ht="9.9499999999999993" customHeight="1" x14ac:dyDescent="0.2">
      <c r="A32" s="69"/>
      <c r="B32" s="165">
        <v>31138</v>
      </c>
      <c r="C32" s="54" t="s">
        <v>317</v>
      </c>
      <c r="D32" s="67" t="s">
        <v>314</v>
      </c>
      <c r="E32" s="68" t="s">
        <v>315</v>
      </c>
      <c r="F32" s="74">
        <v>5055</v>
      </c>
      <c r="G32" s="74">
        <v>5055</v>
      </c>
      <c r="H32" s="74">
        <v>1845</v>
      </c>
      <c r="I32" s="74">
        <v>1014</v>
      </c>
      <c r="J32" s="74">
        <v>831</v>
      </c>
      <c r="K32" s="74"/>
      <c r="L32" s="74">
        <v>852</v>
      </c>
      <c r="M32" s="74">
        <v>0</v>
      </c>
      <c r="N32" s="74">
        <v>162</v>
      </c>
      <c r="O32" s="74"/>
      <c r="P32" s="169"/>
      <c r="Q32" s="170"/>
      <c r="R32" s="81"/>
      <c r="S32" s="170"/>
      <c r="T32" s="81"/>
      <c r="U32" s="81"/>
      <c r="V32" s="169"/>
      <c r="W32" s="68" t="s">
        <v>299</v>
      </c>
      <c r="X32" s="68"/>
      <c r="Y32" s="70"/>
      <c r="Z32" s="335"/>
    </row>
    <row r="33" spans="1:26" s="1" customFormat="1" ht="9.9499999999999993" customHeight="1" x14ac:dyDescent="0.2">
      <c r="A33" s="69"/>
      <c r="B33" s="165">
        <v>31503</v>
      </c>
      <c r="C33" s="54" t="s">
        <v>318</v>
      </c>
      <c r="D33" s="67" t="s">
        <v>297</v>
      </c>
      <c r="E33" s="68" t="s">
        <v>298</v>
      </c>
      <c r="F33" s="74">
        <v>22846</v>
      </c>
      <c r="G33" s="74">
        <v>22846</v>
      </c>
      <c r="H33" s="74">
        <v>7124</v>
      </c>
      <c r="I33" s="74">
        <v>7124</v>
      </c>
      <c r="J33" s="74">
        <v>0</v>
      </c>
      <c r="K33" s="74"/>
      <c r="L33" s="74">
        <v>4177</v>
      </c>
      <c r="M33" s="74">
        <v>2915</v>
      </c>
      <c r="N33" s="74">
        <v>32</v>
      </c>
      <c r="O33" s="74"/>
      <c r="P33" s="169"/>
      <c r="Q33" s="170"/>
      <c r="R33" s="81"/>
      <c r="S33" s="170"/>
      <c r="T33" s="81"/>
      <c r="U33" s="81"/>
      <c r="V33" s="169"/>
      <c r="W33" s="68" t="s">
        <v>299</v>
      </c>
      <c r="X33" s="68"/>
      <c r="Y33" s="70"/>
      <c r="Z33" s="335"/>
    </row>
    <row r="34" spans="1:26" s="1" customFormat="1" ht="9.9499999999999993" customHeight="1" x14ac:dyDescent="0.2">
      <c r="A34" s="69"/>
      <c r="B34" s="165">
        <v>31503</v>
      </c>
      <c r="C34" s="54" t="s">
        <v>318</v>
      </c>
      <c r="D34" s="67" t="s">
        <v>300</v>
      </c>
      <c r="E34" s="68" t="s">
        <v>301</v>
      </c>
      <c r="F34" s="74">
        <v>7110</v>
      </c>
      <c r="G34" s="74">
        <v>7110</v>
      </c>
      <c r="H34" s="74">
        <v>2595</v>
      </c>
      <c r="I34" s="74">
        <v>1685</v>
      </c>
      <c r="J34" s="74">
        <v>910</v>
      </c>
      <c r="K34" s="74"/>
      <c r="L34" s="74">
        <v>1481</v>
      </c>
      <c r="M34" s="74">
        <v>0</v>
      </c>
      <c r="N34" s="74">
        <v>204</v>
      </c>
      <c r="O34" s="74"/>
      <c r="P34" s="169"/>
      <c r="Q34" s="170"/>
      <c r="R34" s="81"/>
      <c r="S34" s="170"/>
      <c r="T34" s="81"/>
      <c r="U34" s="81"/>
      <c r="V34" s="169"/>
      <c r="W34" s="68" t="s">
        <v>299</v>
      </c>
      <c r="X34" s="68"/>
      <c r="Y34" s="70"/>
      <c r="Z34" s="335"/>
    </row>
    <row r="35" spans="1:26" s="1" customFormat="1" ht="9.9499999999999993" customHeight="1" x14ac:dyDescent="0.2">
      <c r="A35" s="69"/>
      <c r="B35" s="165">
        <v>31503</v>
      </c>
      <c r="C35" s="54" t="s">
        <v>318</v>
      </c>
      <c r="D35" s="67" t="s">
        <v>302</v>
      </c>
      <c r="E35" s="68" t="s">
        <v>303</v>
      </c>
      <c r="F35" s="74">
        <v>10090</v>
      </c>
      <c r="G35" s="74">
        <v>6150</v>
      </c>
      <c r="H35" s="74">
        <v>2840</v>
      </c>
      <c r="I35" s="74">
        <v>1819</v>
      </c>
      <c r="J35" s="74">
        <v>1021</v>
      </c>
      <c r="K35" s="74"/>
      <c r="L35" s="74">
        <v>1526</v>
      </c>
      <c r="M35" s="74">
        <v>249</v>
      </c>
      <c r="N35" s="74">
        <v>44</v>
      </c>
      <c r="O35" s="74"/>
      <c r="P35" s="169"/>
      <c r="Q35" s="170"/>
      <c r="R35" s="81"/>
      <c r="S35" s="170"/>
      <c r="T35" s="81"/>
      <c r="U35" s="81"/>
      <c r="V35" s="169"/>
      <c r="W35" s="68" t="s">
        <v>299</v>
      </c>
      <c r="X35" s="68"/>
      <c r="Y35" s="70"/>
      <c r="Z35" s="335"/>
    </row>
    <row r="36" spans="1:26" s="1" customFormat="1" ht="9.9499999999999993" customHeight="1" x14ac:dyDescent="0.2">
      <c r="A36" s="69"/>
      <c r="B36" s="167">
        <v>31503</v>
      </c>
      <c r="C36" s="54" t="s">
        <v>318</v>
      </c>
      <c r="D36" s="67" t="s">
        <v>304</v>
      </c>
      <c r="E36" s="78" t="s">
        <v>305</v>
      </c>
      <c r="F36" s="74">
        <v>17820</v>
      </c>
      <c r="G36" s="80">
        <v>17820</v>
      </c>
      <c r="H36" s="80">
        <v>8257</v>
      </c>
      <c r="I36" s="74">
        <v>1753</v>
      </c>
      <c r="J36" s="74">
        <v>6504</v>
      </c>
      <c r="K36" s="74"/>
      <c r="L36" s="80">
        <v>1433</v>
      </c>
      <c r="M36" s="74">
        <v>271</v>
      </c>
      <c r="N36" s="74">
        <v>49</v>
      </c>
      <c r="O36" s="74"/>
      <c r="P36" s="169"/>
      <c r="Q36" s="170"/>
      <c r="R36" s="81"/>
      <c r="S36" s="170"/>
      <c r="T36" s="175"/>
      <c r="U36" s="81"/>
      <c r="V36" s="169"/>
      <c r="W36" s="68" t="s">
        <v>299</v>
      </c>
      <c r="X36" s="68"/>
      <c r="Y36" s="70"/>
      <c r="Z36" s="335"/>
    </row>
    <row r="37" spans="1:26" s="1" customFormat="1" ht="9.9499999999999993" customHeight="1" x14ac:dyDescent="0.2">
      <c r="A37" s="69"/>
      <c r="B37" s="167">
        <v>31503</v>
      </c>
      <c r="C37" s="54" t="s">
        <v>318</v>
      </c>
      <c r="D37" s="70" t="s">
        <v>306</v>
      </c>
      <c r="E37" s="79" t="s">
        <v>307</v>
      </c>
      <c r="F37" s="74">
        <v>8377</v>
      </c>
      <c r="G37" s="80">
        <v>8377</v>
      </c>
      <c r="H37" s="80">
        <v>1921</v>
      </c>
      <c r="I37" s="74">
        <v>1206</v>
      </c>
      <c r="J37" s="74">
        <v>715</v>
      </c>
      <c r="K37" s="74"/>
      <c r="L37" s="80">
        <v>947</v>
      </c>
      <c r="M37" s="74">
        <v>220</v>
      </c>
      <c r="N37" s="74">
        <v>39</v>
      </c>
      <c r="O37" s="74"/>
      <c r="P37" s="169"/>
      <c r="Q37" s="170"/>
      <c r="R37" s="82"/>
      <c r="S37" s="170"/>
      <c r="T37" s="176"/>
      <c r="U37" s="82"/>
      <c r="V37" s="169"/>
      <c r="W37" s="70" t="s">
        <v>299</v>
      </c>
      <c r="X37" s="68"/>
      <c r="Y37" s="70"/>
      <c r="Z37" s="335"/>
    </row>
    <row r="38" spans="1:26" s="1" customFormat="1" ht="9.9499999999999993" customHeight="1" x14ac:dyDescent="0.2">
      <c r="A38" s="69"/>
      <c r="B38" s="167">
        <v>31503</v>
      </c>
      <c r="C38" s="54" t="s">
        <v>318</v>
      </c>
      <c r="D38" s="70" t="s">
        <v>308</v>
      </c>
      <c r="E38" s="77" t="s">
        <v>309</v>
      </c>
      <c r="F38" s="74">
        <v>12640</v>
      </c>
      <c r="G38" s="80">
        <v>12640</v>
      </c>
      <c r="H38" s="80">
        <v>4614</v>
      </c>
      <c r="I38" s="74">
        <v>1017</v>
      </c>
      <c r="J38" s="74">
        <v>3597</v>
      </c>
      <c r="K38" s="74"/>
      <c r="L38" s="80">
        <v>720</v>
      </c>
      <c r="M38" s="74">
        <v>252</v>
      </c>
      <c r="N38" s="74">
        <v>45</v>
      </c>
      <c r="O38" s="74"/>
      <c r="P38" s="169"/>
      <c r="Q38" s="170"/>
      <c r="R38" s="82"/>
      <c r="S38" s="170"/>
      <c r="T38" s="176"/>
      <c r="U38" s="82"/>
      <c r="V38" s="169"/>
      <c r="W38" s="70" t="s">
        <v>299</v>
      </c>
      <c r="X38" s="68"/>
      <c r="Y38" s="70"/>
      <c r="Z38" s="335"/>
    </row>
    <row r="39" spans="1:26" s="1" customFormat="1" ht="9.9499999999999993" customHeight="1" x14ac:dyDescent="0.2">
      <c r="A39" s="69"/>
      <c r="B39" s="167">
        <v>31503</v>
      </c>
      <c r="C39" s="54" t="s">
        <v>318</v>
      </c>
      <c r="D39" s="70" t="s">
        <v>310</v>
      </c>
      <c r="E39" s="77" t="s">
        <v>311</v>
      </c>
      <c r="F39" s="74">
        <v>6891</v>
      </c>
      <c r="G39" s="80">
        <v>6891</v>
      </c>
      <c r="H39" s="80">
        <v>1745</v>
      </c>
      <c r="I39" s="74">
        <v>487</v>
      </c>
      <c r="J39" s="74">
        <v>1258</v>
      </c>
      <c r="K39" s="74"/>
      <c r="L39" s="80">
        <v>366</v>
      </c>
      <c r="M39" s="74">
        <v>103</v>
      </c>
      <c r="N39" s="74">
        <v>18</v>
      </c>
      <c r="O39" s="74"/>
      <c r="P39" s="169"/>
      <c r="Q39" s="170"/>
      <c r="R39" s="82"/>
      <c r="S39" s="170"/>
      <c r="T39" s="176"/>
      <c r="U39" s="82"/>
      <c r="V39" s="169"/>
      <c r="W39" s="70" t="s">
        <v>299</v>
      </c>
      <c r="X39" s="68"/>
      <c r="Y39" s="70"/>
      <c r="Z39" s="335"/>
    </row>
    <row r="40" spans="1:26" s="1" customFormat="1" ht="9.9499999999999993" customHeight="1" x14ac:dyDescent="0.2">
      <c r="A40" s="69"/>
      <c r="B40" s="166">
        <v>31503</v>
      </c>
      <c r="C40" s="54" t="s">
        <v>318</v>
      </c>
      <c r="D40" s="75" t="s">
        <v>312</v>
      </c>
      <c r="E40" s="78" t="s">
        <v>313</v>
      </c>
      <c r="F40" s="83">
        <v>9870</v>
      </c>
      <c r="G40" s="176">
        <v>9870</v>
      </c>
      <c r="H40" s="176">
        <v>2833</v>
      </c>
      <c r="I40" s="83">
        <v>701</v>
      </c>
      <c r="J40" s="83">
        <v>2132</v>
      </c>
      <c r="K40" s="83"/>
      <c r="L40" s="176">
        <v>446</v>
      </c>
      <c r="M40" s="83">
        <v>217</v>
      </c>
      <c r="N40" s="83">
        <v>38</v>
      </c>
      <c r="O40" s="83"/>
      <c r="P40" s="169"/>
      <c r="Q40" s="170"/>
      <c r="R40" s="83"/>
      <c r="S40" s="170"/>
      <c r="T40" s="176"/>
      <c r="U40" s="83"/>
      <c r="V40" s="169"/>
      <c r="W40" s="68" t="s">
        <v>299</v>
      </c>
      <c r="X40" s="68"/>
      <c r="Y40" s="70"/>
      <c r="Z40" s="335"/>
    </row>
    <row r="41" spans="1:26" s="1" customFormat="1" ht="9.9499999999999993" customHeight="1" x14ac:dyDescent="0.2">
      <c r="A41" s="69"/>
      <c r="B41" s="166">
        <v>31503</v>
      </c>
      <c r="C41" s="54" t="s">
        <v>318</v>
      </c>
      <c r="D41" s="76" t="s">
        <v>314</v>
      </c>
      <c r="E41" s="78" t="s">
        <v>315</v>
      </c>
      <c r="F41" s="84">
        <v>5036</v>
      </c>
      <c r="G41" s="176">
        <v>5036</v>
      </c>
      <c r="H41" s="176">
        <v>1838</v>
      </c>
      <c r="I41" s="84">
        <v>1033</v>
      </c>
      <c r="J41" s="84">
        <v>805</v>
      </c>
      <c r="K41" s="84"/>
      <c r="L41" s="176">
        <v>877</v>
      </c>
      <c r="M41" s="84">
        <v>0</v>
      </c>
      <c r="N41" s="84">
        <v>156</v>
      </c>
      <c r="O41" s="84"/>
      <c r="P41" s="169"/>
      <c r="Q41" s="170"/>
      <c r="R41" s="84"/>
      <c r="S41" s="170"/>
      <c r="T41" s="176"/>
      <c r="U41" s="84"/>
      <c r="V41" s="169"/>
      <c r="W41" s="68" t="s">
        <v>299</v>
      </c>
      <c r="X41" s="68"/>
      <c r="Y41" s="70"/>
      <c r="Z41" s="335"/>
    </row>
    <row r="42" spans="1:26" s="1" customFormat="1" ht="9.9499999999999993" customHeight="1" x14ac:dyDescent="0.2">
      <c r="A42" s="69"/>
      <c r="B42" s="165">
        <v>31868</v>
      </c>
      <c r="C42" s="54" t="s">
        <v>319</v>
      </c>
      <c r="D42" s="67" t="s">
        <v>297</v>
      </c>
      <c r="E42" s="68" t="s">
        <v>298</v>
      </c>
      <c r="F42" s="74">
        <v>22842</v>
      </c>
      <c r="G42" s="74">
        <v>22842</v>
      </c>
      <c r="H42" s="74">
        <v>8348</v>
      </c>
      <c r="I42" s="74">
        <v>8348</v>
      </c>
      <c r="J42" s="74">
        <v>0</v>
      </c>
      <c r="K42" s="74"/>
      <c r="L42" s="74">
        <v>5481</v>
      </c>
      <c r="M42" s="74">
        <v>2867</v>
      </c>
      <c r="N42" s="74">
        <v>0</v>
      </c>
      <c r="O42" s="74"/>
      <c r="P42" s="169"/>
      <c r="Q42" s="170"/>
      <c r="R42" s="81"/>
      <c r="S42" s="170"/>
      <c r="T42" s="81"/>
      <c r="U42" s="81"/>
      <c r="V42" s="169"/>
      <c r="W42" s="68" t="s">
        <v>299</v>
      </c>
      <c r="X42" s="68"/>
      <c r="Y42" s="70"/>
      <c r="Z42" s="335"/>
    </row>
    <row r="43" spans="1:26" s="69" customFormat="1" ht="9.9499999999999993" customHeight="1" x14ac:dyDescent="0.2">
      <c r="B43" s="165">
        <v>31868</v>
      </c>
      <c r="C43" s="54" t="s">
        <v>319</v>
      </c>
      <c r="D43" s="67" t="s">
        <v>300</v>
      </c>
      <c r="E43" s="71" t="s">
        <v>301</v>
      </c>
      <c r="F43" s="173">
        <v>7061</v>
      </c>
      <c r="G43" s="173">
        <v>7061</v>
      </c>
      <c r="H43" s="173">
        <v>2577</v>
      </c>
      <c r="I43" s="173">
        <v>1754</v>
      </c>
      <c r="J43" s="173">
        <v>823</v>
      </c>
      <c r="K43" s="173"/>
      <c r="L43" s="173">
        <v>1497</v>
      </c>
      <c r="M43" s="173">
        <v>0</v>
      </c>
      <c r="N43" s="173">
        <v>257</v>
      </c>
      <c r="O43" s="173"/>
      <c r="P43" s="169"/>
      <c r="Q43" s="170"/>
      <c r="R43" s="174"/>
      <c r="S43" s="170"/>
      <c r="T43" s="174"/>
      <c r="U43" s="174"/>
      <c r="V43" s="169"/>
      <c r="W43" s="71" t="s">
        <v>299</v>
      </c>
      <c r="X43" s="68"/>
      <c r="Y43" s="68"/>
      <c r="Z43" s="336"/>
    </row>
    <row r="44" spans="1:26" s="69" customFormat="1" ht="9.9499999999999993" customHeight="1" x14ac:dyDescent="0.2">
      <c r="B44" s="165">
        <v>31868</v>
      </c>
      <c r="C44" s="54" t="s">
        <v>319</v>
      </c>
      <c r="D44" s="67" t="s">
        <v>302</v>
      </c>
      <c r="E44" s="68" t="s">
        <v>303</v>
      </c>
      <c r="F44" s="74">
        <v>10042</v>
      </c>
      <c r="G44" s="74">
        <v>10042</v>
      </c>
      <c r="H44" s="74">
        <v>2755</v>
      </c>
      <c r="I44" s="74">
        <v>1803</v>
      </c>
      <c r="J44" s="74">
        <v>952</v>
      </c>
      <c r="K44" s="74"/>
      <c r="L44" s="74">
        <v>1454</v>
      </c>
      <c r="M44" s="74">
        <v>283</v>
      </c>
      <c r="N44" s="74">
        <v>66</v>
      </c>
      <c r="O44" s="74"/>
      <c r="P44" s="169"/>
      <c r="Q44" s="170"/>
      <c r="R44" s="81"/>
      <c r="S44" s="170"/>
      <c r="T44" s="81"/>
      <c r="U44" s="81"/>
      <c r="V44" s="169"/>
      <c r="W44" s="68" t="s">
        <v>299</v>
      </c>
      <c r="X44" s="68"/>
      <c r="Y44" s="68"/>
      <c r="Z44" s="336"/>
    </row>
    <row r="45" spans="1:26" s="69" customFormat="1" ht="9.9499999999999993" customHeight="1" x14ac:dyDescent="0.2">
      <c r="B45" s="165">
        <v>31868</v>
      </c>
      <c r="C45" s="54" t="s">
        <v>319</v>
      </c>
      <c r="D45" s="67" t="s">
        <v>304</v>
      </c>
      <c r="E45" s="68" t="s">
        <v>305</v>
      </c>
      <c r="F45" s="74">
        <v>17823</v>
      </c>
      <c r="G45" s="74">
        <v>17823</v>
      </c>
      <c r="H45" s="74">
        <v>8446</v>
      </c>
      <c r="I45" s="74">
        <v>1941</v>
      </c>
      <c r="J45" s="74">
        <v>6505</v>
      </c>
      <c r="K45" s="74"/>
      <c r="L45" s="74">
        <v>1510</v>
      </c>
      <c r="M45" s="74">
        <v>349</v>
      </c>
      <c r="N45" s="74">
        <v>82</v>
      </c>
      <c r="O45" s="74"/>
      <c r="P45" s="169"/>
      <c r="Q45" s="170"/>
      <c r="R45" s="81"/>
      <c r="S45" s="170"/>
      <c r="T45" s="81"/>
      <c r="U45" s="81"/>
      <c r="V45" s="169"/>
      <c r="W45" s="68" t="s">
        <v>299</v>
      </c>
      <c r="X45" s="68"/>
      <c r="Y45" s="68"/>
      <c r="Z45" s="336"/>
    </row>
    <row r="46" spans="1:26" s="69" customFormat="1" ht="9.9499999999999993" customHeight="1" x14ac:dyDescent="0.2">
      <c r="A46" s="1"/>
      <c r="B46" s="165">
        <v>31868</v>
      </c>
      <c r="C46" s="54" t="s">
        <v>319</v>
      </c>
      <c r="D46" s="67" t="s">
        <v>306</v>
      </c>
      <c r="E46" s="68" t="s">
        <v>307</v>
      </c>
      <c r="F46" s="74">
        <v>8335</v>
      </c>
      <c r="G46" s="74">
        <v>8335</v>
      </c>
      <c r="H46" s="74">
        <v>3042</v>
      </c>
      <c r="I46" s="74">
        <v>1298</v>
      </c>
      <c r="J46" s="74">
        <v>1744</v>
      </c>
      <c r="K46" s="74"/>
      <c r="L46" s="74">
        <v>1030</v>
      </c>
      <c r="M46" s="74">
        <v>217</v>
      </c>
      <c r="N46" s="74">
        <v>51</v>
      </c>
      <c r="O46" s="74"/>
      <c r="P46" s="169"/>
      <c r="Q46" s="170"/>
      <c r="R46" s="81"/>
      <c r="S46" s="170"/>
      <c r="T46" s="81"/>
      <c r="U46" s="81"/>
      <c r="V46" s="169"/>
      <c r="W46" s="68" t="s">
        <v>299</v>
      </c>
      <c r="X46" s="68"/>
      <c r="Y46" s="68"/>
      <c r="Z46" s="336"/>
    </row>
    <row r="47" spans="1:26" s="69" customFormat="1" ht="9.9499999999999993" customHeight="1" x14ac:dyDescent="0.2">
      <c r="A47" s="1"/>
      <c r="B47" s="165">
        <v>31868</v>
      </c>
      <c r="C47" s="54" t="s">
        <v>319</v>
      </c>
      <c r="D47" s="67" t="s">
        <v>308</v>
      </c>
      <c r="E47" s="72" t="s">
        <v>309</v>
      </c>
      <c r="F47" s="171">
        <v>12586</v>
      </c>
      <c r="G47" s="171">
        <v>12586</v>
      </c>
      <c r="H47" s="171">
        <v>4594</v>
      </c>
      <c r="I47" s="171">
        <v>1160</v>
      </c>
      <c r="J47" s="171">
        <v>3434</v>
      </c>
      <c r="K47" s="171"/>
      <c r="L47" s="171">
        <v>828</v>
      </c>
      <c r="M47" s="171">
        <v>268</v>
      </c>
      <c r="N47" s="171">
        <v>64</v>
      </c>
      <c r="O47" s="171"/>
      <c r="P47" s="169"/>
      <c r="Q47" s="170"/>
      <c r="R47" s="172"/>
      <c r="S47" s="170"/>
      <c r="T47" s="172"/>
      <c r="U47" s="172"/>
      <c r="V47" s="169"/>
      <c r="W47" s="72" t="s">
        <v>299</v>
      </c>
      <c r="X47" s="68"/>
      <c r="Y47" s="68"/>
      <c r="Z47" s="336"/>
    </row>
    <row r="48" spans="1:26" s="69" customFormat="1" ht="9.9499999999999993" customHeight="1" x14ac:dyDescent="0.2">
      <c r="A48" s="1"/>
      <c r="B48" s="165">
        <v>31868</v>
      </c>
      <c r="C48" s="54" t="s">
        <v>319</v>
      </c>
      <c r="D48" s="67" t="s">
        <v>310</v>
      </c>
      <c r="E48" s="68" t="s">
        <v>311</v>
      </c>
      <c r="F48" s="74">
        <v>6880</v>
      </c>
      <c r="G48" s="74">
        <v>6880</v>
      </c>
      <c r="H48" s="74">
        <v>1928</v>
      </c>
      <c r="I48" s="74">
        <v>538</v>
      </c>
      <c r="J48" s="74">
        <v>1390</v>
      </c>
      <c r="K48" s="74"/>
      <c r="L48" s="74">
        <v>399</v>
      </c>
      <c r="M48" s="74">
        <v>113</v>
      </c>
      <c r="N48" s="74">
        <v>26</v>
      </c>
      <c r="O48" s="74"/>
      <c r="P48" s="169"/>
      <c r="Q48" s="170"/>
      <c r="R48" s="81"/>
      <c r="S48" s="170"/>
      <c r="T48" s="81"/>
      <c r="U48" s="81"/>
      <c r="V48" s="169"/>
      <c r="W48" s="68" t="s">
        <v>299</v>
      </c>
      <c r="X48" s="68"/>
      <c r="Y48" s="68"/>
      <c r="Z48" s="336"/>
    </row>
    <row r="49" spans="2:26" s="69" customFormat="1" ht="9.9499999999999993" customHeight="1" x14ac:dyDescent="0.2">
      <c r="B49" s="165">
        <v>31868</v>
      </c>
      <c r="C49" s="54" t="s">
        <v>319</v>
      </c>
      <c r="D49" s="67" t="s">
        <v>312</v>
      </c>
      <c r="E49" s="68" t="s">
        <v>313</v>
      </c>
      <c r="F49" s="74">
        <v>9889</v>
      </c>
      <c r="G49" s="74">
        <v>9889</v>
      </c>
      <c r="H49" s="74">
        <v>2838</v>
      </c>
      <c r="I49" s="74">
        <v>860</v>
      </c>
      <c r="J49" s="74">
        <v>1978</v>
      </c>
      <c r="K49" s="74"/>
      <c r="L49" s="74">
        <v>550</v>
      </c>
      <c r="M49" s="74">
        <v>251</v>
      </c>
      <c r="N49" s="74">
        <v>59</v>
      </c>
      <c r="O49" s="74"/>
      <c r="P49" s="169"/>
      <c r="Q49" s="170"/>
      <c r="R49" s="81"/>
      <c r="S49" s="170"/>
      <c r="T49" s="81"/>
      <c r="U49" s="81"/>
      <c r="V49" s="169"/>
      <c r="W49" s="68" t="s">
        <v>299</v>
      </c>
      <c r="X49" s="68"/>
      <c r="Y49" s="68"/>
      <c r="Z49" s="336"/>
    </row>
    <row r="50" spans="2:26" s="69" customFormat="1" ht="9.9499999999999993" customHeight="1" x14ac:dyDescent="0.2">
      <c r="B50" s="165">
        <v>31868</v>
      </c>
      <c r="C50" s="54" t="s">
        <v>319</v>
      </c>
      <c r="D50" s="67" t="s">
        <v>314</v>
      </c>
      <c r="E50" s="68" t="s">
        <v>315</v>
      </c>
      <c r="F50" s="74">
        <v>5026</v>
      </c>
      <c r="G50" s="74">
        <v>5026</v>
      </c>
      <c r="H50" s="74">
        <v>1834</v>
      </c>
      <c r="I50" s="74">
        <v>1037</v>
      </c>
      <c r="J50" s="74">
        <v>797</v>
      </c>
      <c r="K50" s="74"/>
      <c r="L50" s="74">
        <v>864</v>
      </c>
      <c r="M50" s="74">
        <v>0</v>
      </c>
      <c r="N50" s="74">
        <v>173</v>
      </c>
      <c r="O50" s="74"/>
      <c r="P50" s="169"/>
      <c r="Q50" s="170"/>
      <c r="R50" s="81"/>
      <c r="S50" s="170"/>
      <c r="T50" s="81"/>
      <c r="U50" s="81"/>
      <c r="V50" s="169"/>
      <c r="W50" s="68" t="s">
        <v>299</v>
      </c>
      <c r="X50" s="68"/>
      <c r="Y50" s="68"/>
      <c r="Z50" s="336"/>
    </row>
    <row r="51" spans="2:26" ht="9.9499999999999993" customHeight="1" x14ac:dyDescent="0.2">
      <c r="B51" s="165">
        <v>32234</v>
      </c>
      <c r="C51" s="54" t="s">
        <v>320</v>
      </c>
      <c r="D51" s="67" t="s">
        <v>297</v>
      </c>
      <c r="E51" s="68" t="s">
        <v>298</v>
      </c>
      <c r="F51" s="74">
        <v>22933</v>
      </c>
      <c r="G51" s="74">
        <v>22933</v>
      </c>
      <c r="H51" s="74">
        <v>8611</v>
      </c>
      <c r="I51" s="74">
        <v>8611</v>
      </c>
      <c r="J51" s="74">
        <v>0</v>
      </c>
      <c r="K51" s="74"/>
      <c r="L51" s="74">
        <v>6342</v>
      </c>
      <c r="M51" s="74">
        <v>2065</v>
      </c>
      <c r="N51" s="74">
        <v>204</v>
      </c>
      <c r="O51" s="74"/>
      <c r="P51" s="169"/>
      <c r="Q51" s="170"/>
      <c r="R51" s="81"/>
      <c r="S51" s="170"/>
      <c r="T51" s="81"/>
      <c r="U51" s="81"/>
      <c r="V51" s="169"/>
      <c r="W51" s="68" t="s">
        <v>299</v>
      </c>
      <c r="X51" s="68"/>
      <c r="Y51" s="163"/>
      <c r="Z51" s="337"/>
    </row>
    <row r="52" spans="2:26" ht="9.9499999999999993" customHeight="1" x14ac:dyDescent="0.2">
      <c r="B52" s="165">
        <v>32234</v>
      </c>
      <c r="C52" s="54" t="s">
        <v>320</v>
      </c>
      <c r="D52" s="67" t="s">
        <v>300</v>
      </c>
      <c r="E52" s="68" t="s">
        <v>301</v>
      </c>
      <c r="F52" s="74">
        <v>6978</v>
      </c>
      <c r="G52" s="74">
        <v>6978</v>
      </c>
      <c r="H52" s="74">
        <v>2875</v>
      </c>
      <c r="I52" s="74">
        <v>1988</v>
      </c>
      <c r="J52" s="74">
        <v>887</v>
      </c>
      <c r="K52" s="74"/>
      <c r="L52" s="74">
        <v>1388</v>
      </c>
      <c r="M52" s="74">
        <v>257</v>
      </c>
      <c r="N52" s="74">
        <v>343</v>
      </c>
      <c r="O52" s="74"/>
      <c r="P52" s="169"/>
      <c r="Q52" s="170"/>
      <c r="R52" s="81"/>
      <c r="S52" s="170"/>
      <c r="T52" s="81"/>
      <c r="U52" s="81"/>
      <c r="V52" s="169"/>
      <c r="W52" s="68" t="s">
        <v>299</v>
      </c>
      <c r="X52" s="68"/>
      <c r="Y52" s="163"/>
      <c r="Z52" s="337"/>
    </row>
    <row r="53" spans="2:26" ht="9.9499999999999993" customHeight="1" x14ac:dyDescent="0.2">
      <c r="B53" s="165">
        <v>32234</v>
      </c>
      <c r="C53" s="54" t="s">
        <v>320</v>
      </c>
      <c r="D53" s="67" t="s">
        <v>302</v>
      </c>
      <c r="E53" s="68" t="s">
        <v>303</v>
      </c>
      <c r="F53" s="74">
        <v>9985</v>
      </c>
      <c r="G53" s="74">
        <v>9985</v>
      </c>
      <c r="H53" s="74">
        <v>2278</v>
      </c>
      <c r="I53" s="74">
        <v>1501</v>
      </c>
      <c r="J53" s="74">
        <v>777</v>
      </c>
      <c r="K53" s="74"/>
      <c r="L53" s="74">
        <v>1132</v>
      </c>
      <c r="M53" s="74">
        <v>289</v>
      </c>
      <c r="N53" s="74">
        <v>80</v>
      </c>
      <c r="O53" s="74"/>
      <c r="P53" s="169"/>
      <c r="Q53" s="170"/>
      <c r="R53" s="81"/>
      <c r="S53" s="170"/>
      <c r="T53" s="81"/>
      <c r="U53" s="81"/>
      <c r="V53" s="169"/>
      <c r="W53" s="68" t="s">
        <v>299</v>
      </c>
      <c r="X53" s="68"/>
      <c r="Y53" s="163"/>
      <c r="Z53" s="337"/>
    </row>
    <row r="54" spans="2:26" ht="9.9499999999999993" customHeight="1" x14ac:dyDescent="0.2">
      <c r="B54" s="165">
        <v>32234</v>
      </c>
      <c r="C54" s="54" t="s">
        <v>320</v>
      </c>
      <c r="D54" s="67" t="s">
        <v>304</v>
      </c>
      <c r="E54" s="68" t="s">
        <v>305</v>
      </c>
      <c r="F54" s="74">
        <v>17699</v>
      </c>
      <c r="G54" s="74">
        <v>17699</v>
      </c>
      <c r="H54" s="74">
        <v>8359</v>
      </c>
      <c r="I54" s="74">
        <v>1899</v>
      </c>
      <c r="J54" s="74">
        <v>6460</v>
      </c>
      <c r="K54" s="74"/>
      <c r="L54" s="74">
        <v>1442</v>
      </c>
      <c r="M54" s="74">
        <v>357</v>
      </c>
      <c r="N54" s="74">
        <v>100</v>
      </c>
      <c r="O54" s="74"/>
      <c r="P54" s="169"/>
      <c r="Q54" s="170"/>
      <c r="R54" s="81"/>
      <c r="S54" s="170"/>
      <c r="T54" s="81"/>
      <c r="U54" s="81"/>
      <c r="V54" s="169"/>
      <c r="W54" s="68" t="s">
        <v>299</v>
      </c>
      <c r="X54" s="68"/>
      <c r="Y54" s="163"/>
      <c r="Z54" s="337"/>
    </row>
    <row r="55" spans="2:26" ht="9.9499999999999993" customHeight="1" x14ac:dyDescent="0.2">
      <c r="B55" s="165">
        <v>32234</v>
      </c>
      <c r="C55" s="54" t="s">
        <v>320</v>
      </c>
      <c r="D55" s="67" t="s">
        <v>306</v>
      </c>
      <c r="E55" s="68" t="s">
        <v>307</v>
      </c>
      <c r="F55" s="74">
        <v>8290</v>
      </c>
      <c r="G55" s="74">
        <v>8290</v>
      </c>
      <c r="H55" s="74">
        <v>3026</v>
      </c>
      <c r="I55" s="74">
        <v>1347</v>
      </c>
      <c r="J55" s="74">
        <v>1679</v>
      </c>
      <c r="K55" s="74"/>
      <c r="L55" s="74">
        <v>1056</v>
      </c>
      <c r="M55" s="74">
        <v>226</v>
      </c>
      <c r="N55" s="74">
        <v>62</v>
      </c>
      <c r="O55" s="74"/>
      <c r="P55" s="169"/>
      <c r="Q55" s="170"/>
      <c r="R55" s="81"/>
      <c r="S55" s="170"/>
      <c r="T55" s="81"/>
      <c r="U55" s="81"/>
      <c r="V55" s="169"/>
      <c r="W55" s="68" t="s">
        <v>299</v>
      </c>
      <c r="X55" s="68"/>
      <c r="Y55" s="163"/>
      <c r="Z55" s="337"/>
    </row>
    <row r="56" spans="2:26" ht="9.9499999999999993" customHeight="1" x14ac:dyDescent="0.2">
      <c r="B56" s="165">
        <v>32234</v>
      </c>
      <c r="C56" s="54" t="s">
        <v>320</v>
      </c>
      <c r="D56" s="70" t="s">
        <v>308</v>
      </c>
      <c r="E56" s="73" t="s">
        <v>309</v>
      </c>
      <c r="F56" s="74">
        <v>12511</v>
      </c>
      <c r="G56" s="74">
        <v>12511</v>
      </c>
      <c r="H56" s="74">
        <v>4567</v>
      </c>
      <c r="I56" s="74">
        <v>1130</v>
      </c>
      <c r="J56" s="74">
        <v>3437</v>
      </c>
      <c r="K56" s="74"/>
      <c r="L56" s="74">
        <v>785</v>
      </c>
      <c r="M56" s="74">
        <v>270</v>
      </c>
      <c r="N56" s="74">
        <v>75</v>
      </c>
      <c r="O56" s="74"/>
      <c r="P56" s="169"/>
      <c r="Q56" s="170"/>
      <c r="R56" s="82"/>
      <c r="S56" s="170"/>
      <c r="T56" s="82"/>
      <c r="U56" s="82"/>
      <c r="V56" s="169"/>
      <c r="W56" s="70" t="s">
        <v>299</v>
      </c>
      <c r="X56" s="68"/>
      <c r="Y56" s="163"/>
      <c r="Z56" s="337"/>
    </row>
    <row r="57" spans="2:26" ht="9.9499999999999993" customHeight="1" x14ac:dyDescent="0.2">
      <c r="B57" s="166">
        <v>32234</v>
      </c>
      <c r="C57" s="54" t="s">
        <v>320</v>
      </c>
      <c r="D57" s="70" t="s">
        <v>310</v>
      </c>
      <c r="E57" s="70" t="s">
        <v>311</v>
      </c>
      <c r="F57" s="74">
        <v>6813</v>
      </c>
      <c r="G57" s="74">
        <v>6813</v>
      </c>
      <c r="H57" s="74">
        <v>1992</v>
      </c>
      <c r="I57" s="74">
        <v>616</v>
      </c>
      <c r="J57" s="74">
        <v>1376</v>
      </c>
      <c r="K57" s="74"/>
      <c r="L57" s="74">
        <v>442</v>
      </c>
      <c r="M57" s="74">
        <v>136</v>
      </c>
      <c r="N57" s="74">
        <v>38</v>
      </c>
      <c r="O57" s="74"/>
      <c r="P57" s="169"/>
      <c r="Q57" s="170"/>
      <c r="R57" s="82"/>
      <c r="S57" s="170"/>
      <c r="T57" s="82"/>
      <c r="U57" s="82"/>
      <c r="V57" s="169"/>
      <c r="W57" s="70" t="s">
        <v>299</v>
      </c>
      <c r="X57" s="68"/>
      <c r="Y57" s="163"/>
      <c r="Z57" s="337"/>
    </row>
    <row r="58" spans="2:26" ht="9.9499999999999993" customHeight="1" x14ac:dyDescent="0.2">
      <c r="B58" s="166">
        <v>32234</v>
      </c>
      <c r="C58" s="54" t="s">
        <v>320</v>
      </c>
      <c r="D58" s="70" t="s">
        <v>312</v>
      </c>
      <c r="E58" s="70" t="s">
        <v>313</v>
      </c>
      <c r="F58" s="74">
        <v>9862</v>
      </c>
      <c r="G58" s="74">
        <v>9862</v>
      </c>
      <c r="H58" s="74">
        <v>2830</v>
      </c>
      <c r="I58" s="74">
        <v>906</v>
      </c>
      <c r="J58" s="74">
        <v>1924</v>
      </c>
      <c r="K58" s="74"/>
      <c r="L58" s="74">
        <v>603</v>
      </c>
      <c r="M58" s="74">
        <v>237</v>
      </c>
      <c r="N58" s="74">
        <v>66</v>
      </c>
      <c r="O58" s="74"/>
      <c r="P58" s="169"/>
      <c r="Q58" s="170"/>
      <c r="R58" s="82"/>
      <c r="S58" s="170"/>
      <c r="T58" s="82"/>
      <c r="U58" s="82"/>
      <c r="V58" s="169"/>
      <c r="W58" s="70" t="s">
        <v>299</v>
      </c>
      <c r="X58" s="68"/>
      <c r="Y58" s="163"/>
      <c r="Z58" s="337"/>
    </row>
    <row r="59" spans="2:26" ht="9.9499999999999993" customHeight="1" x14ac:dyDescent="0.2">
      <c r="B59" s="166">
        <v>32234</v>
      </c>
      <c r="C59" s="54" t="s">
        <v>320</v>
      </c>
      <c r="D59" s="75" t="s">
        <v>314</v>
      </c>
      <c r="E59" s="75" t="s">
        <v>315</v>
      </c>
      <c r="F59" s="83">
        <v>5045</v>
      </c>
      <c r="G59" s="83">
        <v>5045</v>
      </c>
      <c r="H59" s="83">
        <v>1841</v>
      </c>
      <c r="I59" s="83">
        <v>1030</v>
      </c>
      <c r="J59" s="83">
        <v>811</v>
      </c>
      <c r="K59" s="83"/>
      <c r="L59" s="83">
        <v>826</v>
      </c>
      <c r="M59" s="83">
        <v>0</v>
      </c>
      <c r="N59" s="83">
        <v>204</v>
      </c>
      <c r="O59" s="83"/>
      <c r="P59" s="169"/>
      <c r="Q59" s="170"/>
      <c r="R59" s="83"/>
      <c r="S59" s="170"/>
      <c r="T59" s="83"/>
      <c r="U59" s="83"/>
      <c r="V59" s="169"/>
      <c r="W59" s="68" t="s">
        <v>299</v>
      </c>
      <c r="X59" s="68"/>
      <c r="Y59" s="163"/>
      <c r="Z59" s="337"/>
    </row>
    <row r="60" spans="2:26" ht="9.9499999999999993" customHeight="1" x14ac:dyDescent="0.2">
      <c r="B60" s="166">
        <v>32599</v>
      </c>
      <c r="C60" s="54" t="s">
        <v>321</v>
      </c>
      <c r="D60" s="76" t="s">
        <v>297</v>
      </c>
      <c r="E60" s="76" t="s">
        <v>298</v>
      </c>
      <c r="F60" s="84">
        <v>22936</v>
      </c>
      <c r="G60" s="84">
        <v>22936</v>
      </c>
      <c r="H60" s="84">
        <v>8371</v>
      </c>
      <c r="I60" s="84">
        <v>5590</v>
      </c>
      <c r="J60" s="84">
        <v>2781</v>
      </c>
      <c r="K60" s="84"/>
      <c r="L60" s="84">
        <v>4224</v>
      </c>
      <c r="M60" s="84">
        <v>1019</v>
      </c>
      <c r="N60" s="84">
        <v>347</v>
      </c>
      <c r="O60" s="84"/>
      <c r="P60" s="169"/>
      <c r="Q60" s="170"/>
      <c r="R60" s="84"/>
      <c r="S60" s="170"/>
      <c r="T60" s="84"/>
      <c r="U60" s="84"/>
      <c r="V60" s="169"/>
      <c r="W60" s="68" t="s">
        <v>299</v>
      </c>
      <c r="X60" s="70"/>
      <c r="Y60" s="163"/>
      <c r="Z60" s="337"/>
    </row>
    <row r="61" spans="2:26" ht="9.9499999999999993" customHeight="1" x14ac:dyDescent="0.2">
      <c r="B61" s="165">
        <v>32599</v>
      </c>
      <c r="C61" s="54" t="s">
        <v>321</v>
      </c>
      <c r="D61" s="67" t="s">
        <v>300</v>
      </c>
      <c r="E61" s="70" t="s">
        <v>301</v>
      </c>
      <c r="F61" s="74">
        <v>6928</v>
      </c>
      <c r="G61" s="74">
        <v>6928</v>
      </c>
      <c r="H61" s="74">
        <v>2529</v>
      </c>
      <c r="I61" s="74">
        <v>1056</v>
      </c>
      <c r="J61" s="74">
        <v>1473</v>
      </c>
      <c r="K61" s="74"/>
      <c r="L61" s="74">
        <v>767</v>
      </c>
      <c r="M61" s="74">
        <v>212</v>
      </c>
      <c r="N61" s="74">
        <v>77</v>
      </c>
      <c r="O61" s="74"/>
      <c r="P61" s="169"/>
      <c r="Q61" s="170"/>
      <c r="R61" s="81"/>
      <c r="S61" s="170"/>
      <c r="T61" s="81"/>
      <c r="U61" s="81"/>
      <c r="V61" s="169"/>
      <c r="W61" s="68" t="s">
        <v>299</v>
      </c>
      <c r="X61" s="70"/>
      <c r="Y61" s="163"/>
      <c r="Z61" s="337"/>
    </row>
    <row r="62" spans="2:26" ht="9.9499999999999993" customHeight="1" x14ac:dyDescent="0.2">
      <c r="B62" s="165">
        <v>32599</v>
      </c>
      <c r="C62" s="54" t="s">
        <v>321</v>
      </c>
      <c r="D62" s="67" t="s">
        <v>302</v>
      </c>
      <c r="E62" s="70" t="s">
        <v>303</v>
      </c>
      <c r="F62" s="173">
        <v>9879</v>
      </c>
      <c r="G62" s="173">
        <v>9879</v>
      </c>
      <c r="H62" s="173">
        <v>3606</v>
      </c>
      <c r="I62" s="173">
        <v>1358</v>
      </c>
      <c r="J62" s="173">
        <v>2248</v>
      </c>
      <c r="K62" s="173"/>
      <c r="L62" s="173">
        <v>1005</v>
      </c>
      <c r="M62" s="173">
        <v>261</v>
      </c>
      <c r="N62" s="173">
        <v>92</v>
      </c>
      <c r="O62" s="173"/>
      <c r="P62" s="169"/>
      <c r="Q62" s="170"/>
      <c r="R62" s="174"/>
      <c r="S62" s="170"/>
      <c r="T62" s="174"/>
      <c r="U62" s="174"/>
      <c r="V62" s="169"/>
      <c r="W62" s="71" t="s">
        <v>299</v>
      </c>
      <c r="X62" s="70"/>
      <c r="Y62" s="163"/>
      <c r="Z62" s="337"/>
    </row>
    <row r="63" spans="2:26" ht="9.9499999999999993" customHeight="1" x14ac:dyDescent="0.2">
      <c r="B63" s="165">
        <v>32599</v>
      </c>
      <c r="C63" s="54" t="s">
        <v>321</v>
      </c>
      <c r="D63" s="67" t="s">
        <v>304</v>
      </c>
      <c r="E63" s="70" t="s">
        <v>305</v>
      </c>
      <c r="F63" s="74">
        <v>17652</v>
      </c>
      <c r="G63" s="74">
        <v>17652</v>
      </c>
      <c r="H63" s="74">
        <v>6443</v>
      </c>
      <c r="I63" s="74">
        <v>1786</v>
      </c>
      <c r="J63" s="74">
        <v>4657</v>
      </c>
      <c r="K63" s="74"/>
      <c r="L63" s="74">
        <v>1277</v>
      </c>
      <c r="M63" s="74">
        <v>371</v>
      </c>
      <c r="N63" s="74">
        <v>138</v>
      </c>
      <c r="O63" s="74"/>
      <c r="P63" s="169"/>
      <c r="Q63" s="170"/>
      <c r="R63" s="81"/>
      <c r="S63" s="170"/>
      <c r="T63" s="81"/>
      <c r="U63" s="81"/>
      <c r="V63" s="169"/>
      <c r="W63" s="68" t="s">
        <v>299</v>
      </c>
      <c r="X63" s="70"/>
      <c r="Y63" s="163"/>
      <c r="Z63" s="337"/>
    </row>
    <row r="64" spans="2:26" ht="9.9499999999999993" customHeight="1" x14ac:dyDescent="0.2">
      <c r="B64" s="165">
        <v>32599</v>
      </c>
      <c r="C64" s="54" t="s">
        <v>321</v>
      </c>
      <c r="D64" s="67" t="s">
        <v>306</v>
      </c>
      <c r="E64" s="70" t="s">
        <v>307</v>
      </c>
      <c r="F64" s="74">
        <v>8235</v>
      </c>
      <c r="G64" s="74">
        <v>8235</v>
      </c>
      <c r="H64" s="74">
        <v>3006</v>
      </c>
      <c r="I64" s="74">
        <v>934</v>
      </c>
      <c r="J64" s="74">
        <v>2072</v>
      </c>
      <c r="K64" s="74"/>
      <c r="L64" s="74">
        <v>653</v>
      </c>
      <c r="M64" s="74">
        <v>204</v>
      </c>
      <c r="N64" s="74">
        <v>77</v>
      </c>
      <c r="O64" s="74"/>
      <c r="P64" s="169"/>
      <c r="Q64" s="170"/>
      <c r="R64" s="81"/>
      <c r="S64" s="170"/>
      <c r="T64" s="81"/>
      <c r="U64" s="81"/>
      <c r="V64" s="169"/>
      <c r="W64" s="68" t="s">
        <v>299</v>
      </c>
      <c r="X64" s="70"/>
      <c r="Y64" s="163"/>
      <c r="Z64" s="337"/>
    </row>
    <row r="65" spans="2:26" ht="9.9499999999999993" customHeight="1" x14ac:dyDescent="0.2">
      <c r="B65" s="165">
        <v>32599</v>
      </c>
      <c r="C65" s="54" t="s">
        <v>321</v>
      </c>
      <c r="D65" s="67" t="s">
        <v>308</v>
      </c>
      <c r="E65" s="70" t="s">
        <v>309</v>
      </c>
      <c r="F65" s="74">
        <v>12494</v>
      </c>
      <c r="G65" s="74">
        <v>12494</v>
      </c>
      <c r="H65" s="74">
        <v>4560</v>
      </c>
      <c r="I65" s="74">
        <v>990</v>
      </c>
      <c r="J65" s="74">
        <v>3570</v>
      </c>
      <c r="K65" s="74"/>
      <c r="L65" s="74">
        <v>623</v>
      </c>
      <c r="M65" s="74">
        <v>259</v>
      </c>
      <c r="N65" s="74">
        <v>108</v>
      </c>
      <c r="O65" s="74"/>
      <c r="P65" s="169"/>
      <c r="Q65" s="170"/>
      <c r="R65" s="81"/>
      <c r="S65" s="170"/>
      <c r="T65" s="81"/>
      <c r="U65" s="81"/>
      <c r="V65" s="169"/>
      <c r="W65" s="68" t="s">
        <v>299</v>
      </c>
      <c r="X65" s="70"/>
      <c r="Y65" s="163"/>
      <c r="Z65" s="337"/>
    </row>
    <row r="66" spans="2:26" ht="9.9499999999999993" customHeight="1" x14ac:dyDescent="0.2">
      <c r="B66" s="165">
        <v>32599</v>
      </c>
      <c r="C66" s="54" t="s">
        <v>321</v>
      </c>
      <c r="D66" s="67" t="s">
        <v>310</v>
      </c>
      <c r="E66" s="70" t="s">
        <v>311</v>
      </c>
      <c r="F66" s="171">
        <v>6785</v>
      </c>
      <c r="G66" s="171">
        <v>6785</v>
      </c>
      <c r="H66" s="171">
        <v>2477</v>
      </c>
      <c r="I66" s="171">
        <v>568</v>
      </c>
      <c r="J66" s="171">
        <v>1909</v>
      </c>
      <c r="K66" s="171"/>
      <c r="L66" s="171">
        <v>375</v>
      </c>
      <c r="M66" s="171">
        <v>138</v>
      </c>
      <c r="N66" s="171">
        <v>55</v>
      </c>
      <c r="O66" s="171"/>
      <c r="P66" s="169"/>
      <c r="Q66" s="170"/>
      <c r="R66" s="172"/>
      <c r="S66" s="170"/>
      <c r="T66" s="172"/>
      <c r="U66" s="172"/>
      <c r="V66" s="169"/>
      <c r="W66" s="72" t="s">
        <v>299</v>
      </c>
      <c r="X66" s="70"/>
      <c r="Y66" s="163"/>
      <c r="Z66" s="337"/>
    </row>
    <row r="67" spans="2:26" ht="9.9499999999999993" customHeight="1" x14ac:dyDescent="0.2">
      <c r="B67" s="165">
        <v>32599</v>
      </c>
      <c r="C67" s="54" t="s">
        <v>321</v>
      </c>
      <c r="D67" s="67" t="s">
        <v>312</v>
      </c>
      <c r="E67" s="70" t="s">
        <v>313</v>
      </c>
      <c r="F67" s="74">
        <v>9886</v>
      </c>
      <c r="G67" s="74">
        <v>9886</v>
      </c>
      <c r="H67" s="74">
        <v>2966</v>
      </c>
      <c r="I67" s="74">
        <v>683</v>
      </c>
      <c r="J67" s="74">
        <v>2283</v>
      </c>
      <c r="K67" s="74"/>
      <c r="L67" s="74">
        <v>419</v>
      </c>
      <c r="M67" s="74">
        <v>186</v>
      </c>
      <c r="N67" s="74">
        <v>78</v>
      </c>
      <c r="O67" s="74"/>
      <c r="P67" s="169"/>
      <c r="Q67" s="170"/>
      <c r="R67" s="81"/>
      <c r="S67" s="170"/>
      <c r="T67" s="81"/>
      <c r="U67" s="81"/>
      <c r="V67" s="169"/>
      <c r="W67" s="68" t="s">
        <v>299</v>
      </c>
      <c r="X67" s="70"/>
      <c r="Y67" s="163"/>
      <c r="Z67" s="337"/>
    </row>
    <row r="68" spans="2:26" ht="9.9499999999999993" customHeight="1" x14ac:dyDescent="0.2">
      <c r="B68" s="165">
        <v>32599</v>
      </c>
      <c r="C68" s="54" t="s">
        <v>321</v>
      </c>
      <c r="D68" s="67" t="s">
        <v>314</v>
      </c>
      <c r="E68" s="70" t="s">
        <v>315</v>
      </c>
      <c r="F68" s="74">
        <v>4968</v>
      </c>
      <c r="G68" s="74">
        <v>4968</v>
      </c>
      <c r="H68" s="74">
        <v>1813</v>
      </c>
      <c r="I68" s="74">
        <v>657</v>
      </c>
      <c r="J68" s="74">
        <v>1156</v>
      </c>
      <c r="K68" s="74"/>
      <c r="L68" s="74">
        <v>454</v>
      </c>
      <c r="M68" s="74">
        <v>147</v>
      </c>
      <c r="N68" s="74">
        <v>56</v>
      </c>
      <c r="O68" s="74"/>
      <c r="P68" s="169"/>
      <c r="Q68" s="170"/>
      <c r="R68" s="81"/>
      <c r="S68" s="170"/>
      <c r="T68" s="81"/>
      <c r="U68" s="81"/>
      <c r="V68" s="169"/>
      <c r="W68" s="68" t="s">
        <v>299</v>
      </c>
      <c r="X68" s="70"/>
      <c r="Y68" s="163"/>
      <c r="Z68" s="337"/>
    </row>
    <row r="69" spans="2:26" ht="9.9499999999999993" customHeight="1" x14ac:dyDescent="0.2">
      <c r="B69" s="165">
        <v>32964</v>
      </c>
      <c r="C69" s="54" t="s">
        <v>322</v>
      </c>
      <c r="D69" s="67" t="s">
        <v>297</v>
      </c>
      <c r="E69" s="70" t="s">
        <v>298</v>
      </c>
      <c r="F69" s="74">
        <v>22998</v>
      </c>
      <c r="G69" s="74">
        <v>22998</v>
      </c>
      <c r="H69" s="74">
        <v>8394</v>
      </c>
      <c r="I69" s="74">
        <v>6139</v>
      </c>
      <c r="J69" s="74">
        <v>2255</v>
      </c>
      <c r="K69" s="74"/>
      <c r="L69" s="74">
        <v>5007</v>
      </c>
      <c r="M69" s="74">
        <v>782</v>
      </c>
      <c r="N69" s="74">
        <v>350</v>
      </c>
      <c r="O69" s="74"/>
      <c r="P69" s="169"/>
      <c r="Q69" s="170"/>
      <c r="R69" s="81"/>
      <c r="S69" s="170"/>
      <c r="T69" s="81"/>
      <c r="U69" s="81"/>
      <c r="V69" s="169"/>
      <c r="W69" s="68" t="s">
        <v>299</v>
      </c>
      <c r="X69" s="70"/>
      <c r="Y69" s="163"/>
      <c r="Z69" s="337"/>
    </row>
    <row r="70" spans="2:26" ht="9.9499999999999993" customHeight="1" x14ac:dyDescent="0.2">
      <c r="B70" s="165">
        <v>32964</v>
      </c>
      <c r="C70" s="54" t="s">
        <v>322</v>
      </c>
      <c r="D70" s="67" t="s">
        <v>300</v>
      </c>
      <c r="E70" s="70" t="s">
        <v>301</v>
      </c>
      <c r="F70" s="74">
        <v>6882</v>
      </c>
      <c r="G70" s="74">
        <v>6882</v>
      </c>
      <c r="H70" s="74">
        <v>2512</v>
      </c>
      <c r="I70" s="74">
        <v>1112</v>
      </c>
      <c r="J70" s="74">
        <v>1400</v>
      </c>
      <c r="K70" s="74"/>
      <c r="L70" s="74">
        <v>858</v>
      </c>
      <c r="M70" s="74">
        <v>172</v>
      </c>
      <c r="N70" s="74">
        <v>82</v>
      </c>
      <c r="O70" s="74"/>
      <c r="P70" s="169"/>
      <c r="Q70" s="170"/>
      <c r="R70" s="81"/>
      <c r="S70" s="170"/>
      <c r="T70" s="81"/>
      <c r="U70" s="81"/>
      <c r="V70" s="169"/>
      <c r="W70" s="68" t="s">
        <v>299</v>
      </c>
      <c r="X70" s="70"/>
      <c r="Y70" s="163"/>
      <c r="Z70" s="337"/>
    </row>
    <row r="71" spans="2:26" ht="9.9499999999999993" customHeight="1" x14ac:dyDescent="0.2">
      <c r="B71" s="165">
        <v>32964</v>
      </c>
      <c r="C71" s="54" t="s">
        <v>322</v>
      </c>
      <c r="D71" s="67" t="s">
        <v>302</v>
      </c>
      <c r="E71" s="70" t="s">
        <v>303</v>
      </c>
      <c r="F71" s="74">
        <v>9800</v>
      </c>
      <c r="G71" s="74">
        <v>9800</v>
      </c>
      <c r="H71" s="74">
        <v>3577</v>
      </c>
      <c r="I71" s="74">
        <v>1446</v>
      </c>
      <c r="J71" s="74">
        <v>2131</v>
      </c>
      <c r="K71" s="74"/>
      <c r="L71" s="74">
        <v>1147</v>
      </c>
      <c r="M71" s="74">
        <v>203</v>
      </c>
      <c r="N71" s="74">
        <v>96</v>
      </c>
      <c r="O71" s="74"/>
      <c r="P71" s="169"/>
      <c r="Q71" s="170"/>
      <c r="R71" s="81"/>
      <c r="S71" s="170"/>
      <c r="T71" s="81"/>
      <c r="U71" s="81"/>
      <c r="V71" s="169"/>
      <c r="W71" s="68" t="s">
        <v>299</v>
      </c>
      <c r="X71" s="70"/>
      <c r="Y71" s="163"/>
      <c r="Z71" s="337"/>
    </row>
    <row r="72" spans="2:26" ht="9.9499999999999993" customHeight="1" x14ac:dyDescent="0.2">
      <c r="B72" s="165">
        <v>32964</v>
      </c>
      <c r="C72" s="54" t="s">
        <v>322</v>
      </c>
      <c r="D72" s="67" t="s">
        <v>304</v>
      </c>
      <c r="E72" s="70" t="s">
        <v>305</v>
      </c>
      <c r="F72" s="74">
        <v>17721</v>
      </c>
      <c r="G72" s="74">
        <v>17721</v>
      </c>
      <c r="H72" s="74">
        <v>6468</v>
      </c>
      <c r="I72" s="74">
        <v>1956</v>
      </c>
      <c r="J72" s="74">
        <v>4512</v>
      </c>
      <c r="K72" s="74"/>
      <c r="L72" s="74">
        <v>1519</v>
      </c>
      <c r="M72" s="74">
        <v>296</v>
      </c>
      <c r="N72" s="74">
        <v>141</v>
      </c>
      <c r="O72" s="74"/>
      <c r="P72" s="169"/>
      <c r="Q72" s="170"/>
      <c r="R72" s="81"/>
      <c r="S72" s="170"/>
      <c r="T72" s="81"/>
      <c r="U72" s="81"/>
      <c r="V72" s="169"/>
      <c r="W72" s="68" t="s">
        <v>299</v>
      </c>
      <c r="X72" s="68"/>
      <c r="Y72" s="163"/>
      <c r="Z72" s="337"/>
    </row>
    <row r="73" spans="2:26" ht="9.9499999999999993" customHeight="1" x14ac:dyDescent="0.2">
      <c r="B73" s="165">
        <v>32964</v>
      </c>
      <c r="C73" s="54" t="s">
        <v>322</v>
      </c>
      <c r="D73" s="67" t="s">
        <v>306</v>
      </c>
      <c r="E73" s="70" t="s">
        <v>307</v>
      </c>
      <c r="F73" s="74">
        <v>8247</v>
      </c>
      <c r="G73" s="74">
        <v>8247</v>
      </c>
      <c r="H73" s="74">
        <v>3010</v>
      </c>
      <c r="I73" s="74">
        <v>1029</v>
      </c>
      <c r="J73" s="74">
        <v>1981</v>
      </c>
      <c r="K73" s="74"/>
      <c r="L73" s="74">
        <v>794</v>
      </c>
      <c r="M73" s="74">
        <v>158</v>
      </c>
      <c r="N73" s="74">
        <v>77</v>
      </c>
      <c r="O73" s="74"/>
      <c r="P73" s="169"/>
      <c r="Q73" s="170"/>
      <c r="R73" s="81"/>
      <c r="S73" s="170"/>
      <c r="T73" s="81"/>
      <c r="U73" s="81"/>
      <c r="V73" s="169"/>
      <c r="W73" s="68" t="s">
        <v>299</v>
      </c>
      <c r="X73" s="68"/>
      <c r="Y73" s="163"/>
      <c r="Z73" s="337"/>
    </row>
    <row r="74" spans="2:26" ht="9.9499999999999993" customHeight="1" x14ac:dyDescent="0.2">
      <c r="B74" s="165">
        <v>32964</v>
      </c>
      <c r="C74" s="54" t="s">
        <v>322</v>
      </c>
      <c r="D74" s="67" t="s">
        <v>308</v>
      </c>
      <c r="E74" s="68" t="s">
        <v>309</v>
      </c>
      <c r="F74" s="74">
        <v>12471</v>
      </c>
      <c r="G74" s="74">
        <v>12471</v>
      </c>
      <c r="H74" s="74">
        <v>4551</v>
      </c>
      <c r="I74" s="74">
        <v>1174</v>
      </c>
      <c r="J74" s="74">
        <v>3377</v>
      </c>
      <c r="K74" s="74"/>
      <c r="L74" s="74">
        <v>812</v>
      </c>
      <c r="M74" s="74">
        <v>245</v>
      </c>
      <c r="N74" s="74">
        <v>117</v>
      </c>
      <c r="O74" s="74"/>
      <c r="P74" s="169"/>
      <c r="Q74" s="170"/>
      <c r="R74" s="81"/>
      <c r="S74" s="170"/>
      <c r="T74" s="81"/>
      <c r="U74" s="81"/>
      <c r="V74" s="169"/>
      <c r="W74" s="68" t="s">
        <v>299</v>
      </c>
      <c r="X74" s="68"/>
      <c r="Y74" s="163"/>
      <c r="Z74" s="337"/>
    </row>
    <row r="75" spans="2:26" ht="9.9499999999999993" customHeight="1" x14ac:dyDescent="0.2">
      <c r="B75" s="165">
        <v>32964</v>
      </c>
      <c r="C75" s="54" t="s">
        <v>322</v>
      </c>
      <c r="D75" s="70" t="s">
        <v>310</v>
      </c>
      <c r="E75" s="73" t="s">
        <v>311</v>
      </c>
      <c r="F75" s="74">
        <v>6762</v>
      </c>
      <c r="G75" s="74">
        <v>6762</v>
      </c>
      <c r="H75" s="74">
        <v>2468</v>
      </c>
      <c r="I75" s="74">
        <v>585</v>
      </c>
      <c r="J75" s="74">
        <v>1883</v>
      </c>
      <c r="K75" s="74"/>
      <c r="L75" s="74">
        <v>442</v>
      </c>
      <c r="M75" s="74">
        <v>95</v>
      </c>
      <c r="N75" s="74">
        <v>48</v>
      </c>
      <c r="O75" s="74"/>
      <c r="P75" s="169"/>
      <c r="Q75" s="170"/>
      <c r="R75" s="82"/>
      <c r="S75" s="170"/>
      <c r="T75" s="82"/>
      <c r="U75" s="82"/>
      <c r="V75" s="169"/>
      <c r="W75" s="70" t="s">
        <v>299</v>
      </c>
      <c r="X75" s="68"/>
      <c r="Y75" s="163"/>
      <c r="Z75" s="337"/>
    </row>
    <row r="76" spans="2:26" ht="9.9499999999999993" customHeight="1" x14ac:dyDescent="0.2">
      <c r="B76" s="166">
        <v>32964</v>
      </c>
      <c r="C76" s="54" t="s">
        <v>322</v>
      </c>
      <c r="D76" s="70" t="s">
        <v>312</v>
      </c>
      <c r="E76" s="70" t="s">
        <v>313</v>
      </c>
      <c r="F76" s="74">
        <v>9850</v>
      </c>
      <c r="G76" s="74">
        <v>9850</v>
      </c>
      <c r="H76" s="74">
        <v>3595</v>
      </c>
      <c r="I76" s="74">
        <v>806</v>
      </c>
      <c r="J76" s="74">
        <v>2789</v>
      </c>
      <c r="K76" s="74"/>
      <c r="L76" s="74">
        <v>557</v>
      </c>
      <c r="M76" s="74">
        <v>167</v>
      </c>
      <c r="N76" s="74">
        <v>82</v>
      </c>
      <c r="O76" s="74"/>
      <c r="P76" s="169"/>
      <c r="Q76" s="170"/>
      <c r="R76" s="82"/>
      <c r="S76" s="170"/>
      <c r="T76" s="82"/>
      <c r="U76" s="82"/>
      <c r="V76" s="169"/>
      <c r="W76" s="70" t="s">
        <v>299</v>
      </c>
      <c r="X76" s="68"/>
      <c r="Y76" s="163"/>
      <c r="Z76" s="337"/>
    </row>
    <row r="77" spans="2:26" ht="9.9499999999999993" customHeight="1" x14ac:dyDescent="0.2">
      <c r="B77" s="166">
        <v>32964</v>
      </c>
      <c r="C77" s="54" t="s">
        <v>322</v>
      </c>
      <c r="D77" s="70" t="s">
        <v>314</v>
      </c>
      <c r="E77" s="70" t="s">
        <v>315</v>
      </c>
      <c r="F77" s="74">
        <v>4918</v>
      </c>
      <c r="G77" s="74">
        <v>4918</v>
      </c>
      <c r="H77" s="74">
        <v>1132</v>
      </c>
      <c r="I77" s="74">
        <v>663</v>
      </c>
      <c r="J77" s="74">
        <v>469</v>
      </c>
      <c r="K77" s="74"/>
      <c r="L77" s="74">
        <v>495</v>
      </c>
      <c r="M77" s="74">
        <v>113</v>
      </c>
      <c r="N77" s="74">
        <v>55</v>
      </c>
      <c r="O77" s="74"/>
      <c r="P77" s="169"/>
      <c r="Q77" s="170"/>
      <c r="R77" s="82"/>
      <c r="S77" s="170"/>
      <c r="T77" s="82"/>
      <c r="U77" s="82"/>
      <c r="V77" s="169"/>
      <c r="W77" s="70" t="s">
        <v>299</v>
      </c>
      <c r="X77" s="68"/>
      <c r="Y77" s="163"/>
      <c r="Z77" s="337"/>
    </row>
    <row r="78" spans="2:26" ht="9.9499999999999993" customHeight="1" x14ac:dyDescent="0.2">
      <c r="B78" s="166">
        <v>33329</v>
      </c>
      <c r="C78" s="54" t="s">
        <v>323</v>
      </c>
      <c r="D78" s="75" t="s">
        <v>297</v>
      </c>
      <c r="E78" s="75" t="s">
        <v>298</v>
      </c>
      <c r="F78" s="83">
        <v>23030</v>
      </c>
      <c r="G78" s="83">
        <v>23030</v>
      </c>
      <c r="H78" s="83">
        <v>8406</v>
      </c>
      <c r="I78" s="83">
        <v>6107</v>
      </c>
      <c r="J78" s="83">
        <v>2299</v>
      </c>
      <c r="K78" s="83"/>
      <c r="L78" s="83">
        <v>5056</v>
      </c>
      <c r="M78" s="83">
        <v>664</v>
      </c>
      <c r="N78" s="83">
        <v>387</v>
      </c>
      <c r="O78" s="83"/>
      <c r="P78" s="169"/>
      <c r="Q78" s="170"/>
      <c r="R78" s="83"/>
      <c r="S78" s="170"/>
      <c r="T78" s="83"/>
      <c r="U78" s="83"/>
      <c r="V78" s="169"/>
      <c r="W78" s="68" t="s">
        <v>299</v>
      </c>
      <c r="X78" s="68"/>
      <c r="Y78" s="163"/>
      <c r="Z78" s="337"/>
    </row>
    <row r="79" spans="2:26" ht="9.9499999999999993" customHeight="1" x14ac:dyDescent="0.2">
      <c r="B79" s="166">
        <v>33329</v>
      </c>
      <c r="C79" s="54" t="s">
        <v>323</v>
      </c>
      <c r="D79" s="76" t="s">
        <v>300</v>
      </c>
      <c r="E79" s="76" t="s">
        <v>301</v>
      </c>
      <c r="F79" s="84">
        <v>6811</v>
      </c>
      <c r="G79" s="84">
        <v>6811</v>
      </c>
      <c r="H79" s="84">
        <v>2486</v>
      </c>
      <c r="I79" s="84">
        <v>1067</v>
      </c>
      <c r="J79" s="84">
        <v>1419</v>
      </c>
      <c r="K79" s="84"/>
      <c r="L79" s="84">
        <v>843</v>
      </c>
      <c r="M79" s="84">
        <v>141</v>
      </c>
      <c r="N79" s="84">
        <v>83</v>
      </c>
      <c r="O79" s="84"/>
      <c r="P79" s="169"/>
      <c r="Q79" s="170"/>
      <c r="R79" s="84"/>
      <c r="S79" s="170"/>
      <c r="T79" s="84"/>
      <c r="U79" s="84"/>
      <c r="V79" s="169"/>
      <c r="W79" s="68" t="s">
        <v>299</v>
      </c>
      <c r="X79" s="68"/>
      <c r="Y79" s="163"/>
      <c r="Z79" s="337"/>
    </row>
    <row r="80" spans="2:26" ht="9.9499999999999993" customHeight="1" x14ac:dyDescent="0.15">
      <c r="B80" s="168">
        <v>33329</v>
      </c>
      <c r="C80" s="164" t="s">
        <v>323</v>
      </c>
      <c r="D80" s="163" t="s">
        <v>302</v>
      </c>
      <c r="E80" s="163" t="s">
        <v>303</v>
      </c>
      <c r="F80" s="82">
        <v>9777</v>
      </c>
      <c r="G80" s="82">
        <v>9777</v>
      </c>
      <c r="H80" s="82">
        <v>3569</v>
      </c>
      <c r="I80" s="82">
        <v>1366</v>
      </c>
      <c r="J80" s="82">
        <v>2203</v>
      </c>
      <c r="K80" s="82"/>
      <c r="L80" s="82">
        <v>1100</v>
      </c>
      <c r="M80" s="82">
        <v>167</v>
      </c>
      <c r="N80" s="82">
        <v>99</v>
      </c>
      <c r="O80" s="82"/>
      <c r="P80" s="82"/>
      <c r="Q80" s="82"/>
      <c r="R80" s="82"/>
      <c r="S80" s="82"/>
      <c r="T80" s="82"/>
      <c r="U80" s="82"/>
      <c r="V80" s="82"/>
      <c r="W80" s="163" t="s">
        <v>299</v>
      </c>
      <c r="X80" s="163"/>
      <c r="Y80" s="163"/>
      <c r="Z80" s="337"/>
    </row>
    <row r="81" spans="2:26" ht="9.9499999999999993" customHeight="1" x14ac:dyDescent="0.15">
      <c r="B81" s="168">
        <v>33329</v>
      </c>
      <c r="C81" s="163" t="s">
        <v>323</v>
      </c>
      <c r="D81" s="163" t="s">
        <v>304</v>
      </c>
      <c r="E81" s="163" t="s">
        <v>305</v>
      </c>
      <c r="F81" s="82">
        <v>17647</v>
      </c>
      <c r="G81" s="82">
        <v>17647</v>
      </c>
      <c r="H81" s="82">
        <v>6441</v>
      </c>
      <c r="I81" s="82">
        <v>1919</v>
      </c>
      <c r="J81" s="82">
        <v>4522</v>
      </c>
      <c r="K81" s="82"/>
      <c r="L81" s="82">
        <v>1499</v>
      </c>
      <c r="M81" s="82">
        <v>265</v>
      </c>
      <c r="N81" s="82">
        <v>155</v>
      </c>
      <c r="O81" s="82"/>
      <c r="P81" s="82"/>
      <c r="Q81" s="82"/>
      <c r="R81" s="82"/>
      <c r="S81" s="82"/>
      <c r="T81" s="82"/>
      <c r="U81" s="82"/>
      <c r="V81" s="82"/>
      <c r="W81" s="163" t="s">
        <v>299</v>
      </c>
      <c r="X81" s="163"/>
      <c r="Y81" s="163"/>
      <c r="Z81" s="337"/>
    </row>
    <row r="82" spans="2:26" ht="9.9499999999999993" customHeight="1" x14ac:dyDescent="0.15">
      <c r="B82" s="168">
        <v>33329</v>
      </c>
      <c r="C82" s="163" t="s">
        <v>323</v>
      </c>
      <c r="D82" s="163" t="s">
        <v>306</v>
      </c>
      <c r="E82" s="163" t="s">
        <v>307</v>
      </c>
      <c r="F82" s="82">
        <v>8233</v>
      </c>
      <c r="G82" s="82">
        <v>8233</v>
      </c>
      <c r="H82" s="82">
        <v>3005</v>
      </c>
      <c r="I82" s="82">
        <v>1107</v>
      </c>
      <c r="J82" s="82">
        <v>1898</v>
      </c>
      <c r="K82" s="82"/>
      <c r="L82" s="82">
        <v>862</v>
      </c>
      <c r="M82" s="82">
        <v>155</v>
      </c>
      <c r="N82" s="82">
        <v>90</v>
      </c>
      <c r="O82" s="82"/>
      <c r="P82" s="82"/>
      <c r="Q82" s="82"/>
      <c r="R82" s="82"/>
      <c r="S82" s="82"/>
      <c r="T82" s="82"/>
      <c r="U82" s="82"/>
      <c r="V82" s="82"/>
      <c r="W82" s="163" t="s">
        <v>299</v>
      </c>
      <c r="X82" s="163"/>
      <c r="Y82" s="163"/>
      <c r="Z82" s="337"/>
    </row>
    <row r="83" spans="2:26" ht="9.9499999999999993" customHeight="1" x14ac:dyDescent="0.15">
      <c r="B83" s="168">
        <v>33329</v>
      </c>
      <c r="C83" s="163" t="s">
        <v>323</v>
      </c>
      <c r="D83" s="163" t="s">
        <v>308</v>
      </c>
      <c r="E83" s="163" t="s">
        <v>309</v>
      </c>
      <c r="F83" s="82">
        <v>12362</v>
      </c>
      <c r="G83" s="82">
        <v>12362</v>
      </c>
      <c r="H83" s="82">
        <v>4512</v>
      </c>
      <c r="I83" s="82">
        <v>1145</v>
      </c>
      <c r="J83" s="82">
        <v>3367</v>
      </c>
      <c r="K83" s="82"/>
      <c r="L83" s="82">
        <v>814</v>
      </c>
      <c r="M83" s="82">
        <v>209</v>
      </c>
      <c r="N83" s="82">
        <v>122</v>
      </c>
      <c r="O83" s="82"/>
      <c r="P83" s="82"/>
      <c r="Q83" s="82"/>
      <c r="R83" s="82"/>
      <c r="S83" s="82"/>
      <c r="T83" s="82"/>
      <c r="U83" s="82"/>
      <c r="V83" s="82"/>
      <c r="W83" s="163" t="s">
        <v>299</v>
      </c>
      <c r="X83" s="163"/>
      <c r="Y83" s="163"/>
      <c r="Z83" s="337"/>
    </row>
    <row r="84" spans="2:26" ht="9.9499999999999993" customHeight="1" x14ac:dyDescent="0.15">
      <c r="B84" s="168">
        <v>33329</v>
      </c>
      <c r="C84" s="163" t="s">
        <v>323</v>
      </c>
      <c r="D84" s="163" t="s">
        <v>310</v>
      </c>
      <c r="E84" s="163" t="s">
        <v>311</v>
      </c>
      <c r="F84" s="82">
        <v>6767</v>
      </c>
      <c r="G84" s="82">
        <v>6767</v>
      </c>
      <c r="H84" s="82">
        <v>2470</v>
      </c>
      <c r="I84" s="82">
        <v>569</v>
      </c>
      <c r="J84" s="82">
        <v>1901</v>
      </c>
      <c r="K84" s="82"/>
      <c r="L84" s="82">
        <v>419</v>
      </c>
      <c r="M84" s="82">
        <v>95</v>
      </c>
      <c r="N84" s="82">
        <v>55</v>
      </c>
      <c r="O84" s="82"/>
      <c r="P84" s="82"/>
      <c r="Q84" s="82"/>
      <c r="R84" s="82"/>
      <c r="S84" s="82"/>
      <c r="T84" s="82"/>
      <c r="U84" s="82"/>
      <c r="V84" s="82"/>
      <c r="W84" s="163" t="s">
        <v>299</v>
      </c>
      <c r="X84" s="163"/>
      <c r="Y84" s="163"/>
      <c r="Z84" s="337"/>
    </row>
    <row r="85" spans="2:26" ht="9.9499999999999993" customHeight="1" x14ac:dyDescent="0.15">
      <c r="B85" s="168">
        <v>33329</v>
      </c>
      <c r="C85" s="163" t="s">
        <v>323</v>
      </c>
      <c r="D85" s="163" t="s">
        <v>312</v>
      </c>
      <c r="E85" s="163" t="s">
        <v>313</v>
      </c>
      <c r="F85" s="82">
        <v>9809</v>
      </c>
      <c r="G85" s="82">
        <v>9809</v>
      </c>
      <c r="H85" s="82">
        <v>3580</v>
      </c>
      <c r="I85" s="82">
        <v>859</v>
      </c>
      <c r="J85" s="82">
        <v>2721</v>
      </c>
      <c r="K85" s="82"/>
      <c r="L85" s="82">
        <v>597</v>
      </c>
      <c r="M85" s="82">
        <v>166</v>
      </c>
      <c r="N85" s="82">
        <v>96</v>
      </c>
      <c r="O85" s="82"/>
      <c r="P85" s="82"/>
      <c r="Q85" s="82"/>
      <c r="R85" s="82"/>
      <c r="S85" s="82"/>
      <c r="T85" s="82"/>
      <c r="U85" s="82"/>
      <c r="V85" s="82"/>
      <c r="W85" s="163" t="s">
        <v>299</v>
      </c>
      <c r="X85" s="163"/>
      <c r="Y85" s="163"/>
      <c r="Z85" s="337"/>
    </row>
    <row r="86" spans="2:26" ht="9.9499999999999993" customHeight="1" x14ac:dyDescent="0.15">
      <c r="B86" s="168">
        <v>33329</v>
      </c>
      <c r="C86" s="163" t="s">
        <v>323</v>
      </c>
      <c r="D86" s="163" t="s">
        <v>314</v>
      </c>
      <c r="E86" s="163" t="s">
        <v>315</v>
      </c>
      <c r="F86" s="82">
        <v>4895</v>
      </c>
      <c r="G86" s="82">
        <v>4895</v>
      </c>
      <c r="H86" s="82">
        <v>1787</v>
      </c>
      <c r="I86" s="82">
        <v>635</v>
      </c>
      <c r="J86" s="82">
        <v>1152</v>
      </c>
      <c r="K86" s="82"/>
      <c r="L86" s="82">
        <v>476</v>
      </c>
      <c r="M86" s="82">
        <v>100</v>
      </c>
      <c r="N86" s="82">
        <v>59</v>
      </c>
      <c r="O86" s="82"/>
      <c r="P86" s="82"/>
      <c r="Q86" s="82"/>
      <c r="R86" s="82"/>
      <c r="S86" s="82"/>
      <c r="T86" s="82"/>
      <c r="U86" s="82"/>
      <c r="V86" s="82"/>
      <c r="W86" s="163" t="s">
        <v>299</v>
      </c>
      <c r="X86" s="163"/>
      <c r="Y86" s="163"/>
      <c r="Z86" s="337"/>
    </row>
    <row r="87" spans="2:26" ht="9.9499999999999993" customHeight="1" x14ac:dyDescent="0.15">
      <c r="B87" s="168">
        <v>33695</v>
      </c>
      <c r="C87" s="163" t="s">
        <v>324</v>
      </c>
      <c r="D87" s="163" t="s">
        <v>297</v>
      </c>
      <c r="E87" s="163" t="s">
        <v>298</v>
      </c>
      <c r="F87" s="82">
        <v>23143</v>
      </c>
      <c r="G87" s="82">
        <v>23143</v>
      </c>
      <c r="H87" s="82">
        <v>8447</v>
      </c>
      <c r="I87" s="82">
        <v>6432</v>
      </c>
      <c r="J87" s="82">
        <v>2015</v>
      </c>
      <c r="K87" s="82"/>
      <c r="L87" s="82">
        <v>5202</v>
      </c>
      <c r="M87" s="82">
        <v>843</v>
      </c>
      <c r="N87" s="82">
        <v>387</v>
      </c>
      <c r="O87" s="82"/>
      <c r="P87" s="82"/>
      <c r="Q87" s="82"/>
      <c r="R87" s="82"/>
      <c r="S87" s="82"/>
      <c r="T87" s="82"/>
      <c r="U87" s="82"/>
      <c r="V87" s="82"/>
      <c r="W87" s="163" t="s">
        <v>299</v>
      </c>
      <c r="X87" s="163"/>
      <c r="Y87" s="163"/>
      <c r="Z87" s="337"/>
    </row>
    <row r="88" spans="2:26" ht="9.9499999999999993" customHeight="1" x14ac:dyDescent="0.15">
      <c r="B88" s="168">
        <v>33695</v>
      </c>
      <c r="C88" s="163" t="s">
        <v>324</v>
      </c>
      <c r="D88" s="163" t="s">
        <v>300</v>
      </c>
      <c r="E88" s="163" t="s">
        <v>301</v>
      </c>
      <c r="F88" s="82">
        <v>6758</v>
      </c>
      <c r="G88" s="82">
        <v>6758</v>
      </c>
      <c r="H88" s="82">
        <v>2466</v>
      </c>
      <c r="I88" s="82">
        <v>1182</v>
      </c>
      <c r="J88" s="82">
        <v>1284</v>
      </c>
      <c r="K88" s="82"/>
      <c r="L88" s="82">
        <v>890</v>
      </c>
      <c r="M88" s="82">
        <v>203</v>
      </c>
      <c r="N88" s="82">
        <v>89</v>
      </c>
      <c r="O88" s="82"/>
      <c r="P88" s="82"/>
      <c r="Q88" s="82"/>
      <c r="R88" s="82"/>
      <c r="S88" s="82"/>
      <c r="T88" s="82"/>
      <c r="U88" s="82"/>
      <c r="V88" s="82"/>
      <c r="W88" s="163" t="s">
        <v>299</v>
      </c>
      <c r="X88" s="163"/>
      <c r="Y88" s="163"/>
      <c r="Z88" s="337"/>
    </row>
    <row r="89" spans="2:26" ht="9.9499999999999993" customHeight="1" x14ac:dyDescent="0.15">
      <c r="B89" s="168">
        <v>33695</v>
      </c>
      <c r="C89" s="163" t="s">
        <v>324</v>
      </c>
      <c r="D89" s="163" t="s">
        <v>302</v>
      </c>
      <c r="E89" s="163" t="s">
        <v>303</v>
      </c>
      <c r="F89" s="82">
        <v>9689</v>
      </c>
      <c r="G89" s="82">
        <v>9689</v>
      </c>
      <c r="H89" s="82">
        <v>3536</v>
      </c>
      <c r="I89" s="82">
        <v>1482</v>
      </c>
      <c r="J89" s="82">
        <v>2054</v>
      </c>
      <c r="K89" s="82"/>
      <c r="L89" s="82">
        <v>1185</v>
      </c>
      <c r="M89" s="82">
        <v>191</v>
      </c>
      <c r="N89" s="82">
        <v>106</v>
      </c>
      <c r="O89" s="82"/>
      <c r="P89" s="82"/>
      <c r="Q89" s="82"/>
      <c r="R89" s="82"/>
      <c r="S89" s="82"/>
      <c r="T89" s="82"/>
      <c r="U89" s="82"/>
      <c r="V89" s="82"/>
      <c r="W89" s="163" t="s">
        <v>299</v>
      </c>
      <c r="X89" s="163"/>
      <c r="Y89" s="163"/>
      <c r="Z89" s="337"/>
    </row>
    <row r="90" spans="2:26" ht="9.9499999999999993" customHeight="1" x14ac:dyDescent="0.15">
      <c r="B90" s="168">
        <v>33695</v>
      </c>
      <c r="C90" s="163" t="s">
        <v>324</v>
      </c>
      <c r="D90" s="163" t="s">
        <v>304</v>
      </c>
      <c r="E90" s="163" t="s">
        <v>305</v>
      </c>
      <c r="F90" s="82">
        <v>17585</v>
      </c>
      <c r="G90" s="82">
        <v>17585</v>
      </c>
      <c r="H90" s="82">
        <v>6418</v>
      </c>
      <c r="I90" s="82">
        <v>2160</v>
      </c>
      <c r="J90" s="82">
        <v>4258</v>
      </c>
      <c r="K90" s="82"/>
      <c r="L90" s="82">
        <v>1647</v>
      </c>
      <c r="M90" s="82">
        <v>326</v>
      </c>
      <c r="N90" s="82">
        <v>187</v>
      </c>
      <c r="O90" s="82"/>
      <c r="P90" s="82"/>
      <c r="Q90" s="82"/>
      <c r="R90" s="82"/>
      <c r="S90" s="82"/>
      <c r="T90" s="82"/>
      <c r="U90" s="82"/>
      <c r="V90" s="82"/>
      <c r="W90" s="163" t="s">
        <v>299</v>
      </c>
      <c r="X90" s="163"/>
      <c r="Y90" s="163"/>
      <c r="Z90" s="337"/>
    </row>
    <row r="91" spans="2:26" ht="9.9499999999999993" customHeight="1" x14ac:dyDescent="0.15">
      <c r="B91" s="168">
        <v>33695</v>
      </c>
      <c r="C91" s="163" t="s">
        <v>324</v>
      </c>
      <c r="D91" s="163" t="s">
        <v>306</v>
      </c>
      <c r="E91" s="163" t="s">
        <v>307</v>
      </c>
      <c r="F91" s="82">
        <v>8193</v>
      </c>
      <c r="G91" s="82">
        <v>8193</v>
      </c>
      <c r="H91" s="82">
        <v>2990</v>
      </c>
      <c r="I91" s="82">
        <v>1300</v>
      </c>
      <c r="J91" s="82">
        <v>1690</v>
      </c>
      <c r="K91" s="82"/>
      <c r="L91" s="82">
        <v>1017</v>
      </c>
      <c r="M91" s="82">
        <v>185</v>
      </c>
      <c r="N91" s="82">
        <v>98</v>
      </c>
      <c r="O91" s="82"/>
      <c r="P91" s="82"/>
      <c r="Q91" s="82"/>
      <c r="R91" s="82"/>
      <c r="S91" s="82"/>
      <c r="T91" s="82"/>
      <c r="U91" s="82"/>
      <c r="V91" s="82"/>
      <c r="W91" s="163" t="s">
        <v>299</v>
      </c>
      <c r="X91" s="163"/>
      <c r="Y91" s="163"/>
      <c r="Z91" s="337"/>
    </row>
    <row r="92" spans="2:26" ht="9.9499999999999993" customHeight="1" x14ac:dyDescent="0.15">
      <c r="B92" s="168">
        <v>33695</v>
      </c>
      <c r="C92" s="163" t="s">
        <v>324</v>
      </c>
      <c r="D92" s="163" t="s">
        <v>308</v>
      </c>
      <c r="E92" s="163" t="s">
        <v>309</v>
      </c>
      <c r="F92" s="82">
        <v>12268</v>
      </c>
      <c r="G92" s="82">
        <v>12268</v>
      </c>
      <c r="H92" s="82">
        <v>4477</v>
      </c>
      <c r="I92" s="82">
        <v>1384</v>
      </c>
      <c r="J92" s="82">
        <v>3093</v>
      </c>
      <c r="K92" s="82"/>
      <c r="L92" s="82">
        <v>887</v>
      </c>
      <c r="M92" s="82">
        <v>317</v>
      </c>
      <c r="N92" s="82">
        <v>180</v>
      </c>
      <c r="O92" s="82"/>
      <c r="P92" s="82"/>
      <c r="Q92" s="82"/>
      <c r="R92" s="82"/>
      <c r="S92" s="82"/>
      <c r="T92" s="82"/>
      <c r="U92" s="82"/>
      <c r="V92" s="82"/>
      <c r="W92" s="163" t="s">
        <v>299</v>
      </c>
      <c r="X92" s="163"/>
      <c r="Y92" s="163"/>
      <c r="Z92" s="337"/>
    </row>
    <row r="93" spans="2:26" ht="9.9499999999999993" customHeight="1" x14ac:dyDescent="0.15">
      <c r="B93" s="168">
        <v>33695</v>
      </c>
      <c r="C93" s="163" t="s">
        <v>324</v>
      </c>
      <c r="D93" s="163" t="s">
        <v>310</v>
      </c>
      <c r="E93" s="163" t="s">
        <v>311</v>
      </c>
      <c r="F93" s="82">
        <v>6734</v>
      </c>
      <c r="G93" s="82">
        <v>6734</v>
      </c>
      <c r="H93" s="82">
        <v>2458</v>
      </c>
      <c r="I93" s="82">
        <v>619</v>
      </c>
      <c r="J93" s="82">
        <v>1839</v>
      </c>
      <c r="K93" s="82"/>
      <c r="L93" s="82">
        <v>444</v>
      </c>
      <c r="M93" s="82">
        <v>113</v>
      </c>
      <c r="N93" s="82">
        <v>62</v>
      </c>
      <c r="O93" s="82"/>
      <c r="P93" s="82"/>
      <c r="Q93" s="82"/>
      <c r="R93" s="82"/>
      <c r="S93" s="82"/>
      <c r="T93" s="82"/>
      <c r="U93" s="82"/>
      <c r="V93" s="82"/>
      <c r="W93" s="163" t="s">
        <v>299</v>
      </c>
      <c r="X93" s="163"/>
      <c r="Y93" s="163"/>
      <c r="Z93" s="337"/>
    </row>
    <row r="94" spans="2:26" ht="9.9499999999999993" customHeight="1" x14ac:dyDescent="0.15">
      <c r="B94" s="168">
        <v>33695</v>
      </c>
      <c r="C94" s="163" t="s">
        <v>324</v>
      </c>
      <c r="D94" s="163" t="s">
        <v>312</v>
      </c>
      <c r="E94" s="163" t="s">
        <v>313</v>
      </c>
      <c r="F94" s="82">
        <v>9762</v>
      </c>
      <c r="G94" s="82">
        <v>9762</v>
      </c>
      <c r="H94" s="82">
        <v>3563</v>
      </c>
      <c r="I94" s="82">
        <v>1047</v>
      </c>
      <c r="J94" s="82">
        <v>2516</v>
      </c>
      <c r="K94" s="82"/>
      <c r="L94" s="82">
        <v>743</v>
      </c>
      <c r="M94" s="82">
        <v>197</v>
      </c>
      <c r="N94" s="82">
        <v>107</v>
      </c>
      <c r="O94" s="82"/>
      <c r="P94" s="82"/>
      <c r="Q94" s="82"/>
      <c r="R94" s="82"/>
      <c r="S94" s="82"/>
      <c r="T94" s="82"/>
      <c r="U94" s="82"/>
      <c r="V94" s="82"/>
      <c r="W94" s="163" t="s">
        <v>299</v>
      </c>
      <c r="X94" s="163"/>
      <c r="Y94" s="163"/>
      <c r="Z94" s="337"/>
    </row>
    <row r="95" spans="2:26" ht="9.9499999999999993" customHeight="1" x14ac:dyDescent="0.15">
      <c r="B95" s="168">
        <v>33695</v>
      </c>
      <c r="C95" s="163" t="s">
        <v>324</v>
      </c>
      <c r="D95" s="163" t="s">
        <v>314</v>
      </c>
      <c r="E95" s="163" t="s">
        <v>315</v>
      </c>
      <c r="F95" s="82">
        <v>4850</v>
      </c>
      <c r="G95" s="82">
        <v>4850</v>
      </c>
      <c r="H95" s="82">
        <v>1770</v>
      </c>
      <c r="I95" s="82">
        <v>696</v>
      </c>
      <c r="J95" s="82">
        <v>1074</v>
      </c>
      <c r="K95" s="82"/>
      <c r="L95" s="82">
        <v>519</v>
      </c>
      <c r="M95" s="82">
        <v>116</v>
      </c>
      <c r="N95" s="82">
        <v>61</v>
      </c>
      <c r="O95" s="82"/>
      <c r="P95" s="82"/>
      <c r="Q95" s="82"/>
      <c r="R95" s="82"/>
      <c r="S95" s="82"/>
      <c r="T95" s="82"/>
      <c r="U95" s="82"/>
      <c r="V95" s="82"/>
      <c r="W95" s="163" t="s">
        <v>299</v>
      </c>
      <c r="X95" s="163"/>
      <c r="Y95" s="163"/>
      <c r="Z95" s="337"/>
    </row>
    <row r="96" spans="2:26" ht="9.9499999999999993" customHeight="1" x14ac:dyDescent="0.15">
      <c r="B96" s="168">
        <v>34060</v>
      </c>
      <c r="C96" s="163" t="s">
        <v>325</v>
      </c>
      <c r="D96" s="163" t="s">
        <v>297</v>
      </c>
      <c r="E96" s="163" t="s">
        <v>298</v>
      </c>
      <c r="F96" s="82">
        <v>23162</v>
      </c>
      <c r="G96" s="82">
        <v>23162</v>
      </c>
      <c r="H96" s="82">
        <v>8454</v>
      </c>
      <c r="I96" s="82">
        <v>6626</v>
      </c>
      <c r="J96" s="82">
        <v>1828</v>
      </c>
      <c r="K96" s="82"/>
      <c r="L96" s="82">
        <v>5438</v>
      </c>
      <c r="M96" s="82">
        <v>805</v>
      </c>
      <c r="N96" s="82">
        <v>383</v>
      </c>
      <c r="O96" s="82"/>
      <c r="P96" s="82"/>
      <c r="Q96" s="82"/>
      <c r="R96" s="82"/>
      <c r="S96" s="82"/>
      <c r="T96" s="82"/>
      <c r="U96" s="82"/>
      <c r="V96" s="82"/>
      <c r="W96" s="163" t="s">
        <v>299</v>
      </c>
      <c r="X96" s="163"/>
      <c r="Y96" s="163"/>
      <c r="Z96" s="337"/>
    </row>
    <row r="97" spans="2:26" ht="9.9499999999999993" customHeight="1" x14ac:dyDescent="0.15">
      <c r="B97" s="168">
        <v>34060</v>
      </c>
      <c r="C97" s="163" t="s">
        <v>325</v>
      </c>
      <c r="D97" s="163" t="s">
        <v>300</v>
      </c>
      <c r="E97" s="163" t="s">
        <v>301</v>
      </c>
      <c r="F97" s="82">
        <v>6684</v>
      </c>
      <c r="G97" s="82">
        <v>6684</v>
      </c>
      <c r="H97" s="82">
        <v>2440</v>
      </c>
      <c r="I97" s="82">
        <v>1146</v>
      </c>
      <c r="J97" s="82">
        <v>1294</v>
      </c>
      <c r="K97" s="82"/>
      <c r="L97" s="82">
        <v>878</v>
      </c>
      <c r="M97" s="82">
        <v>181</v>
      </c>
      <c r="N97" s="82">
        <v>87</v>
      </c>
      <c r="O97" s="82"/>
      <c r="P97" s="82"/>
      <c r="Q97" s="82"/>
      <c r="R97" s="82"/>
      <c r="S97" s="82"/>
      <c r="T97" s="82"/>
      <c r="U97" s="82"/>
      <c r="V97" s="82"/>
      <c r="W97" s="163" t="s">
        <v>299</v>
      </c>
      <c r="X97" s="163"/>
      <c r="Y97" s="163"/>
      <c r="Z97" s="337"/>
    </row>
    <row r="98" spans="2:26" ht="9.9499999999999993" customHeight="1" x14ac:dyDescent="0.15">
      <c r="B98" s="168">
        <v>34060</v>
      </c>
      <c r="C98" s="163" t="s">
        <v>325</v>
      </c>
      <c r="D98" s="163" t="s">
        <v>302</v>
      </c>
      <c r="E98" s="163" t="s">
        <v>303</v>
      </c>
      <c r="F98" s="82">
        <v>9627</v>
      </c>
      <c r="G98" s="82">
        <v>9627</v>
      </c>
      <c r="H98" s="82">
        <v>3514</v>
      </c>
      <c r="I98" s="82">
        <v>1549</v>
      </c>
      <c r="J98" s="82">
        <v>1965</v>
      </c>
      <c r="K98" s="82"/>
      <c r="L98" s="82">
        <v>1222</v>
      </c>
      <c r="M98" s="82">
        <v>213</v>
      </c>
      <c r="N98" s="82">
        <v>114</v>
      </c>
      <c r="O98" s="82"/>
      <c r="P98" s="82"/>
      <c r="Q98" s="82"/>
      <c r="R98" s="82"/>
      <c r="S98" s="82"/>
      <c r="T98" s="82"/>
      <c r="U98" s="82"/>
      <c r="V98" s="82"/>
      <c r="W98" s="163" t="s">
        <v>299</v>
      </c>
      <c r="X98" s="163"/>
      <c r="Y98" s="163"/>
      <c r="Z98" s="337"/>
    </row>
    <row r="99" spans="2:26" ht="9.9499999999999993" customHeight="1" x14ac:dyDescent="0.15">
      <c r="B99" s="168">
        <v>34060</v>
      </c>
      <c r="C99" s="163" t="s">
        <v>325</v>
      </c>
      <c r="D99" s="163" t="s">
        <v>304</v>
      </c>
      <c r="E99" s="163" t="s">
        <v>305</v>
      </c>
      <c r="F99" s="82">
        <v>17482</v>
      </c>
      <c r="G99" s="82">
        <v>17482</v>
      </c>
      <c r="H99" s="82">
        <v>6381</v>
      </c>
      <c r="I99" s="82">
        <v>2361</v>
      </c>
      <c r="J99" s="82">
        <v>4020</v>
      </c>
      <c r="K99" s="82"/>
      <c r="L99" s="82">
        <v>1785</v>
      </c>
      <c r="M99" s="82">
        <v>375</v>
      </c>
      <c r="N99" s="82">
        <v>201</v>
      </c>
      <c r="O99" s="82"/>
      <c r="P99" s="82"/>
      <c r="Q99" s="82"/>
      <c r="R99" s="82"/>
      <c r="S99" s="82"/>
      <c r="T99" s="82"/>
      <c r="U99" s="82"/>
      <c r="V99" s="82"/>
      <c r="W99" s="163" t="s">
        <v>299</v>
      </c>
      <c r="X99" s="163"/>
      <c r="Y99" s="163"/>
      <c r="Z99" s="337"/>
    </row>
    <row r="100" spans="2:26" ht="9.9499999999999993" customHeight="1" x14ac:dyDescent="0.15">
      <c r="B100" s="168">
        <v>34060</v>
      </c>
      <c r="C100" s="163" t="s">
        <v>325</v>
      </c>
      <c r="D100" s="163" t="s">
        <v>306</v>
      </c>
      <c r="E100" s="163" t="s">
        <v>307</v>
      </c>
      <c r="F100" s="82">
        <v>8154</v>
      </c>
      <c r="G100" s="82">
        <v>8154</v>
      </c>
      <c r="H100" s="82">
        <v>2976</v>
      </c>
      <c r="I100" s="82">
        <v>1418</v>
      </c>
      <c r="J100" s="82">
        <v>1558</v>
      </c>
      <c r="K100" s="82"/>
      <c r="L100" s="82">
        <v>1094</v>
      </c>
      <c r="M100" s="82">
        <v>210</v>
      </c>
      <c r="N100" s="82">
        <v>114</v>
      </c>
      <c r="O100" s="82"/>
      <c r="P100" s="82"/>
      <c r="Q100" s="82"/>
      <c r="R100" s="82"/>
      <c r="S100" s="82"/>
      <c r="T100" s="82"/>
      <c r="U100" s="82"/>
      <c r="V100" s="82"/>
      <c r="W100" s="163" t="s">
        <v>299</v>
      </c>
      <c r="X100" s="163"/>
      <c r="Y100" s="163"/>
      <c r="Z100" s="337"/>
    </row>
    <row r="101" spans="2:26" ht="9.9499999999999993" customHeight="1" x14ac:dyDescent="0.15">
      <c r="B101" s="168">
        <v>34060</v>
      </c>
      <c r="C101" s="163" t="s">
        <v>325</v>
      </c>
      <c r="D101" s="163" t="s">
        <v>308</v>
      </c>
      <c r="E101" s="163" t="s">
        <v>309</v>
      </c>
      <c r="F101" s="82">
        <v>12179</v>
      </c>
      <c r="G101" s="82">
        <v>12179</v>
      </c>
      <c r="H101" s="82">
        <v>4445</v>
      </c>
      <c r="I101" s="82">
        <v>1445</v>
      </c>
      <c r="J101" s="82">
        <v>3000</v>
      </c>
      <c r="K101" s="82"/>
      <c r="L101" s="82">
        <v>909</v>
      </c>
      <c r="M101" s="82">
        <v>354</v>
      </c>
      <c r="N101" s="82">
        <v>182</v>
      </c>
      <c r="O101" s="82"/>
      <c r="P101" s="82"/>
      <c r="Q101" s="82"/>
      <c r="R101" s="82"/>
      <c r="S101" s="82"/>
      <c r="T101" s="82"/>
      <c r="U101" s="82"/>
      <c r="V101" s="82"/>
      <c r="W101" s="163" t="s">
        <v>299</v>
      </c>
      <c r="X101" s="163"/>
      <c r="Y101" s="163"/>
      <c r="Z101" s="337"/>
    </row>
    <row r="102" spans="2:26" ht="9.9499999999999993" customHeight="1" x14ac:dyDescent="0.15">
      <c r="B102" s="168">
        <v>34060</v>
      </c>
      <c r="C102" s="163" t="s">
        <v>325</v>
      </c>
      <c r="D102" s="163" t="s">
        <v>310</v>
      </c>
      <c r="E102" s="163" t="s">
        <v>311</v>
      </c>
      <c r="F102" s="82">
        <v>6687</v>
      </c>
      <c r="G102" s="82">
        <v>6687</v>
      </c>
      <c r="H102" s="82">
        <v>2441</v>
      </c>
      <c r="I102" s="82">
        <v>643</v>
      </c>
      <c r="J102" s="82">
        <v>1798</v>
      </c>
      <c r="K102" s="82"/>
      <c r="L102" s="82">
        <v>456</v>
      </c>
      <c r="M102" s="82">
        <v>123</v>
      </c>
      <c r="N102" s="82">
        <v>64</v>
      </c>
      <c r="O102" s="82"/>
      <c r="P102" s="82"/>
      <c r="Q102" s="82"/>
      <c r="R102" s="82"/>
      <c r="S102" s="82"/>
      <c r="T102" s="82"/>
      <c r="U102" s="82"/>
      <c r="V102" s="82"/>
      <c r="W102" s="163" t="s">
        <v>299</v>
      </c>
      <c r="X102" s="163"/>
      <c r="Y102" s="163"/>
      <c r="Z102" s="337"/>
    </row>
    <row r="103" spans="2:26" ht="9.9499999999999993" customHeight="1" x14ac:dyDescent="0.15">
      <c r="B103" s="168">
        <v>34060</v>
      </c>
      <c r="C103" s="163" t="s">
        <v>325</v>
      </c>
      <c r="D103" s="163" t="s">
        <v>312</v>
      </c>
      <c r="E103" s="163" t="s">
        <v>313</v>
      </c>
      <c r="F103" s="82">
        <v>9761</v>
      </c>
      <c r="G103" s="82">
        <v>9761</v>
      </c>
      <c r="H103" s="82">
        <v>3563</v>
      </c>
      <c r="I103" s="82">
        <v>1136</v>
      </c>
      <c r="J103" s="82">
        <v>2427</v>
      </c>
      <c r="K103" s="82"/>
      <c r="L103" s="82">
        <v>769</v>
      </c>
      <c r="M103" s="82">
        <v>247</v>
      </c>
      <c r="N103" s="82">
        <v>120</v>
      </c>
      <c r="O103" s="82"/>
      <c r="P103" s="82"/>
      <c r="Q103" s="82"/>
      <c r="R103" s="82"/>
      <c r="S103" s="82"/>
      <c r="T103" s="82"/>
      <c r="U103" s="82"/>
      <c r="V103" s="82"/>
      <c r="W103" s="163" t="s">
        <v>299</v>
      </c>
      <c r="X103" s="163"/>
      <c r="Y103" s="163"/>
      <c r="Z103" s="337"/>
    </row>
    <row r="104" spans="2:26" ht="9.9499999999999993" customHeight="1" x14ac:dyDescent="0.15">
      <c r="B104" s="168">
        <v>34060</v>
      </c>
      <c r="C104" s="163" t="s">
        <v>325</v>
      </c>
      <c r="D104" s="163" t="s">
        <v>314</v>
      </c>
      <c r="E104" s="163" t="s">
        <v>315</v>
      </c>
      <c r="F104" s="82">
        <v>4820</v>
      </c>
      <c r="G104" s="82">
        <v>4820</v>
      </c>
      <c r="H104" s="82">
        <v>1759</v>
      </c>
      <c r="I104" s="82">
        <v>747</v>
      </c>
      <c r="J104" s="82">
        <v>1012</v>
      </c>
      <c r="K104" s="82"/>
      <c r="L104" s="82">
        <v>526</v>
      </c>
      <c r="M104" s="82">
        <v>148</v>
      </c>
      <c r="N104" s="82">
        <v>73</v>
      </c>
      <c r="O104" s="82"/>
      <c r="P104" s="82"/>
      <c r="Q104" s="82"/>
      <c r="R104" s="82"/>
      <c r="S104" s="82"/>
      <c r="T104" s="82"/>
      <c r="U104" s="82"/>
      <c r="V104" s="82"/>
      <c r="W104" s="163" t="s">
        <v>299</v>
      </c>
      <c r="X104" s="163"/>
      <c r="Y104" s="163"/>
      <c r="Z104" s="337"/>
    </row>
    <row r="105" spans="2:26" ht="9.9499999999999993" customHeight="1" x14ac:dyDescent="0.15">
      <c r="B105" s="168">
        <v>34425</v>
      </c>
      <c r="C105" s="163" t="s">
        <v>326</v>
      </c>
      <c r="D105" s="163" t="s">
        <v>297</v>
      </c>
      <c r="E105" s="163" t="s">
        <v>298</v>
      </c>
      <c r="F105" s="82">
        <v>23170</v>
      </c>
      <c r="G105" s="82">
        <v>23170</v>
      </c>
      <c r="H105" s="82">
        <v>8457</v>
      </c>
      <c r="I105" s="82">
        <v>7163</v>
      </c>
      <c r="J105" s="82">
        <v>1294</v>
      </c>
      <c r="K105" s="82"/>
      <c r="L105" s="82">
        <v>5821</v>
      </c>
      <c r="M105" s="82">
        <v>908</v>
      </c>
      <c r="N105" s="82">
        <v>434</v>
      </c>
      <c r="O105" s="82"/>
      <c r="P105" s="82"/>
      <c r="Q105" s="82"/>
      <c r="R105" s="82"/>
      <c r="S105" s="82"/>
      <c r="T105" s="82"/>
      <c r="U105" s="82"/>
      <c r="V105" s="82"/>
      <c r="W105" s="163" t="s">
        <v>299</v>
      </c>
      <c r="X105" s="163"/>
      <c r="Y105" s="163"/>
      <c r="Z105" s="337"/>
    </row>
    <row r="106" spans="2:26" ht="9.9499999999999993" customHeight="1" x14ac:dyDescent="0.15">
      <c r="B106" s="168">
        <v>34425</v>
      </c>
      <c r="C106" s="163" t="s">
        <v>326</v>
      </c>
      <c r="D106" s="163" t="s">
        <v>300</v>
      </c>
      <c r="E106" s="163" t="s">
        <v>301</v>
      </c>
      <c r="F106" s="82">
        <v>6670</v>
      </c>
      <c r="G106" s="82">
        <v>6670</v>
      </c>
      <c r="H106" s="82">
        <v>2435</v>
      </c>
      <c r="I106" s="82">
        <v>1216</v>
      </c>
      <c r="J106" s="82">
        <v>1219</v>
      </c>
      <c r="K106" s="82"/>
      <c r="L106" s="82">
        <v>928</v>
      </c>
      <c r="M106" s="82">
        <v>189</v>
      </c>
      <c r="N106" s="82">
        <v>99</v>
      </c>
      <c r="O106" s="82"/>
      <c r="P106" s="82"/>
      <c r="Q106" s="82"/>
      <c r="R106" s="82"/>
      <c r="S106" s="82"/>
      <c r="T106" s="82"/>
      <c r="U106" s="82"/>
      <c r="V106" s="82"/>
      <c r="W106" s="163" t="s">
        <v>299</v>
      </c>
      <c r="X106" s="163"/>
      <c r="Y106" s="163"/>
      <c r="Z106" s="337"/>
    </row>
    <row r="107" spans="2:26" ht="9.9499999999999993" customHeight="1" x14ac:dyDescent="0.15">
      <c r="B107" s="168">
        <v>34425</v>
      </c>
      <c r="C107" s="163" t="s">
        <v>326</v>
      </c>
      <c r="D107" s="163" t="s">
        <v>302</v>
      </c>
      <c r="E107" s="163" t="s">
        <v>303</v>
      </c>
      <c r="F107" s="82">
        <v>9571</v>
      </c>
      <c r="G107" s="82">
        <v>9571</v>
      </c>
      <c r="H107" s="82">
        <v>3493</v>
      </c>
      <c r="I107" s="82">
        <v>1567</v>
      </c>
      <c r="J107" s="82">
        <v>1926</v>
      </c>
      <c r="K107" s="82"/>
      <c r="L107" s="82">
        <v>1208</v>
      </c>
      <c r="M107" s="82">
        <v>230</v>
      </c>
      <c r="N107" s="82">
        <v>129</v>
      </c>
      <c r="O107" s="82"/>
      <c r="P107" s="82"/>
      <c r="Q107" s="82"/>
      <c r="R107" s="82"/>
      <c r="S107" s="82"/>
      <c r="T107" s="82"/>
      <c r="U107" s="82"/>
      <c r="V107" s="82"/>
      <c r="W107" s="163" t="s">
        <v>299</v>
      </c>
      <c r="X107" s="163"/>
      <c r="Y107" s="163"/>
      <c r="Z107" s="337"/>
    </row>
    <row r="108" spans="2:26" ht="9.9499999999999993" customHeight="1" x14ac:dyDescent="0.15">
      <c r="B108" s="168">
        <v>34425</v>
      </c>
      <c r="C108" s="163" t="s">
        <v>326</v>
      </c>
      <c r="D108" s="163" t="s">
        <v>304</v>
      </c>
      <c r="E108" s="163" t="s">
        <v>305</v>
      </c>
      <c r="F108" s="82">
        <v>17466</v>
      </c>
      <c r="G108" s="82">
        <v>17466</v>
      </c>
      <c r="H108" s="82">
        <v>6375</v>
      </c>
      <c r="I108" s="82">
        <v>2522</v>
      </c>
      <c r="J108" s="82">
        <v>3853</v>
      </c>
      <c r="K108" s="82"/>
      <c r="L108" s="82">
        <v>1949</v>
      </c>
      <c r="M108" s="82">
        <v>367</v>
      </c>
      <c r="N108" s="82">
        <v>206</v>
      </c>
      <c r="O108" s="82"/>
      <c r="P108" s="82"/>
      <c r="Q108" s="82"/>
      <c r="R108" s="82"/>
      <c r="S108" s="82"/>
      <c r="T108" s="82"/>
      <c r="U108" s="82"/>
      <c r="V108" s="82"/>
      <c r="W108" s="163" t="s">
        <v>299</v>
      </c>
      <c r="X108" s="163"/>
      <c r="Y108" s="163"/>
      <c r="Z108" s="337"/>
    </row>
    <row r="109" spans="2:26" ht="9.9499999999999993" customHeight="1" x14ac:dyDescent="0.15">
      <c r="B109" s="168">
        <v>34425</v>
      </c>
      <c r="C109" s="163" t="s">
        <v>326</v>
      </c>
      <c r="D109" s="163" t="s">
        <v>306</v>
      </c>
      <c r="E109" s="163" t="s">
        <v>307</v>
      </c>
      <c r="F109" s="82">
        <v>8055</v>
      </c>
      <c r="G109" s="82">
        <v>8055</v>
      </c>
      <c r="H109" s="82">
        <v>2940</v>
      </c>
      <c r="I109" s="82">
        <v>1535</v>
      </c>
      <c r="J109" s="82">
        <v>1405</v>
      </c>
      <c r="K109" s="82"/>
      <c r="L109" s="82">
        <v>1126</v>
      </c>
      <c r="M109" s="82">
        <v>291</v>
      </c>
      <c r="N109" s="82">
        <v>118</v>
      </c>
      <c r="O109" s="82"/>
      <c r="P109" s="82"/>
      <c r="Q109" s="82"/>
      <c r="R109" s="82"/>
      <c r="S109" s="82"/>
      <c r="T109" s="82"/>
      <c r="U109" s="82"/>
      <c r="V109" s="82"/>
      <c r="W109" s="163" t="s">
        <v>299</v>
      </c>
      <c r="X109" s="163"/>
      <c r="Y109" s="163"/>
      <c r="Z109" s="337"/>
    </row>
    <row r="110" spans="2:26" ht="9.9499999999999993" customHeight="1" x14ac:dyDescent="0.15">
      <c r="B110" s="168">
        <v>34425</v>
      </c>
      <c r="C110" s="163" t="s">
        <v>326</v>
      </c>
      <c r="D110" s="163" t="s">
        <v>308</v>
      </c>
      <c r="E110" s="163" t="s">
        <v>309</v>
      </c>
      <c r="F110" s="82">
        <v>12127</v>
      </c>
      <c r="G110" s="82">
        <v>12127</v>
      </c>
      <c r="H110" s="82">
        <v>4426</v>
      </c>
      <c r="I110" s="82">
        <v>1403</v>
      </c>
      <c r="J110" s="82">
        <v>3023</v>
      </c>
      <c r="K110" s="82"/>
      <c r="L110" s="82">
        <v>910</v>
      </c>
      <c r="M110" s="82">
        <v>329</v>
      </c>
      <c r="N110" s="82">
        <v>164</v>
      </c>
      <c r="O110" s="82"/>
      <c r="P110" s="82"/>
      <c r="Q110" s="82"/>
      <c r="R110" s="82"/>
      <c r="S110" s="82"/>
      <c r="T110" s="82"/>
      <c r="U110" s="82"/>
      <c r="V110" s="82"/>
      <c r="W110" s="163" t="s">
        <v>299</v>
      </c>
      <c r="X110" s="163"/>
      <c r="Y110" s="163"/>
      <c r="Z110" s="337"/>
    </row>
    <row r="111" spans="2:26" ht="9.9499999999999993" customHeight="1" x14ac:dyDescent="0.15">
      <c r="B111" s="168">
        <v>34425</v>
      </c>
      <c r="C111" s="163" t="s">
        <v>326</v>
      </c>
      <c r="D111" s="163" t="s">
        <v>310</v>
      </c>
      <c r="E111" s="163" t="s">
        <v>311</v>
      </c>
      <c r="F111" s="82">
        <v>6620</v>
      </c>
      <c r="G111" s="82">
        <v>6620</v>
      </c>
      <c r="H111" s="82">
        <v>2416</v>
      </c>
      <c r="I111" s="82">
        <v>659</v>
      </c>
      <c r="J111" s="82">
        <v>1757</v>
      </c>
      <c r="K111" s="82"/>
      <c r="L111" s="82">
        <v>475</v>
      </c>
      <c r="M111" s="82">
        <v>122</v>
      </c>
      <c r="N111" s="82">
        <v>62</v>
      </c>
      <c r="O111" s="82"/>
      <c r="P111" s="82"/>
      <c r="Q111" s="82"/>
      <c r="R111" s="82"/>
      <c r="S111" s="82"/>
      <c r="T111" s="82"/>
      <c r="U111" s="82"/>
      <c r="V111" s="82"/>
      <c r="W111" s="163" t="s">
        <v>299</v>
      </c>
      <c r="X111" s="163"/>
      <c r="Y111" s="163"/>
      <c r="Z111" s="337"/>
    </row>
    <row r="112" spans="2:26" ht="9.9499999999999993" customHeight="1" x14ac:dyDescent="0.15">
      <c r="B112" s="168">
        <v>34425</v>
      </c>
      <c r="C112" s="163" t="s">
        <v>326</v>
      </c>
      <c r="D112" s="163" t="s">
        <v>312</v>
      </c>
      <c r="E112" s="163" t="s">
        <v>313</v>
      </c>
      <c r="F112" s="82">
        <v>9855</v>
      </c>
      <c r="G112" s="82">
        <v>9855</v>
      </c>
      <c r="H112" s="82">
        <v>3597</v>
      </c>
      <c r="I112" s="82">
        <v>1327</v>
      </c>
      <c r="J112" s="82">
        <v>2270</v>
      </c>
      <c r="K112" s="82"/>
      <c r="L112" s="82">
        <v>970</v>
      </c>
      <c r="M112" s="82">
        <v>236</v>
      </c>
      <c r="N112" s="82">
        <v>121</v>
      </c>
      <c r="O112" s="82"/>
      <c r="P112" s="82"/>
      <c r="Q112" s="82"/>
      <c r="R112" s="82"/>
      <c r="S112" s="82"/>
      <c r="T112" s="82"/>
      <c r="U112" s="82"/>
      <c r="V112" s="82"/>
      <c r="W112" s="163" t="s">
        <v>299</v>
      </c>
      <c r="X112" s="163"/>
      <c r="Y112" s="163"/>
      <c r="Z112" s="337"/>
    </row>
    <row r="113" spans="2:26" ht="9.9499999999999993" customHeight="1" x14ac:dyDescent="0.15">
      <c r="B113" s="168">
        <v>34425</v>
      </c>
      <c r="C113" s="163" t="s">
        <v>326</v>
      </c>
      <c r="D113" s="163" t="s">
        <v>314</v>
      </c>
      <c r="E113" s="163" t="s">
        <v>315</v>
      </c>
      <c r="F113" s="82">
        <v>4800</v>
      </c>
      <c r="G113" s="82">
        <v>4800</v>
      </c>
      <c r="H113" s="82">
        <v>1752</v>
      </c>
      <c r="I113" s="82">
        <v>778</v>
      </c>
      <c r="J113" s="82">
        <v>974</v>
      </c>
      <c r="K113" s="82"/>
      <c r="L113" s="82">
        <v>559</v>
      </c>
      <c r="M113" s="82">
        <v>141</v>
      </c>
      <c r="N113" s="82">
        <v>78</v>
      </c>
      <c r="O113" s="82"/>
      <c r="P113" s="82"/>
      <c r="Q113" s="82"/>
      <c r="R113" s="82"/>
      <c r="S113" s="82"/>
      <c r="T113" s="82"/>
      <c r="U113" s="82"/>
      <c r="V113" s="82"/>
      <c r="W113" s="163" t="s">
        <v>299</v>
      </c>
      <c r="X113" s="163"/>
      <c r="Y113" s="163"/>
      <c r="Z113" s="337"/>
    </row>
    <row r="114" spans="2:26" ht="9.9499999999999993" customHeight="1" x14ac:dyDescent="0.15">
      <c r="B114" s="168">
        <v>34790</v>
      </c>
      <c r="C114" s="163" t="s">
        <v>327</v>
      </c>
      <c r="D114" s="163" t="s">
        <v>297</v>
      </c>
      <c r="E114" s="163" t="s">
        <v>298</v>
      </c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163" t="s">
        <v>299</v>
      </c>
      <c r="X114" s="163"/>
      <c r="Y114" s="163"/>
      <c r="Z114" s="337"/>
    </row>
    <row r="115" spans="2:26" ht="9.9499999999999993" customHeight="1" x14ac:dyDescent="0.15">
      <c r="B115" s="168">
        <v>34790</v>
      </c>
      <c r="C115" s="163" t="s">
        <v>327</v>
      </c>
      <c r="D115" s="163" t="s">
        <v>300</v>
      </c>
      <c r="E115" s="163" t="s">
        <v>301</v>
      </c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163" t="s">
        <v>299</v>
      </c>
      <c r="X115" s="163"/>
      <c r="Y115" s="163"/>
      <c r="Z115" s="337"/>
    </row>
    <row r="116" spans="2:26" ht="9.9499999999999993" customHeight="1" x14ac:dyDescent="0.15">
      <c r="B116" s="168">
        <v>34790</v>
      </c>
      <c r="C116" s="163" t="s">
        <v>327</v>
      </c>
      <c r="D116" s="163" t="s">
        <v>302</v>
      </c>
      <c r="E116" s="163" t="s">
        <v>303</v>
      </c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163" t="s">
        <v>299</v>
      </c>
      <c r="X116" s="163"/>
      <c r="Y116" s="163"/>
      <c r="Z116" s="337"/>
    </row>
    <row r="117" spans="2:26" ht="9.9499999999999993" customHeight="1" x14ac:dyDescent="0.15">
      <c r="B117" s="168">
        <v>34790</v>
      </c>
      <c r="C117" s="163" t="s">
        <v>327</v>
      </c>
      <c r="D117" s="163" t="s">
        <v>304</v>
      </c>
      <c r="E117" s="163" t="s">
        <v>305</v>
      </c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163" t="s">
        <v>299</v>
      </c>
      <c r="X117" s="163"/>
      <c r="Y117" s="163"/>
      <c r="Z117" s="337"/>
    </row>
    <row r="118" spans="2:26" ht="9.9499999999999993" customHeight="1" x14ac:dyDescent="0.15">
      <c r="B118" s="168">
        <v>34790</v>
      </c>
      <c r="C118" s="163" t="s">
        <v>327</v>
      </c>
      <c r="D118" s="163" t="s">
        <v>306</v>
      </c>
      <c r="E118" s="163" t="s">
        <v>307</v>
      </c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163" t="s">
        <v>299</v>
      </c>
      <c r="X118" s="163"/>
      <c r="Y118" s="163"/>
      <c r="Z118" s="337"/>
    </row>
    <row r="119" spans="2:26" ht="9.9499999999999993" customHeight="1" x14ac:dyDescent="0.15">
      <c r="B119" s="168">
        <v>34790</v>
      </c>
      <c r="C119" s="163" t="s">
        <v>327</v>
      </c>
      <c r="D119" s="163" t="s">
        <v>308</v>
      </c>
      <c r="E119" s="163" t="s">
        <v>309</v>
      </c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163" t="s">
        <v>299</v>
      </c>
      <c r="X119" s="163"/>
      <c r="Y119" s="163"/>
      <c r="Z119" s="337"/>
    </row>
    <row r="120" spans="2:26" ht="9.9499999999999993" customHeight="1" x14ac:dyDescent="0.15">
      <c r="B120" s="168">
        <v>34790</v>
      </c>
      <c r="C120" s="163" t="s">
        <v>327</v>
      </c>
      <c r="D120" s="163" t="s">
        <v>310</v>
      </c>
      <c r="E120" s="163" t="s">
        <v>311</v>
      </c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163" t="s">
        <v>299</v>
      </c>
      <c r="X120" s="163"/>
      <c r="Y120" s="163"/>
      <c r="Z120" s="337"/>
    </row>
    <row r="121" spans="2:26" ht="9.9499999999999993" customHeight="1" x14ac:dyDescent="0.15">
      <c r="B121" s="168">
        <v>34790</v>
      </c>
      <c r="C121" s="163" t="s">
        <v>327</v>
      </c>
      <c r="D121" s="163" t="s">
        <v>312</v>
      </c>
      <c r="E121" s="163" t="s">
        <v>313</v>
      </c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163" t="s">
        <v>299</v>
      </c>
      <c r="X121" s="163"/>
      <c r="Y121" s="163"/>
      <c r="Z121" s="337"/>
    </row>
    <row r="122" spans="2:26" ht="9.9499999999999993" customHeight="1" x14ac:dyDescent="0.15">
      <c r="B122" s="168">
        <v>34790</v>
      </c>
      <c r="C122" s="163" t="s">
        <v>327</v>
      </c>
      <c r="D122" s="163" t="s">
        <v>314</v>
      </c>
      <c r="E122" s="163" t="s">
        <v>315</v>
      </c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163" t="s">
        <v>299</v>
      </c>
      <c r="X122" s="163"/>
      <c r="Y122" s="163"/>
      <c r="Z122" s="337"/>
    </row>
    <row r="123" spans="2:26" ht="9.9499999999999993" customHeight="1" x14ac:dyDescent="0.15">
      <c r="B123" s="168">
        <v>35156</v>
      </c>
      <c r="C123" s="163" t="s">
        <v>328</v>
      </c>
      <c r="D123" s="163" t="s">
        <v>297</v>
      </c>
      <c r="E123" s="163" t="s">
        <v>298</v>
      </c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163" t="s">
        <v>299</v>
      </c>
      <c r="X123" s="163"/>
      <c r="Y123" s="163"/>
      <c r="Z123" s="337"/>
    </row>
    <row r="124" spans="2:26" ht="9.9499999999999993" customHeight="1" x14ac:dyDescent="0.15">
      <c r="B124" s="168">
        <v>35156</v>
      </c>
      <c r="C124" s="163" t="s">
        <v>328</v>
      </c>
      <c r="D124" s="163" t="s">
        <v>300</v>
      </c>
      <c r="E124" s="163" t="s">
        <v>301</v>
      </c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163" t="s">
        <v>299</v>
      </c>
      <c r="X124" s="163"/>
      <c r="Y124" s="163"/>
      <c r="Z124" s="337"/>
    </row>
    <row r="125" spans="2:26" ht="9.9499999999999993" customHeight="1" x14ac:dyDescent="0.15">
      <c r="B125" s="168">
        <v>35156</v>
      </c>
      <c r="C125" s="163" t="s">
        <v>328</v>
      </c>
      <c r="D125" s="163" t="s">
        <v>302</v>
      </c>
      <c r="E125" s="163" t="s">
        <v>303</v>
      </c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163" t="s">
        <v>299</v>
      </c>
      <c r="X125" s="163"/>
      <c r="Y125" s="163"/>
      <c r="Z125" s="337"/>
    </row>
    <row r="126" spans="2:26" ht="9.9499999999999993" customHeight="1" x14ac:dyDescent="0.15">
      <c r="B126" s="168">
        <v>35156</v>
      </c>
      <c r="C126" s="163" t="s">
        <v>328</v>
      </c>
      <c r="D126" s="163" t="s">
        <v>304</v>
      </c>
      <c r="E126" s="163" t="s">
        <v>305</v>
      </c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163" t="s">
        <v>299</v>
      </c>
      <c r="X126" s="163"/>
      <c r="Y126" s="163"/>
      <c r="Z126" s="337"/>
    </row>
    <row r="127" spans="2:26" ht="9.9499999999999993" customHeight="1" x14ac:dyDescent="0.15">
      <c r="B127" s="168">
        <v>35156</v>
      </c>
      <c r="C127" s="163" t="s">
        <v>328</v>
      </c>
      <c r="D127" s="163" t="s">
        <v>306</v>
      </c>
      <c r="E127" s="163" t="s">
        <v>307</v>
      </c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163" t="s">
        <v>299</v>
      </c>
      <c r="X127" s="163"/>
      <c r="Y127" s="163"/>
      <c r="Z127" s="337"/>
    </row>
    <row r="128" spans="2:26" ht="9.9499999999999993" customHeight="1" x14ac:dyDescent="0.15">
      <c r="B128" s="168">
        <v>35156</v>
      </c>
      <c r="C128" s="163" t="s">
        <v>328</v>
      </c>
      <c r="D128" s="163" t="s">
        <v>308</v>
      </c>
      <c r="E128" s="163" t="s">
        <v>309</v>
      </c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163" t="s">
        <v>299</v>
      </c>
      <c r="X128" s="163"/>
      <c r="Y128" s="163"/>
      <c r="Z128" s="337"/>
    </row>
    <row r="129" spans="2:26" ht="9.9499999999999993" customHeight="1" x14ac:dyDescent="0.15">
      <c r="B129" s="168">
        <v>35156</v>
      </c>
      <c r="C129" s="163" t="s">
        <v>328</v>
      </c>
      <c r="D129" s="163" t="s">
        <v>310</v>
      </c>
      <c r="E129" s="163" t="s">
        <v>311</v>
      </c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163" t="s">
        <v>299</v>
      </c>
      <c r="X129" s="163"/>
      <c r="Y129" s="163"/>
      <c r="Z129" s="337"/>
    </row>
    <row r="130" spans="2:26" ht="9.9499999999999993" customHeight="1" x14ac:dyDescent="0.15">
      <c r="B130" s="168">
        <v>35156</v>
      </c>
      <c r="C130" s="163" t="s">
        <v>328</v>
      </c>
      <c r="D130" s="163" t="s">
        <v>312</v>
      </c>
      <c r="E130" s="163" t="s">
        <v>313</v>
      </c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163" t="s">
        <v>299</v>
      </c>
      <c r="X130" s="163"/>
      <c r="Y130" s="163"/>
      <c r="Z130" s="337"/>
    </row>
    <row r="131" spans="2:26" ht="9.9499999999999993" customHeight="1" x14ac:dyDescent="0.15">
      <c r="B131" s="168">
        <v>35156</v>
      </c>
      <c r="C131" s="163" t="s">
        <v>328</v>
      </c>
      <c r="D131" s="163" t="s">
        <v>314</v>
      </c>
      <c r="E131" s="163" t="s">
        <v>315</v>
      </c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163" t="s">
        <v>299</v>
      </c>
      <c r="X131" s="163"/>
      <c r="Y131" s="163"/>
      <c r="Z131" s="337"/>
    </row>
    <row r="132" spans="2:26" ht="9.9499999999999993" customHeight="1" x14ac:dyDescent="0.15">
      <c r="B132" s="168">
        <v>35521</v>
      </c>
      <c r="C132" s="163" t="s">
        <v>329</v>
      </c>
      <c r="D132" s="163" t="s">
        <v>297</v>
      </c>
      <c r="E132" s="163" t="s">
        <v>298</v>
      </c>
      <c r="F132" s="82">
        <v>23155</v>
      </c>
      <c r="G132" s="82">
        <v>23155</v>
      </c>
      <c r="H132" s="82">
        <v>7123</v>
      </c>
      <c r="I132" s="82">
        <v>7123</v>
      </c>
      <c r="J132" s="82"/>
      <c r="K132" s="82"/>
      <c r="L132" s="82">
        <v>5652</v>
      </c>
      <c r="M132" s="82">
        <v>576</v>
      </c>
      <c r="N132" s="82">
        <v>895</v>
      </c>
      <c r="O132" s="82"/>
      <c r="P132" s="82"/>
      <c r="Q132" s="82"/>
      <c r="R132" s="82"/>
      <c r="S132" s="82"/>
      <c r="T132" s="82"/>
      <c r="U132" s="82"/>
      <c r="V132" s="82"/>
      <c r="W132" s="163" t="s">
        <v>299</v>
      </c>
      <c r="X132" s="163"/>
      <c r="Y132" s="163"/>
      <c r="Z132" s="337"/>
    </row>
    <row r="133" spans="2:26" ht="9.9499999999999993" customHeight="1" x14ac:dyDescent="0.15">
      <c r="B133" s="168">
        <v>35521</v>
      </c>
      <c r="C133" s="163" t="s">
        <v>329</v>
      </c>
      <c r="D133" s="163" t="s">
        <v>300</v>
      </c>
      <c r="E133" s="163" t="s">
        <v>301</v>
      </c>
      <c r="F133" s="82">
        <v>6389</v>
      </c>
      <c r="G133" s="82">
        <v>6389</v>
      </c>
      <c r="H133" s="82">
        <v>1306</v>
      </c>
      <c r="I133" s="82">
        <v>1306</v>
      </c>
      <c r="J133" s="82"/>
      <c r="K133" s="82"/>
      <c r="L133" s="82">
        <v>955</v>
      </c>
      <c r="M133" s="82">
        <v>128</v>
      </c>
      <c r="N133" s="82">
        <v>223</v>
      </c>
      <c r="O133" s="82"/>
      <c r="P133" s="82"/>
      <c r="Q133" s="82"/>
      <c r="R133" s="82"/>
      <c r="S133" s="82"/>
      <c r="T133" s="82"/>
      <c r="U133" s="82"/>
      <c r="V133" s="82"/>
      <c r="W133" s="163" t="s">
        <v>299</v>
      </c>
      <c r="X133" s="163"/>
      <c r="Y133" s="163"/>
      <c r="Z133" s="337"/>
    </row>
    <row r="134" spans="2:26" ht="9.9499999999999993" customHeight="1" x14ac:dyDescent="0.15">
      <c r="B134" s="168">
        <v>35521</v>
      </c>
      <c r="C134" s="163" t="s">
        <v>329</v>
      </c>
      <c r="D134" s="163" t="s">
        <v>302</v>
      </c>
      <c r="E134" s="163" t="s">
        <v>303</v>
      </c>
      <c r="F134" s="82">
        <v>9224</v>
      </c>
      <c r="G134" s="82">
        <v>9224</v>
      </c>
      <c r="H134" s="82">
        <v>3367</v>
      </c>
      <c r="I134" s="82">
        <v>1539</v>
      </c>
      <c r="J134" s="82"/>
      <c r="K134" s="82"/>
      <c r="L134" s="82">
        <v>1123</v>
      </c>
      <c r="M134" s="82">
        <v>106</v>
      </c>
      <c r="N134" s="82">
        <v>310</v>
      </c>
      <c r="O134" s="82"/>
      <c r="P134" s="82"/>
      <c r="Q134" s="82"/>
      <c r="R134" s="82"/>
      <c r="S134" s="82"/>
      <c r="T134" s="82"/>
      <c r="U134" s="82"/>
      <c r="V134" s="82"/>
      <c r="W134" s="163" t="s">
        <v>299</v>
      </c>
      <c r="X134" s="163"/>
      <c r="Y134" s="163"/>
      <c r="Z134" s="337"/>
    </row>
    <row r="135" spans="2:26" ht="9.9499999999999993" customHeight="1" x14ac:dyDescent="0.15">
      <c r="B135" s="168">
        <v>35521</v>
      </c>
      <c r="C135" s="163" t="s">
        <v>329</v>
      </c>
      <c r="D135" s="163" t="s">
        <v>304</v>
      </c>
      <c r="E135" s="163" t="s">
        <v>305</v>
      </c>
      <c r="F135" s="82">
        <v>17440</v>
      </c>
      <c r="G135" s="82">
        <v>17440</v>
      </c>
      <c r="H135" s="82">
        <v>6366</v>
      </c>
      <c r="I135" s="82">
        <v>3093</v>
      </c>
      <c r="J135" s="82"/>
      <c r="K135" s="82"/>
      <c r="L135" s="82">
        <v>2247</v>
      </c>
      <c r="M135" s="82">
        <v>282</v>
      </c>
      <c r="N135" s="82">
        <v>564</v>
      </c>
      <c r="O135" s="82"/>
      <c r="P135" s="82"/>
      <c r="Q135" s="82"/>
      <c r="R135" s="82"/>
      <c r="S135" s="82"/>
      <c r="T135" s="82"/>
      <c r="U135" s="82"/>
      <c r="V135" s="82"/>
      <c r="W135" s="163" t="s">
        <v>299</v>
      </c>
      <c r="X135" s="163"/>
      <c r="Y135" s="163"/>
      <c r="Z135" s="337"/>
    </row>
    <row r="136" spans="2:26" ht="9.9499999999999993" customHeight="1" x14ac:dyDescent="0.15">
      <c r="B136" s="168">
        <v>35521</v>
      </c>
      <c r="C136" s="163" t="s">
        <v>329</v>
      </c>
      <c r="D136" s="163" t="s">
        <v>306</v>
      </c>
      <c r="E136" s="163" t="s">
        <v>307</v>
      </c>
      <c r="F136" s="82">
        <v>7840</v>
      </c>
      <c r="G136" s="82">
        <v>7840</v>
      </c>
      <c r="H136" s="82">
        <v>1446</v>
      </c>
      <c r="I136" s="82">
        <v>1446</v>
      </c>
      <c r="J136" s="82"/>
      <c r="K136" s="82"/>
      <c r="L136" s="82">
        <v>1030</v>
      </c>
      <c r="M136" s="82">
        <v>132</v>
      </c>
      <c r="N136" s="82">
        <v>284</v>
      </c>
      <c r="O136" s="82"/>
      <c r="P136" s="82"/>
      <c r="Q136" s="82"/>
      <c r="R136" s="82"/>
      <c r="S136" s="82"/>
      <c r="T136" s="82"/>
      <c r="U136" s="82"/>
      <c r="V136" s="82"/>
      <c r="W136" s="163" t="s">
        <v>299</v>
      </c>
      <c r="X136" s="163"/>
      <c r="Y136" s="163"/>
      <c r="Z136" s="337"/>
    </row>
    <row r="137" spans="2:26" ht="9.9499999999999993" customHeight="1" x14ac:dyDescent="0.15">
      <c r="B137" s="168">
        <v>35521</v>
      </c>
      <c r="C137" s="163" t="s">
        <v>329</v>
      </c>
      <c r="D137" s="163" t="s">
        <v>308</v>
      </c>
      <c r="E137" s="163" t="s">
        <v>309</v>
      </c>
      <c r="F137" s="82">
        <v>11801</v>
      </c>
      <c r="G137" s="82">
        <v>11801</v>
      </c>
      <c r="H137" s="82">
        <v>4307</v>
      </c>
      <c r="I137" s="82">
        <v>1346</v>
      </c>
      <c r="J137" s="82"/>
      <c r="K137" s="82"/>
      <c r="L137" s="82">
        <v>874</v>
      </c>
      <c r="M137" s="82">
        <v>139</v>
      </c>
      <c r="N137" s="82">
        <v>333</v>
      </c>
      <c r="O137" s="82"/>
      <c r="P137" s="82"/>
      <c r="Q137" s="82"/>
      <c r="R137" s="82"/>
      <c r="S137" s="82"/>
      <c r="T137" s="82"/>
      <c r="U137" s="82"/>
      <c r="V137" s="82"/>
      <c r="W137" s="163" t="s">
        <v>299</v>
      </c>
      <c r="X137" s="163"/>
      <c r="Y137" s="163"/>
      <c r="Z137" s="337"/>
    </row>
    <row r="138" spans="2:26" ht="9.9499999999999993" customHeight="1" x14ac:dyDescent="0.15">
      <c r="B138" s="168">
        <v>35521</v>
      </c>
      <c r="C138" s="163" t="s">
        <v>329</v>
      </c>
      <c r="D138" s="163" t="s">
        <v>310</v>
      </c>
      <c r="E138" s="163" t="s">
        <v>311</v>
      </c>
      <c r="F138" s="82">
        <v>6585</v>
      </c>
      <c r="G138" s="82">
        <v>6585</v>
      </c>
      <c r="H138" s="82">
        <v>755</v>
      </c>
      <c r="I138" s="82">
        <v>755</v>
      </c>
      <c r="J138" s="82"/>
      <c r="K138" s="82"/>
      <c r="L138" s="82">
        <v>517</v>
      </c>
      <c r="M138" s="82">
        <v>65</v>
      </c>
      <c r="N138" s="82">
        <v>173</v>
      </c>
      <c r="O138" s="82"/>
      <c r="P138" s="82"/>
      <c r="Q138" s="82"/>
      <c r="R138" s="82"/>
      <c r="S138" s="82"/>
      <c r="T138" s="82"/>
      <c r="U138" s="82"/>
      <c r="V138" s="82"/>
      <c r="W138" s="163" t="s">
        <v>299</v>
      </c>
      <c r="X138" s="163"/>
      <c r="Y138" s="163"/>
      <c r="Z138" s="337"/>
    </row>
    <row r="139" spans="2:26" ht="9.9499999999999993" customHeight="1" x14ac:dyDescent="0.15">
      <c r="B139" s="168">
        <v>35521</v>
      </c>
      <c r="C139" s="163" t="s">
        <v>329</v>
      </c>
      <c r="D139" s="163" t="s">
        <v>312</v>
      </c>
      <c r="E139" s="163" t="s">
        <v>313</v>
      </c>
      <c r="F139" s="82">
        <v>9782</v>
      </c>
      <c r="G139" s="82">
        <v>9782</v>
      </c>
      <c r="H139" s="82">
        <v>1707</v>
      </c>
      <c r="I139" s="82">
        <v>1707</v>
      </c>
      <c r="J139" s="82"/>
      <c r="K139" s="82"/>
      <c r="L139" s="82">
        <v>1244</v>
      </c>
      <c r="M139" s="82">
        <v>124</v>
      </c>
      <c r="N139" s="82">
        <v>339</v>
      </c>
      <c r="O139" s="82"/>
      <c r="P139" s="82"/>
      <c r="Q139" s="82"/>
      <c r="R139" s="82"/>
      <c r="S139" s="82"/>
      <c r="T139" s="82"/>
      <c r="U139" s="82"/>
      <c r="V139" s="82"/>
      <c r="W139" s="163" t="s">
        <v>299</v>
      </c>
      <c r="X139" s="163"/>
      <c r="Y139" s="163"/>
      <c r="Z139" s="337"/>
    </row>
    <row r="140" spans="2:26" ht="9.9499999999999993" customHeight="1" x14ac:dyDescent="0.15">
      <c r="B140" s="168">
        <v>35521</v>
      </c>
      <c r="C140" s="163" t="s">
        <v>329</v>
      </c>
      <c r="D140" s="163" t="s">
        <v>314</v>
      </c>
      <c r="E140" s="163" t="s">
        <v>315</v>
      </c>
      <c r="F140" s="82">
        <v>4638</v>
      </c>
      <c r="G140" s="82">
        <v>4638</v>
      </c>
      <c r="H140" s="82">
        <v>878</v>
      </c>
      <c r="I140" s="82">
        <v>763</v>
      </c>
      <c r="J140" s="82"/>
      <c r="K140" s="82"/>
      <c r="L140" s="82">
        <v>534</v>
      </c>
      <c r="M140" s="82">
        <v>54</v>
      </c>
      <c r="N140" s="82">
        <v>175</v>
      </c>
      <c r="O140" s="82"/>
      <c r="P140" s="82"/>
      <c r="Q140" s="82"/>
      <c r="R140" s="82"/>
      <c r="S140" s="82"/>
      <c r="T140" s="82"/>
      <c r="U140" s="82"/>
      <c r="V140" s="82"/>
      <c r="W140" s="163" t="s">
        <v>299</v>
      </c>
      <c r="X140" s="163"/>
      <c r="Y140" s="163"/>
      <c r="Z140" s="337"/>
    </row>
    <row r="141" spans="2:26" ht="9.9499999999999993" customHeight="1" x14ac:dyDescent="0.15">
      <c r="B141" s="168">
        <v>35886</v>
      </c>
      <c r="C141" s="163" t="s">
        <v>219</v>
      </c>
      <c r="D141" s="163" t="s">
        <v>297</v>
      </c>
      <c r="E141" s="163" t="s">
        <v>298</v>
      </c>
      <c r="F141" s="82">
        <v>23174</v>
      </c>
      <c r="G141" s="82">
        <v>23174</v>
      </c>
      <c r="H141" s="82">
        <v>7313</v>
      </c>
      <c r="I141" s="82">
        <v>7824</v>
      </c>
      <c r="J141" s="82">
        <v>0</v>
      </c>
      <c r="K141" s="82">
        <v>150</v>
      </c>
      <c r="L141" s="82">
        <v>5825</v>
      </c>
      <c r="M141" s="82">
        <v>191</v>
      </c>
      <c r="N141" s="82">
        <v>1808</v>
      </c>
      <c r="O141" s="82">
        <v>0</v>
      </c>
      <c r="P141" s="82">
        <v>7824</v>
      </c>
      <c r="Q141" s="177">
        <v>97.558793456032717</v>
      </c>
      <c r="R141" s="82">
        <v>1042</v>
      </c>
      <c r="S141" s="177">
        <v>14.948582894406822</v>
      </c>
      <c r="T141" s="82">
        <v>453</v>
      </c>
      <c r="U141" s="82">
        <v>510</v>
      </c>
      <c r="V141" s="82">
        <v>1154</v>
      </c>
      <c r="W141" s="163"/>
      <c r="X141" s="163"/>
      <c r="Y141" s="163"/>
      <c r="Z141" s="337"/>
    </row>
    <row r="142" spans="2:26" ht="9.9499999999999993" customHeight="1" x14ac:dyDescent="0.15">
      <c r="B142" s="168">
        <v>35886</v>
      </c>
      <c r="C142" s="163" t="s">
        <v>219</v>
      </c>
      <c r="D142" s="163" t="s">
        <v>300</v>
      </c>
      <c r="E142" s="163" t="s">
        <v>301</v>
      </c>
      <c r="F142" s="82">
        <v>6341</v>
      </c>
      <c r="G142" s="82">
        <v>6341</v>
      </c>
      <c r="H142" s="82">
        <v>1348</v>
      </c>
      <c r="I142" s="82">
        <v>1512</v>
      </c>
      <c r="J142" s="82">
        <v>0</v>
      </c>
      <c r="K142" s="82">
        <v>69</v>
      </c>
      <c r="L142" s="82">
        <v>1057</v>
      </c>
      <c r="M142" s="82">
        <v>50</v>
      </c>
      <c r="N142" s="82">
        <v>405</v>
      </c>
      <c r="O142" s="82">
        <v>0</v>
      </c>
      <c r="P142" s="82">
        <v>1512</v>
      </c>
      <c r="Q142" s="177">
        <v>96.693121693121697</v>
      </c>
      <c r="R142" s="82">
        <v>269</v>
      </c>
      <c r="S142" s="177">
        <v>21.37887413029728</v>
      </c>
      <c r="T142" s="82">
        <v>82</v>
      </c>
      <c r="U142" s="82">
        <v>94</v>
      </c>
      <c r="V142" s="82">
        <v>226</v>
      </c>
      <c r="W142" s="163"/>
      <c r="X142" s="163"/>
      <c r="Y142" s="163"/>
      <c r="Z142" s="337"/>
    </row>
    <row r="143" spans="2:26" ht="9.9499999999999993" customHeight="1" x14ac:dyDescent="0.15">
      <c r="B143" s="168">
        <v>35886</v>
      </c>
      <c r="C143" s="163" t="s">
        <v>219</v>
      </c>
      <c r="D143" s="163" t="s">
        <v>302</v>
      </c>
      <c r="E143" s="163" t="s">
        <v>303</v>
      </c>
      <c r="F143" s="82">
        <v>9138</v>
      </c>
      <c r="G143" s="82">
        <v>9138</v>
      </c>
      <c r="H143" s="82">
        <v>1601</v>
      </c>
      <c r="I143" s="82">
        <v>1716</v>
      </c>
      <c r="J143" s="82">
        <v>0</v>
      </c>
      <c r="K143" s="82">
        <v>0</v>
      </c>
      <c r="L143" s="82">
        <v>1161</v>
      </c>
      <c r="M143" s="82">
        <v>20</v>
      </c>
      <c r="N143" s="82">
        <v>535</v>
      </c>
      <c r="O143" s="82">
        <v>0</v>
      </c>
      <c r="P143" s="82">
        <v>1716</v>
      </c>
      <c r="Q143" s="177">
        <v>98.834498834498831</v>
      </c>
      <c r="R143" s="82">
        <v>360</v>
      </c>
      <c r="S143" s="177">
        <v>20.97902097902098</v>
      </c>
      <c r="T143" s="82">
        <v>91</v>
      </c>
      <c r="U143" s="82">
        <v>119</v>
      </c>
      <c r="V143" s="82">
        <v>230</v>
      </c>
      <c r="W143" s="163"/>
      <c r="X143" s="163"/>
      <c r="Y143" s="163"/>
      <c r="Z143" s="337"/>
    </row>
    <row r="144" spans="2:26" ht="9.9499999999999993" customHeight="1" x14ac:dyDescent="0.15">
      <c r="B144" s="168">
        <v>35886</v>
      </c>
      <c r="C144" s="163" t="s">
        <v>219</v>
      </c>
      <c r="D144" s="163" t="s">
        <v>304</v>
      </c>
      <c r="E144" s="163" t="s">
        <v>305</v>
      </c>
      <c r="F144" s="82">
        <v>17415</v>
      </c>
      <c r="G144" s="82">
        <v>17415</v>
      </c>
      <c r="H144" s="82">
        <v>3150</v>
      </c>
      <c r="I144" s="82">
        <v>3439</v>
      </c>
      <c r="J144" s="82">
        <v>0</v>
      </c>
      <c r="K144" s="82">
        <v>90</v>
      </c>
      <c r="L144" s="82">
        <v>2323</v>
      </c>
      <c r="M144" s="82">
        <v>83</v>
      </c>
      <c r="N144" s="82">
        <v>1033</v>
      </c>
      <c r="O144" s="82">
        <v>0</v>
      </c>
      <c r="P144" s="82">
        <v>3439</v>
      </c>
      <c r="Q144" s="177">
        <v>97.586507705728408</v>
      </c>
      <c r="R144" s="82">
        <v>654</v>
      </c>
      <c r="S144" s="177">
        <v>21.082459620289036</v>
      </c>
      <c r="T144" s="82">
        <v>183</v>
      </c>
      <c r="U144" s="82">
        <v>254</v>
      </c>
      <c r="V144" s="82">
        <v>520</v>
      </c>
      <c r="W144" s="163"/>
      <c r="X144" s="163"/>
      <c r="Y144" s="163"/>
      <c r="Z144" s="337"/>
    </row>
    <row r="145" spans="2:26" ht="9.9499999999999993" customHeight="1" x14ac:dyDescent="0.15">
      <c r="B145" s="168">
        <v>35886</v>
      </c>
      <c r="C145" s="163" t="s">
        <v>219</v>
      </c>
      <c r="D145" s="163" t="s">
        <v>306</v>
      </c>
      <c r="E145" s="163" t="s">
        <v>307</v>
      </c>
      <c r="F145" s="82">
        <v>7761</v>
      </c>
      <c r="G145" s="82">
        <v>7761</v>
      </c>
      <c r="H145" s="82">
        <v>1211</v>
      </c>
      <c r="I145" s="82">
        <v>1605</v>
      </c>
      <c r="J145" s="82">
        <v>0</v>
      </c>
      <c r="K145" s="82">
        <v>0</v>
      </c>
      <c r="L145" s="82">
        <v>1037</v>
      </c>
      <c r="M145" s="82">
        <v>29</v>
      </c>
      <c r="N145" s="82">
        <v>539</v>
      </c>
      <c r="O145" s="82">
        <v>0</v>
      </c>
      <c r="P145" s="82">
        <v>1605</v>
      </c>
      <c r="Q145" s="177">
        <v>98.19314641744549</v>
      </c>
      <c r="R145" s="82">
        <v>334</v>
      </c>
      <c r="S145" s="177">
        <v>20.809968847352025</v>
      </c>
      <c r="T145" s="82">
        <v>82</v>
      </c>
      <c r="U145" s="82">
        <v>135</v>
      </c>
      <c r="V145" s="82">
        <v>246</v>
      </c>
      <c r="W145" s="163"/>
      <c r="X145" s="163"/>
      <c r="Y145" s="163"/>
      <c r="Z145" s="337"/>
    </row>
    <row r="146" spans="2:26" ht="9.9499999999999993" customHeight="1" x14ac:dyDescent="0.15">
      <c r="B146" s="168">
        <v>35886</v>
      </c>
      <c r="C146" s="163" t="s">
        <v>219</v>
      </c>
      <c r="D146" s="163" t="s">
        <v>308</v>
      </c>
      <c r="E146" s="163" t="s">
        <v>309</v>
      </c>
      <c r="F146" s="82">
        <v>11759</v>
      </c>
      <c r="G146" s="82">
        <v>11759</v>
      </c>
      <c r="H146" s="82">
        <v>1261</v>
      </c>
      <c r="I146" s="82">
        <v>1537</v>
      </c>
      <c r="J146" s="82">
        <v>0</v>
      </c>
      <c r="K146" s="82">
        <v>144</v>
      </c>
      <c r="L146" s="82">
        <v>903</v>
      </c>
      <c r="M146" s="82">
        <v>60</v>
      </c>
      <c r="N146" s="82">
        <v>574</v>
      </c>
      <c r="O146" s="82">
        <v>0</v>
      </c>
      <c r="P146" s="82">
        <v>1537</v>
      </c>
      <c r="Q146" s="177">
        <v>96.096291476903062</v>
      </c>
      <c r="R146" s="82">
        <v>378</v>
      </c>
      <c r="S146" s="177">
        <v>31.052944675788218</v>
      </c>
      <c r="T146" s="82">
        <v>72</v>
      </c>
      <c r="U146" s="82">
        <v>131</v>
      </c>
      <c r="V146" s="82">
        <v>263</v>
      </c>
      <c r="W146" s="163"/>
      <c r="X146" s="163"/>
      <c r="Y146" s="163"/>
      <c r="Z146" s="337"/>
    </row>
    <row r="147" spans="2:26" ht="9.9499999999999993" customHeight="1" x14ac:dyDescent="0.15">
      <c r="B147" s="168">
        <v>35886</v>
      </c>
      <c r="C147" s="163" t="s">
        <v>219</v>
      </c>
      <c r="D147" s="163" t="s">
        <v>310</v>
      </c>
      <c r="E147" s="163" t="s">
        <v>311</v>
      </c>
      <c r="F147" s="82">
        <v>6519</v>
      </c>
      <c r="G147" s="82">
        <v>6519</v>
      </c>
      <c r="H147" s="82">
        <v>861</v>
      </c>
      <c r="I147" s="82">
        <v>899</v>
      </c>
      <c r="J147" s="82">
        <v>0</v>
      </c>
      <c r="K147" s="82">
        <v>21</v>
      </c>
      <c r="L147" s="82">
        <v>590</v>
      </c>
      <c r="M147" s="82">
        <v>30</v>
      </c>
      <c r="N147" s="82">
        <v>279</v>
      </c>
      <c r="O147" s="82">
        <v>0</v>
      </c>
      <c r="P147" s="82">
        <v>899</v>
      </c>
      <c r="Q147" s="177">
        <v>96.662958843159061</v>
      </c>
      <c r="R147" s="82">
        <v>200</v>
      </c>
      <c r="S147" s="177">
        <v>24.021739130434781</v>
      </c>
      <c r="T147" s="82">
        <v>46</v>
      </c>
      <c r="U147" s="82">
        <v>56</v>
      </c>
      <c r="V147" s="82">
        <v>132</v>
      </c>
      <c r="W147" s="163"/>
      <c r="X147" s="163"/>
      <c r="Y147" s="163"/>
      <c r="Z147" s="337"/>
    </row>
    <row r="148" spans="2:26" ht="9.9499999999999993" customHeight="1" x14ac:dyDescent="0.15">
      <c r="B148" s="168">
        <v>35886</v>
      </c>
      <c r="C148" s="163" t="s">
        <v>219</v>
      </c>
      <c r="D148" s="163" t="s">
        <v>312</v>
      </c>
      <c r="E148" s="163" t="s">
        <v>313</v>
      </c>
      <c r="F148" s="82">
        <v>9754</v>
      </c>
      <c r="G148" s="82">
        <v>9754</v>
      </c>
      <c r="H148" s="82">
        <v>1858</v>
      </c>
      <c r="I148" s="82">
        <v>2008</v>
      </c>
      <c r="J148" s="82">
        <v>0</v>
      </c>
      <c r="K148" s="82">
        <v>0</v>
      </c>
      <c r="L148" s="82">
        <v>1347</v>
      </c>
      <c r="M148" s="82">
        <v>84</v>
      </c>
      <c r="N148" s="82">
        <v>577</v>
      </c>
      <c r="O148" s="82">
        <v>0</v>
      </c>
      <c r="P148" s="82">
        <v>2008</v>
      </c>
      <c r="Q148" s="177">
        <v>95.816733067729089</v>
      </c>
      <c r="R148" s="82">
        <v>376</v>
      </c>
      <c r="S148" s="177">
        <v>18.725099601593627</v>
      </c>
      <c r="T148" s="82">
        <v>105</v>
      </c>
      <c r="U148" s="82">
        <v>136</v>
      </c>
      <c r="V148" s="82">
        <v>325</v>
      </c>
      <c r="W148" s="163"/>
      <c r="X148" s="163"/>
      <c r="Y148" s="163"/>
      <c r="Z148" s="337"/>
    </row>
    <row r="149" spans="2:26" ht="9.9499999999999993" customHeight="1" x14ac:dyDescent="0.15">
      <c r="B149" s="168">
        <v>35886</v>
      </c>
      <c r="C149" s="163" t="s">
        <v>219</v>
      </c>
      <c r="D149" s="163" t="s">
        <v>314</v>
      </c>
      <c r="E149" s="163" t="s">
        <v>315</v>
      </c>
      <c r="F149" s="82">
        <v>4600</v>
      </c>
      <c r="G149" s="82">
        <v>4600</v>
      </c>
      <c r="H149" s="82">
        <v>833</v>
      </c>
      <c r="I149" s="82">
        <v>898</v>
      </c>
      <c r="J149" s="82">
        <v>0</v>
      </c>
      <c r="K149" s="82">
        <v>0</v>
      </c>
      <c r="L149" s="82">
        <v>576</v>
      </c>
      <c r="M149" s="82">
        <v>15</v>
      </c>
      <c r="N149" s="82">
        <v>307</v>
      </c>
      <c r="O149" s="82">
        <v>0</v>
      </c>
      <c r="P149" s="82">
        <v>898</v>
      </c>
      <c r="Q149" s="177">
        <v>98.329621380846319</v>
      </c>
      <c r="R149" s="82">
        <v>218</v>
      </c>
      <c r="S149" s="177">
        <v>24.276169265033406</v>
      </c>
      <c r="T149" s="82">
        <v>45</v>
      </c>
      <c r="U149" s="82">
        <v>63</v>
      </c>
      <c r="V149" s="82">
        <v>123</v>
      </c>
      <c r="W149" s="163"/>
      <c r="X149" s="163"/>
      <c r="Y149" s="163"/>
      <c r="Z149" s="337"/>
    </row>
    <row r="150" spans="2:26" ht="9.9499999999999993" customHeight="1" x14ac:dyDescent="0.15">
      <c r="B150" s="168">
        <v>36251</v>
      </c>
      <c r="C150" s="163" t="s">
        <v>220</v>
      </c>
      <c r="D150" s="163" t="s">
        <v>297</v>
      </c>
      <c r="E150" s="163" t="s">
        <v>298</v>
      </c>
      <c r="F150" s="82">
        <v>23042</v>
      </c>
      <c r="G150" s="82">
        <v>23042</v>
      </c>
      <c r="H150" s="82">
        <v>7626</v>
      </c>
      <c r="I150" s="82">
        <v>8167</v>
      </c>
      <c r="J150" s="82">
        <v>0</v>
      </c>
      <c r="K150" s="82">
        <v>134</v>
      </c>
      <c r="L150" s="82">
        <v>6173</v>
      </c>
      <c r="M150" s="82">
        <v>146</v>
      </c>
      <c r="N150" s="82">
        <v>1848</v>
      </c>
      <c r="O150" s="82">
        <v>0</v>
      </c>
      <c r="P150" s="82">
        <v>8167</v>
      </c>
      <c r="Q150" s="177">
        <v>98.21231786457696</v>
      </c>
      <c r="R150" s="82">
        <v>1095</v>
      </c>
      <c r="S150" s="177">
        <v>14.805445127093122</v>
      </c>
      <c r="T150" s="82">
        <v>448</v>
      </c>
      <c r="U150" s="82">
        <v>542</v>
      </c>
      <c r="V150" s="82">
        <v>1136</v>
      </c>
      <c r="W150" s="163"/>
      <c r="X150" s="163"/>
      <c r="Y150" s="163"/>
      <c r="Z150" s="337"/>
    </row>
    <row r="151" spans="2:26" ht="9.9499999999999993" customHeight="1" x14ac:dyDescent="0.15">
      <c r="B151" s="168">
        <v>36251</v>
      </c>
      <c r="C151" s="163" t="s">
        <v>220</v>
      </c>
      <c r="D151" s="163" t="s">
        <v>300</v>
      </c>
      <c r="E151" s="163" t="s">
        <v>301</v>
      </c>
      <c r="F151" s="82">
        <v>6263</v>
      </c>
      <c r="G151" s="82">
        <v>6263</v>
      </c>
      <c r="H151" s="82">
        <v>1453</v>
      </c>
      <c r="I151" s="82">
        <v>1728</v>
      </c>
      <c r="J151" s="82">
        <v>0</v>
      </c>
      <c r="K151" s="82">
        <v>51</v>
      </c>
      <c r="L151" s="82">
        <v>1150</v>
      </c>
      <c r="M151" s="82">
        <v>72</v>
      </c>
      <c r="N151" s="82">
        <v>506</v>
      </c>
      <c r="O151" s="82">
        <v>0</v>
      </c>
      <c r="P151" s="82">
        <v>1728</v>
      </c>
      <c r="Q151" s="177">
        <v>95.833333333333343</v>
      </c>
      <c r="R151" s="82">
        <v>318</v>
      </c>
      <c r="S151" s="177">
        <v>20.741989881956155</v>
      </c>
      <c r="T151" s="82">
        <v>84</v>
      </c>
      <c r="U151" s="82">
        <v>134</v>
      </c>
      <c r="V151" s="82">
        <v>290</v>
      </c>
      <c r="W151" s="163"/>
      <c r="X151" s="163"/>
      <c r="Y151" s="163"/>
      <c r="Z151" s="337"/>
    </row>
    <row r="152" spans="2:26" ht="9.9499999999999993" customHeight="1" x14ac:dyDescent="0.15">
      <c r="B152" s="168">
        <v>36251</v>
      </c>
      <c r="C152" s="163" t="s">
        <v>220</v>
      </c>
      <c r="D152" s="163" t="s">
        <v>302</v>
      </c>
      <c r="E152" s="163" t="s">
        <v>303</v>
      </c>
      <c r="F152" s="82">
        <v>9011</v>
      </c>
      <c r="G152" s="82">
        <v>9011</v>
      </c>
      <c r="H152" s="82">
        <v>1618</v>
      </c>
      <c r="I152" s="82">
        <v>1744</v>
      </c>
      <c r="J152" s="82">
        <v>0</v>
      </c>
      <c r="K152" s="82">
        <v>0</v>
      </c>
      <c r="L152" s="82">
        <v>1168</v>
      </c>
      <c r="M152" s="82">
        <v>18</v>
      </c>
      <c r="N152" s="82">
        <v>558</v>
      </c>
      <c r="O152" s="82">
        <v>0</v>
      </c>
      <c r="P152" s="82">
        <v>1744</v>
      </c>
      <c r="Q152" s="177">
        <v>98.967889908256879</v>
      </c>
      <c r="R152" s="82">
        <v>370</v>
      </c>
      <c r="S152" s="177">
        <v>21.215596330275229</v>
      </c>
      <c r="T152" s="82">
        <v>85</v>
      </c>
      <c r="U152" s="82">
        <v>138</v>
      </c>
      <c r="V152" s="82">
        <v>241</v>
      </c>
      <c r="W152" s="163"/>
      <c r="X152" s="163"/>
      <c r="Y152" s="163"/>
      <c r="Z152" s="337"/>
    </row>
    <row r="153" spans="2:26" ht="9.9499999999999993" customHeight="1" x14ac:dyDescent="0.15">
      <c r="B153" s="168">
        <v>36251</v>
      </c>
      <c r="C153" s="163" t="s">
        <v>220</v>
      </c>
      <c r="D153" s="163" t="s">
        <v>304</v>
      </c>
      <c r="E153" s="163" t="s">
        <v>305</v>
      </c>
      <c r="F153" s="82">
        <v>17370</v>
      </c>
      <c r="G153" s="82">
        <v>17370</v>
      </c>
      <c r="H153" s="82">
        <v>3498</v>
      </c>
      <c r="I153" s="82">
        <v>4040</v>
      </c>
      <c r="J153" s="82">
        <v>0</v>
      </c>
      <c r="K153" s="82">
        <v>79</v>
      </c>
      <c r="L153" s="82">
        <v>2656</v>
      </c>
      <c r="M153" s="82">
        <v>197</v>
      </c>
      <c r="N153" s="82">
        <v>1187</v>
      </c>
      <c r="O153" s="82">
        <v>0</v>
      </c>
      <c r="P153" s="82">
        <v>4040</v>
      </c>
      <c r="Q153" s="177">
        <v>95.123762376237622</v>
      </c>
      <c r="R153" s="82">
        <v>719</v>
      </c>
      <c r="S153" s="177">
        <v>19.373634377276041</v>
      </c>
      <c r="T153" s="82">
        <v>197</v>
      </c>
      <c r="U153" s="82">
        <v>332</v>
      </c>
      <c r="V153" s="82">
        <v>726</v>
      </c>
      <c r="W153" s="163"/>
      <c r="X153" s="163"/>
      <c r="Y153" s="163"/>
      <c r="Z153" s="337"/>
    </row>
    <row r="154" spans="2:26" ht="9.9499999999999993" customHeight="1" x14ac:dyDescent="0.15">
      <c r="B154" s="168">
        <v>36251</v>
      </c>
      <c r="C154" s="163" t="s">
        <v>220</v>
      </c>
      <c r="D154" s="163" t="s">
        <v>306</v>
      </c>
      <c r="E154" s="163" t="s">
        <v>307</v>
      </c>
      <c r="F154" s="82">
        <v>7686</v>
      </c>
      <c r="G154" s="82">
        <v>7686</v>
      </c>
      <c r="H154" s="82">
        <v>1303</v>
      </c>
      <c r="I154" s="82">
        <v>1792</v>
      </c>
      <c r="J154" s="82">
        <v>0</v>
      </c>
      <c r="K154" s="82">
        <v>0</v>
      </c>
      <c r="L154" s="82">
        <v>1133</v>
      </c>
      <c r="M154" s="82">
        <v>46</v>
      </c>
      <c r="N154" s="82">
        <v>613</v>
      </c>
      <c r="O154" s="82">
        <v>0</v>
      </c>
      <c r="P154" s="82">
        <v>1792</v>
      </c>
      <c r="Q154" s="177">
        <v>97.433035714285708</v>
      </c>
      <c r="R154" s="82">
        <v>375</v>
      </c>
      <c r="S154" s="177">
        <v>20.926339285714285</v>
      </c>
      <c r="T154" s="82">
        <v>84</v>
      </c>
      <c r="U154" s="82">
        <v>168</v>
      </c>
      <c r="V154" s="82">
        <v>298</v>
      </c>
      <c r="W154" s="163"/>
      <c r="X154" s="163"/>
      <c r="Y154" s="163"/>
      <c r="Z154" s="337"/>
    </row>
    <row r="155" spans="2:26" ht="9.9499999999999993" customHeight="1" x14ac:dyDescent="0.15">
      <c r="B155" s="168">
        <v>36251</v>
      </c>
      <c r="C155" s="163" t="s">
        <v>220</v>
      </c>
      <c r="D155" s="163" t="s">
        <v>308</v>
      </c>
      <c r="E155" s="163" t="s">
        <v>309</v>
      </c>
      <c r="F155" s="82">
        <v>11688</v>
      </c>
      <c r="G155" s="82">
        <v>11688</v>
      </c>
      <c r="H155" s="82">
        <v>1375</v>
      </c>
      <c r="I155" s="82">
        <v>1699</v>
      </c>
      <c r="J155" s="82">
        <v>0</v>
      </c>
      <c r="K155" s="82">
        <v>330</v>
      </c>
      <c r="L155" s="82">
        <v>1017</v>
      </c>
      <c r="M155" s="82">
        <v>75</v>
      </c>
      <c r="N155" s="82">
        <v>607</v>
      </c>
      <c r="O155" s="82">
        <v>0</v>
      </c>
      <c r="P155" s="82">
        <v>1699</v>
      </c>
      <c r="Q155" s="177">
        <v>95.585638610947626</v>
      </c>
      <c r="R155" s="82">
        <v>394</v>
      </c>
      <c r="S155" s="177">
        <v>35.682602267126661</v>
      </c>
      <c r="T155" s="82">
        <v>76</v>
      </c>
      <c r="U155" s="82">
        <v>153</v>
      </c>
      <c r="V155" s="82">
        <v>304</v>
      </c>
      <c r="W155" s="163"/>
      <c r="X155" s="163"/>
      <c r="Y155" s="163"/>
      <c r="Z155" s="337"/>
    </row>
    <row r="156" spans="2:26" ht="9.9499999999999993" customHeight="1" x14ac:dyDescent="0.15">
      <c r="B156" s="168">
        <v>36251</v>
      </c>
      <c r="C156" s="163" t="s">
        <v>220</v>
      </c>
      <c r="D156" s="163" t="s">
        <v>310</v>
      </c>
      <c r="E156" s="163" t="s">
        <v>311</v>
      </c>
      <c r="F156" s="82">
        <v>6469</v>
      </c>
      <c r="G156" s="82">
        <v>6469</v>
      </c>
      <c r="H156" s="82">
        <v>946</v>
      </c>
      <c r="I156" s="82">
        <v>1010</v>
      </c>
      <c r="J156" s="82">
        <v>0</v>
      </c>
      <c r="K156" s="82">
        <v>0</v>
      </c>
      <c r="L156" s="82">
        <v>623</v>
      </c>
      <c r="M156" s="82">
        <v>37</v>
      </c>
      <c r="N156" s="82">
        <v>350</v>
      </c>
      <c r="O156" s="82">
        <v>0</v>
      </c>
      <c r="P156" s="82">
        <v>1010</v>
      </c>
      <c r="Q156" s="177">
        <v>96.336633663366328</v>
      </c>
      <c r="R156" s="82">
        <v>242</v>
      </c>
      <c r="S156" s="177">
        <v>23.96039603960396</v>
      </c>
      <c r="T156" s="82">
        <v>46</v>
      </c>
      <c r="U156" s="82">
        <v>81</v>
      </c>
      <c r="V156" s="82">
        <v>164</v>
      </c>
      <c r="W156" s="163"/>
      <c r="X156" s="163"/>
      <c r="Y156" s="163"/>
      <c r="Z156" s="337"/>
    </row>
    <row r="157" spans="2:26" ht="9.9499999999999993" customHeight="1" x14ac:dyDescent="0.15">
      <c r="B157" s="168">
        <v>36251</v>
      </c>
      <c r="C157" s="163" t="s">
        <v>220</v>
      </c>
      <c r="D157" s="163" t="s">
        <v>312</v>
      </c>
      <c r="E157" s="163" t="s">
        <v>313</v>
      </c>
      <c r="F157" s="82">
        <v>9696</v>
      </c>
      <c r="G157" s="82">
        <v>9696</v>
      </c>
      <c r="H157" s="82">
        <v>2020</v>
      </c>
      <c r="I157" s="82">
        <v>2134</v>
      </c>
      <c r="J157" s="82">
        <v>0</v>
      </c>
      <c r="K157" s="82">
        <v>0</v>
      </c>
      <c r="L157" s="82">
        <v>1460</v>
      </c>
      <c r="M157" s="82">
        <v>58</v>
      </c>
      <c r="N157" s="82">
        <v>616</v>
      </c>
      <c r="O157" s="82">
        <v>0</v>
      </c>
      <c r="P157" s="82">
        <v>2134</v>
      </c>
      <c r="Q157" s="177">
        <v>97.282099343955011</v>
      </c>
      <c r="R157" s="82">
        <v>406</v>
      </c>
      <c r="S157" s="177">
        <v>19.0253045923149</v>
      </c>
      <c r="T157" s="82">
        <v>106</v>
      </c>
      <c r="U157" s="82">
        <v>154</v>
      </c>
      <c r="V157" s="82">
        <v>318</v>
      </c>
      <c r="W157" s="163"/>
      <c r="X157" s="163"/>
      <c r="Y157" s="163"/>
      <c r="Z157" s="337"/>
    </row>
    <row r="158" spans="2:26" ht="9.9499999999999993" customHeight="1" x14ac:dyDescent="0.15">
      <c r="B158" s="168">
        <v>36251</v>
      </c>
      <c r="C158" s="163" t="s">
        <v>220</v>
      </c>
      <c r="D158" s="163" t="s">
        <v>314</v>
      </c>
      <c r="E158" s="163" t="s">
        <v>315</v>
      </c>
      <c r="F158" s="82">
        <v>4576</v>
      </c>
      <c r="G158" s="82">
        <v>4576</v>
      </c>
      <c r="H158" s="82">
        <v>849</v>
      </c>
      <c r="I158" s="82">
        <v>988</v>
      </c>
      <c r="J158" s="82">
        <v>0</v>
      </c>
      <c r="K158" s="82">
        <v>0</v>
      </c>
      <c r="L158" s="82">
        <v>586</v>
      </c>
      <c r="M158" s="82">
        <v>16</v>
      </c>
      <c r="N158" s="82">
        <v>386</v>
      </c>
      <c r="O158" s="82">
        <v>0</v>
      </c>
      <c r="P158" s="82">
        <v>988</v>
      </c>
      <c r="Q158" s="177">
        <v>98.380566801619423</v>
      </c>
      <c r="R158" s="82">
        <v>256</v>
      </c>
      <c r="S158" s="177">
        <v>25.910931174089068</v>
      </c>
      <c r="T158" s="82">
        <v>43</v>
      </c>
      <c r="U158" s="82">
        <v>94</v>
      </c>
      <c r="V158" s="82">
        <v>153</v>
      </c>
      <c r="W158" s="163"/>
      <c r="X158" s="163"/>
      <c r="Y158" s="163"/>
      <c r="Z158" s="337"/>
    </row>
    <row r="159" spans="2:26" ht="9.9499999999999993" customHeight="1" x14ac:dyDescent="0.15">
      <c r="B159" s="168">
        <v>36617</v>
      </c>
      <c r="C159" s="163" t="s">
        <v>221</v>
      </c>
      <c r="D159" s="163" t="s">
        <v>297</v>
      </c>
      <c r="E159" s="163" t="s">
        <v>298</v>
      </c>
      <c r="F159" s="82">
        <v>23042</v>
      </c>
      <c r="G159" s="82">
        <v>23042</v>
      </c>
      <c r="H159" s="82">
        <v>7589</v>
      </c>
      <c r="I159" s="82">
        <v>8361</v>
      </c>
      <c r="J159" s="82">
        <v>0</v>
      </c>
      <c r="K159" s="82">
        <v>147</v>
      </c>
      <c r="L159" s="82">
        <v>6155</v>
      </c>
      <c r="M159" s="82">
        <v>145</v>
      </c>
      <c r="N159" s="82">
        <v>2061</v>
      </c>
      <c r="O159" s="82">
        <v>0</v>
      </c>
      <c r="P159" s="82">
        <v>8361</v>
      </c>
      <c r="Q159" s="177">
        <v>98.265757684487497</v>
      </c>
      <c r="R159" s="82">
        <v>1219</v>
      </c>
      <c r="S159" s="177">
        <v>16.05547719793136</v>
      </c>
      <c r="T159" s="82">
        <v>145</v>
      </c>
      <c r="U159" s="82">
        <v>411</v>
      </c>
      <c r="V159" s="82">
        <v>701</v>
      </c>
      <c r="W159" s="163"/>
      <c r="X159" s="163"/>
      <c r="Y159" s="163"/>
      <c r="Z159" s="337"/>
    </row>
    <row r="160" spans="2:26" ht="9.9499999999999993" customHeight="1" x14ac:dyDescent="0.15">
      <c r="B160" s="168">
        <v>36617</v>
      </c>
      <c r="C160" s="163" t="s">
        <v>221</v>
      </c>
      <c r="D160" s="163" t="s">
        <v>300</v>
      </c>
      <c r="E160" s="163" t="s">
        <v>301</v>
      </c>
      <c r="F160" s="82">
        <v>6196</v>
      </c>
      <c r="G160" s="82">
        <v>6196</v>
      </c>
      <c r="H160" s="82">
        <v>1424</v>
      </c>
      <c r="I160" s="82">
        <v>1701</v>
      </c>
      <c r="J160" s="82">
        <v>0</v>
      </c>
      <c r="K160" s="82">
        <v>46</v>
      </c>
      <c r="L160" s="82">
        <v>1153</v>
      </c>
      <c r="M160" s="82">
        <v>24</v>
      </c>
      <c r="N160" s="82">
        <v>524</v>
      </c>
      <c r="O160" s="82">
        <v>0</v>
      </c>
      <c r="P160" s="82">
        <v>1701</v>
      </c>
      <c r="Q160" s="177">
        <v>98.589065255731924</v>
      </c>
      <c r="R160" s="82">
        <v>328</v>
      </c>
      <c r="S160" s="177">
        <v>21.408128219805381</v>
      </c>
      <c r="T160" s="82">
        <v>24</v>
      </c>
      <c r="U160" s="82">
        <v>78</v>
      </c>
      <c r="V160" s="82">
        <v>126</v>
      </c>
      <c r="W160" s="163"/>
      <c r="X160" s="163"/>
      <c r="Y160" s="163"/>
      <c r="Z160" s="337"/>
    </row>
    <row r="161" spans="2:26" ht="9.9499999999999993" customHeight="1" x14ac:dyDescent="0.15">
      <c r="B161" s="168">
        <v>36617</v>
      </c>
      <c r="C161" s="163" t="s">
        <v>221</v>
      </c>
      <c r="D161" s="163" t="s">
        <v>302</v>
      </c>
      <c r="E161" s="163" t="s">
        <v>303</v>
      </c>
      <c r="F161" s="82">
        <v>8917</v>
      </c>
      <c r="G161" s="82">
        <v>8917</v>
      </c>
      <c r="H161" s="82">
        <v>1646</v>
      </c>
      <c r="I161" s="82">
        <v>1830</v>
      </c>
      <c r="J161" s="82">
        <v>0</v>
      </c>
      <c r="K161" s="82">
        <v>0</v>
      </c>
      <c r="L161" s="82">
        <v>1169</v>
      </c>
      <c r="M161" s="82">
        <v>28</v>
      </c>
      <c r="N161" s="82">
        <v>633</v>
      </c>
      <c r="O161" s="82">
        <v>0</v>
      </c>
      <c r="P161" s="82">
        <v>1830</v>
      </c>
      <c r="Q161" s="177">
        <v>98.469945355191257</v>
      </c>
      <c r="R161" s="82">
        <v>406</v>
      </c>
      <c r="S161" s="177">
        <v>22.185792349726778</v>
      </c>
      <c r="T161" s="82">
        <v>28</v>
      </c>
      <c r="U161" s="82">
        <v>80</v>
      </c>
      <c r="V161" s="82">
        <v>136</v>
      </c>
      <c r="W161" s="163"/>
      <c r="X161" s="163"/>
      <c r="Y161" s="163"/>
      <c r="Z161" s="337"/>
    </row>
    <row r="162" spans="2:26" ht="9.9499999999999993" customHeight="1" x14ac:dyDescent="0.15">
      <c r="B162" s="168">
        <v>36617</v>
      </c>
      <c r="C162" s="163" t="s">
        <v>221</v>
      </c>
      <c r="D162" s="163" t="s">
        <v>304</v>
      </c>
      <c r="E162" s="163" t="s">
        <v>305</v>
      </c>
      <c r="F162" s="82">
        <v>17336</v>
      </c>
      <c r="G162" s="82">
        <v>17336</v>
      </c>
      <c r="H162" s="82">
        <v>3540</v>
      </c>
      <c r="I162" s="82">
        <v>4128</v>
      </c>
      <c r="J162" s="82">
        <v>0</v>
      </c>
      <c r="K162" s="82">
        <v>71</v>
      </c>
      <c r="L162" s="82">
        <v>2806</v>
      </c>
      <c r="M162" s="82">
        <v>87</v>
      </c>
      <c r="N162" s="82">
        <v>1235</v>
      </c>
      <c r="O162" s="82">
        <v>0</v>
      </c>
      <c r="P162" s="82">
        <v>4128</v>
      </c>
      <c r="Q162" s="177">
        <v>97.892441860465112</v>
      </c>
      <c r="R162" s="82">
        <v>739</v>
      </c>
      <c r="S162" s="177">
        <v>19.290307216003811</v>
      </c>
      <c r="T162" s="82">
        <v>87</v>
      </c>
      <c r="U162" s="82">
        <v>190</v>
      </c>
      <c r="V162" s="82">
        <v>364</v>
      </c>
      <c r="W162" s="163"/>
      <c r="X162" s="163"/>
      <c r="Y162" s="163"/>
      <c r="Z162" s="337"/>
    </row>
    <row r="163" spans="2:26" ht="9.9499999999999993" customHeight="1" x14ac:dyDescent="0.15">
      <c r="B163" s="168">
        <v>36617</v>
      </c>
      <c r="C163" s="163" t="s">
        <v>221</v>
      </c>
      <c r="D163" s="163" t="s">
        <v>306</v>
      </c>
      <c r="E163" s="163" t="s">
        <v>307</v>
      </c>
      <c r="F163" s="82">
        <v>7642</v>
      </c>
      <c r="G163" s="82">
        <v>7642</v>
      </c>
      <c r="H163" s="82">
        <v>1233</v>
      </c>
      <c r="I163" s="82">
        <v>1805</v>
      </c>
      <c r="J163" s="82">
        <v>0</v>
      </c>
      <c r="K163" s="82">
        <v>0</v>
      </c>
      <c r="L163" s="82">
        <v>1132</v>
      </c>
      <c r="M163" s="82">
        <v>29</v>
      </c>
      <c r="N163" s="82">
        <v>644</v>
      </c>
      <c r="O163" s="82">
        <v>0</v>
      </c>
      <c r="P163" s="82">
        <v>1805</v>
      </c>
      <c r="Q163" s="177">
        <v>98.393351800554015</v>
      </c>
      <c r="R163" s="82">
        <v>377</v>
      </c>
      <c r="S163" s="177">
        <v>20.886426592797783</v>
      </c>
      <c r="T163" s="82">
        <v>29</v>
      </c>
      <c r="U163" s="82">
        <v>79</v>
      </c>
      <c r="V163" s="82">
        <v>137</v>
      </c>
      <c r="W163" s="163"/>
      <c r="X163" s="163"/>
      <c r="Y163" s="163"/>
      <c r="Z163" s="337"/>
    </row>
    <row r="164" spans="2:26" ht="9.9499999999999993" customHeight="1" x14ac:dyDescent="0.15">
      <c r="B164" s="168">
        <v>36617</v>
      </c>
      <c r="C164" s="163" t="s">
        <v>221</v>
      </c>
      <c r="D164" s="163" t="s">
        <v>308</v>
      </c>
      <c r="E164" s="163" t="s">
        <v>309</v>
      </c>
      <c r="F164" s="82">
        <v>11516</v>
      </c>
      <c r="G164" s="82">
        <v>11516</v>
      </c>
      <c r="H164" s="82">
        <v>1433</v>
      </c>
      <c r="I164" s="82">
        <v>1922</v>
      </c>
      <c r="J164" s="82">
        <v>0</v>
      </c>
      <c r="K164" s="82">
        <v>104</v>
      </c>
      <c r="L164" s="82">
        <v>1088</v>
      </c>
      <c r="M164" s="82">
        <v>59</v>
      </c>
      <c r="N164" s="82">
        <v>775</v>
      </c>
      <c r="O164" s="82">
        <v>0</v>
      </c>
      <c r="P164" s="82">
        <v>1922</v>
      </c>
      <c r="Q164" s="177">
        <v>96.930280957336109</v>
      </c>
      <c r="R164" s="82">
        <v>472</v>
      </c>
      <c r="S164" s="177">
        <v>28.430404738400789</v>
      </c>
      <c r="T164" s="82">
        <v>59</v>
      </c>
      <c r="U164" s="82">
        <v>77</v>
      </c>
      <c r="V164" s="82">
        <v>195</v>
      </c>
      <c r="W164" s="163"/>
      <c r="X164" s="163"/>
      <c r="Y164" s="163"/>
      <c r="Z164" s="337"/>
    </row>
    <row r="165" spans="2:26" ht="9.9499999999999993" customHeight="1" x14ac:dyDescent="0.15">
      <c r="B165" s="168">
        <v>36617</v>
      </c>
      <c r="C165" s="163" t="s">
        <v>221</v>
      </c>
      <c r="D165" s="163" t="s">
        <v>310</v>
      </c>
      <c r="E165" s="163" t="s">
        <v>311</v>
      </c>
      <c r="F165" s="82">
        <v>6453</v>
      </c>
      <c r="G165" s="82">
        <v>6453</v>
      </c>
      <c r="H165" s="82">
        <v>940</v>
      </c>
      <c r="I165" s="82">
        <v>1020</v>
      </c>
      <c r="J165" s="82">
        <v>0</v>
      </c>
      <c r="K165" s="82">
        <v>0</v>
      </c>
      <c r="L165" s="82">
        <v>620</v>
      </c>
      <c r="M165" s="82">
        <v>31</v>
      </c>
      <c r="N165" s="82">
        <v>369</v>
      </c>
      <c r="O165" s="82">
        <v>0</v>
      </c>
      <c r="P165" s="82">
        <v>1020</v>
      </c>
      <c r="Q165" s="177">
        <v>96.960784313725483</v>
      </c>
      <c r="R165" s="82">
        <v>259</v>
      </c>
      <c r="S165" s="177">
        <v>25.392156862745097</v>
      </c>
      <c r="T165" s="82">
        <v>31</v>
      </c>
      <c r="U165" s="82">
        <v>42</v>
      </c>
      <c r="V165" s="82">
        <v>104</v>
      </c>
      <c r="W165" s="163"/>
      <c r="X165" s="163"/>
      <c r="Y165" s="163"/>
      <c r="Z165" s="337"/>
    </row>
    <row r="166" spans="2:26" ht="9.9499999999999993" customHeight="1" x14ac:dyDescent="0.15">
      <c r="B166" s="168">
        <v>36617</v>
      </c>
      <c r="C166" s="163" t="s">
        <v>221</v>
      </c>
      <c r="D166" s="163" t="s">
        <v>312</v>
      </c>
      <c r="E166" s="163" t="s">
        <v>313</v>
      </c>
      <c r="F166" s="82">
        <v>9653</v>
      </c>
      <c r="G166" s="82">
        <v>9653</v>
      </c>
      <c r="H166" s="82">
        <v>2004</v>
      </c>
      <c r="I166" s="82">
        <v>2201</v>
      </c>
      <c r="J166" s="82">
        <v>0</v>
      </c>
      <c r="K166" s="82">
        <v>0</v>
      </c>
      <c r="L166" s="82">
        <v>1440</v>
      </c>
      <c r="M166" s="82">
        <v>68</v>
      </c>
      <c r="N166" s="82">
        <v>693</v>
      </c>
      <c r="O166" s="82">
        <v>0</v>
      </c>
      <c r="P166" s="82">
        <v>2201</v>
      </c>
      <c r="Q166" s="177">
        <v>96.910495229441167</v>
      </c>
      <c r="R166" s="82">
        <v>443</v>
      </c>
      <c r="S166" s="177">
        <v>20.127214902317128</v>
      </c>
      <c r="T166" s="82">
        <v>68</v>
      </c>
      <c r="U166" s="82">
        <v>98</v>
      </c>
      <c r="V166" s="82">
        <v>234</v>
      </c>
      <c r="W166" s="163"/>
      <c r="X166" s="163"/>
      <c r="Y166" s="163"/>
      <c r="Z166" s="337"/>
    </row>
    <row r="167" spans="2:26" ht="9.9499999999999993" customHeight="1" x14ac:dyDescent="0.15">
      <c r="B167" s="168">
        <v>36617</v>
      </c>
      <c r="C167" s="163" t="s">
        <v>221</v>
      </c>
      <c r="D167" s="163" t="s">
        <v>314</v>
      </c>
      <c r="E167" s="163" t="s">
        <v>315</v>
      </c>
      <c r="F167" s="82">
        <v>4499</v>
      </c>
      <c r="G167" s="82">
        <v>4499</v>
      </c>
      <c r="H167" s="82">
        <v>800</v>
      </c>
      <c r="I167" s="82">
        <v>959</v>
      </c>
      <c r="J167" s="82">
        <v>0</v>
      </c>
      <c r="K167" s="82">
        <v>0</v>
      </c>
      <c r="L167" s="82">
        <v>545</v>
      </c>
      <c r="M167" s="82">
        <v>12</v>
      </c>
      <c r="N167" s="82">
        <v>402</v>
      </c>
      <c r="O167" s="82">
        <v>0</v>
      </c>
      <c r="P167" s="82">
        <v>959</v>
      </c>
      <c r="Q167" s="177">
        <v>98.74869655891554</v>
      </c>
      <c r="R167" s="82">
        <v>263</v>
      </c>
      <c r="S167" s="177">
        <v>27.424400417101147</v>
      </c>
      <c r="T167" s="82">
        <v>12</v>
      </c>
      <c r="U167" s="82">
        <v>38</v>
      </c>
      <c r="V167" s="82">
        <v>62</v>
      </c>
      <c r="W167" s="163"/>
      <c r="X167" s="163"/>
      <c r="Y167" s="163"/>
      <c r="Z167" s="337"/>
    </row>
    <row r="168" spans="2:26" ht="9.9499999999999993" customHeight="1" x14ac:dyDescent="0.15">
      <c r="B168" s="168">
        <v>36982</v>
      </c>
      <c r="C168" s="163" t="s">
        <v>222</v>
      </c>
      <c r="D168" s="163" t="s">
        <v>297</v>
      </c>
      <c r="E168" s="163" t="s">
        <v>298</v>
      </c>
      <c r="F168" s="82">
        <v>22970</v>
      </c>
      <c r="G168" s="82">
        <v>22970</v>
      </c>
      <c r="H168" s="82">
        <v>7565</v>
      </c>
      <c r="I168" s="82">
        <v>8372</v>
      </c>
      <c r="J168" s="82">
        <v>0</v>
      </c>
      <c r="K168" s="82">
        <v>129</v>
      </c>
      <c r="L168" s="82">
        <v>6250</v>
      </c>
      <c r="M168" s="82">
        <v>279</v>
      </c>
      <c r="N168" s="82">
        <v>1843</v>
      </c>
      <c r="O168" s="82">
        <v>0</v>
      </c>
      <c r="P168" s="82">
        <v>8372</v>
      </c>
      <c r="Q168" s="177">
        <v>96.667462971810806</v>
      </c>
      <c r="R168" s="82">
        <v>1149</v>
      </c>
      <c r="S168" s="177">
        <v>15.03352546759205</v>
      </c>
      <c r="T168" s="82">
        <v>401</v>
      </c>
      <c r="U168" s="82">
        <v>437</v>
      </c>
      <c r="V168" s="82">
        <v>1117</v>
      </c>
      <c r="W168" s="163"/>
      <c r="X168" s="163"/>
      <c r="Y168" s="163"/>
      <c r="Z168" s="337"/>
    </row>
    <row r="169" spans="2:26" ht="9.9499999999999993" customHeight="1" x14ac:dyDescent="0.15">
      <c r="B169" s="168">
        <v>36982</v>
      </c>
      <c r="C169" s="163" t="s">
        <v>222</v>
      </c>
      <c r="D169" s="163" t="s">
        <v>300</v>
      </c>
      <c r="E169" s="163" t="s">
        <v>301</v>
      </c>
      <c r="F169" s="82">
        <v>6121</v>
      </c>
      <c r="G169" s="82">
        <v>6121</v>
      </c>
      <c r="H169" s="82">
        <v>1421</v>
      </c>
      <c r="I169" s="82">
        <v>1646</v>
      </c>
      <c r="J169" s="82">
        <v>0</v>
      </c>
      <c r="K169" s="82">
        <v>38</v>
      </c>
      <c r="L169" s="82">
        <v>1152</v>
      </c>
      <c r="M169" s="82">
        <v>21</v>
      </c>
      <c r="N169" s="82">
        <v>473</v>
      </c>
      <c r="O169" s="82">
        <v>0</v>
      </c>
      <c r="P169" s="82">
        <v>1646</v>
      </c>
      <c r="Q169" s="177">
        <v>98.724179829890645</v>
      </c>
      <c r="R169" s="82">
        <v>319</v>
      </c>
      <c r="S169" s="177">
        <v>21.199524940617579</v>
      </c>
      <c r="T169" s="82">
        <v>74</v>
      </c>
      <c r="U169" s="82">
        <v>98</v>
      </c>
      <c r="V169" s="82">
        <v>193</v>
      </c>
      <c r="W169" s="163"/>
      <c r="X169" s="163"/>
      <c r="Y169" s="163"/>
      <c r="Z169" s="337"/>
    </row>
    <row r="170" spans="2:26" ht="9.9499999999999993" customHeight="1" x14ac:dyDescent="0.15">
      <c r="B170" s="168">
        <v>36982</v>
      </c>
      <c r="C170" s="163" t="s">
        <v>222</v>
      </c>
      <c r="D170" s="163" t="s">
        <v>302</v>
      </c>
      <c r="E170" s="163" t="s">
        <v>303</v>
      </c>
      <c r="F170" s="82">
        <v>8784</v>
      </c>
      <c r="G170" s="82">
        <v>8784</v>
      </c>
      <c r="H170" s="82">
        <v>1654</v>
      </c>
      <c r="I170" s="82">
        <v>1760</v>
      </c>
      <c r="J170" s="82">
        <v>0</v>
      </c>
      <c r="K170" s="82">
        <v>0</v>
      </c>
      <c r="L170" s="82">
        <v>1182</v>
      </c>
      <c r="M170" s="82">
        <v>19</v>
      </c>
      <c r="N170" s="82">
        <v>559</v>
      </c>
      <c r="O170" s="82">
        <v>0</v>
      </c>
      <c r="P170" s="82">
        <v>1760</v>
      </c>
      <c r="Q170" s="177">
        <v>98.920454545454547</v>
      </c>
      <c r="R170" s="82">
        <v>387</v>
      </c>
      <c r="S170" s="177">
        <v>21.988636363636363</v>
      </c>
      <c r="T170" s="82">
        <v>77</v>
      </c>
      <c r="U170" s="82">
        <v>109</v>
      </c>
      <c r="V170" s="82">
        <v>205</v>
      </c>
      <c r="W170" s="163"/>
      <c r="X170" s="163"/>
      <c r="Y170" s="163"/>
      <c r="Z170" s="337"/>
    </row>
    <row r="171" spans="2:26" ht="9.9499999999999993" customHeight="1" x14ac:dyDescent="0.15">
      <c r="B171" s="168">
        <v>36982</v>
      </c>
      <c r="C171" s="163" t="s">
        <v>222</v>
      </c>
      <c r="D171" s="163" t="s">
        <v>304</v>
      </c>
      <c r="E171" s="163" t="s">
        <v>305</v>
      </c>
      <c r="F171" s="82">
        <v>17287</v>
      </c>
      <c r="G171" s="82">
        <v>17287</v>
      </c>
      <c r="H171" s="82">
        <v>3605</v>
      </c>
      <c r="I171" s="82">
        <v>4106</v>
      </c>
      <c r="J171" s="82">
        <v>0</v>
      </c>
      <c r="K171" s="82">
        <v>71</v>
      </c>
      <c r="L171" s="82">
        <v>2832</v>
      </c>
      <c r="M171" s="82">
        <v>118</v>
      </c>
      <c r="N171" s="82">
        <v>1156</v>
      </c>
      <c r="O171" s="82">
        <v>0</v>
      </c>
      <c r="P171" s="82">
        <v>4106</v>
      </c>
      <c r="Q171" s="177">
        <v>97.126156843643457</v>
      </c>
      <c r="R171" s="82">
        <v>751</v>
      </c>
      <c r="S171" s="177">
        <v>19.679195594924586</v>
      </c>
      <c r="T171" s="82">
        <v>184</v>
      </c>
      <c r="U171" s="82">
        <v>255</v>
      </c>
      <c r="V171" s="82">
        <v>557</v>
      </c>
      <c r="W171" s="163"/>
      <c r="X171" s="163"/>
      <c r="Y171" s="163"/>
      <c r="Z171" s="337"/>
    </row>
    <row r="172" spans="2:26" ht="9.9499999999999993" customHeight="1" x14ac:dyDescent="0.15">
      <c r="B172" s="168">
        <v>36982</v>
      </c>
      <c r="C172" s="163" t="s">
        <v>222</v>
      </c>
      <c r="D172" s="163" t="s">
        <v>306</v>
      </c>
      <c r="E172" s="163" t="s">
        <v>307</v>
      </c>
      <c r="F172" s="82">
        <v>7566</v>
      </c>
      <c r="G172" s="82">
        <v>7566</v>
      </c>
      <c r="H172" s="82">
        <v>1259</v>
      </c>
      <c r="I172" s="82">
        <v>1846</v>
      </c>
      <c r="J172" s="82">
        <v>0</v>
      </c>
      <c r="K172" s="82">
        <v>0</v>
      </c>
      <c r="L172" s="82">
        <v>1164</v>
      </c>
      <c r="M172" s="82">
        <v>102</v>
      </c>
      <c r="N172" s="82">
        <v>580</v>
      </c>
      <c r="O172" s="82">
        <v>0</v>
      </c>
      <c r="P172" s="82">
        <v>1846</v>
      </c>
      <c r="Q172" s="177">
        <v>94.474539544962084</v>
      </c>
      <c r="R172" s="82">
        <v>368</v>
      </c>
      <c r="S172" s="177">
        <v>19.934994582881906</v>
      </c>
      <c r="T172" s="82">
        <v>77</v>
      </c>
      <c r="U172" s="82">
        <v>132</v>
      </c>
      <c r="V172" s="82">
        <v>311</v>
      </c>
      <c r="W172" s="163"/>
      <c r="X172" s="163"/>
      <c r="Y172" s="163"/>
      <c r="Z172" s="337"/>
    </row>
    <row r="173" spans="2:26" ht="9.9499999999999993" customHeight="1" x14ac:dyDescent="0.15">
      <c r="B173" s="168">
        <v>36982</v>
      </c>
      <c r="C173" s="163" t="s">
        <v>222</v>
      </c>
      <c r="D173" s="163" t="s">
        <v>308</v>
      </c>
      <c r="E173" s="163" t="s">
        <v>309</v>
      </c>
      <c r="F173" s="82">
        <v>11401</v>
      </c>
      <c r="G173" s="82">
        <v>11401</v>
      </c>
      <c r="H173" s="82">
        <v>1462</v>
      </c>
      <c r="I173" s="82">
        <v>1844</v>
      </c>
      <c r="J173" s="82">
        <v>0</v>
      </c>
      <c r="K173" s="82">
        <v>0</v>
      </c>
      <c r="L173" s="82">
        <v>1120</v>
      </c>
      <c r="M173" s="82">
        <v>74</v>
      </c>
      <c r="N173" s="82">
        <v>650</v>
      </c>
      <c r="O173" s="82">
        <v>0</v>
      </c>
      <c r="P173" s="82">
        <v>1844</v>
      </c>
      <c r="Q173" s="177">
        <v>95.986984815618229</v>
      </c>
      <c r="R173" s="82">
        <v>447</v>
      </c>
      <c r="S173" s="177">
        <v>24.240780911062906</v>
      </c>
      <c r="T173" s="82">
        <v>73</v>
      </c>
      <c r="U173" s="82">
        <v>128</v>
      </c>
      <c r="V173" s="82">
        <v>275</v>
      </c>
      <c r="W173" s="163"/>
      <c r="X173" s="163"/>
      <c r="Y173" s="163"/>
      <c r="Z173" s="337"/>
    </row>
    <row r="174" spans="2:26" ht="9.9499999999999993" customHeight="1" x14ac:dyDescent="0.15">
      <c r="B174" s="168">
        <v>36982</v>
      </c>
      <c r="C174" s="163" t="s">
        <v>222</v>
      </c>
      <c r="D174" s="163" t="s">
        <v>310</v>
      </c>
      <c r="E174" s="163" t="s">
        <v>311</v>
      </c>
      <c r="F174" s="82">
        <v>6353</v>
      </c>
      <c r="G174" s="82">
        <v>6353</v>
      </c>
      <c r="H174" s="82">
        <v>939</v>
      </c>
      <c r="I174" s="82">
        <v>992</v>
      </c>
      <c r="J174" s="82">
        <v>0</v>
      </c>
      <c r="K174" s="82">
        <v>0</v>
      </c>
      <c r="L174" s="82">
        <v>610</v>
      </c>
      <c r="M174" s="82">
        <v>41</v>
      </c>
      <c r="N174" s="82">
        <v>341</v>
      </c>
      <c r="O174" s="82">
        <v>0</v>
      </c>
      <c r="P174" s="82">
        <v>992</v>
      </c>
      <c r="Q174" s="177">
        <v>95.866935483870961</v>
      </c>
      <c r="R174" s="82">
        <v>249</v>
      </c>
      <c r="S174" s="177">
        <v>25.100806451612907</v>
      </c>
      <c r="T174" s="82">
        <v>39</v>
      </c>
      <c r="U174" s="82">
        <v>60</v>
      </c>
      <c r="V174" s="82">
        <v>140</v>
      </c>
      <c r="W174" s="163"/>
      <c r="X174" s="163"/>
      <c r="Y174" s="163"/>
      <c r="Z174" s="337"/>
    </row>
    <row r="175" spans="2:26" ht="9.9499999999999993" customHeight="1" x14ac:dyDescent="0.15">
      <c r="B175" s="168">
        <v>36982</v>
      </c>
      <c r="C175" s="163" t="s">
        <v>222</v>
      </c>
      <c r="D175" s="163" t="s">
        <v>312</v>
      </c>
      <c r="E175" s="163" t="s">
        <v>313</v>
      </c>
      <c r="F175" s="82">
        <v>9544</v>
      </c>
      <c r="G175" s="82">
        <v>9544</v>
      </c>
      <c r="H175" s="82">
        <v>1969</v>
      </c>
      <c r="I175" s="82">
        <v>2107</v>
      </c>
      <c r="J175" s="82">
        <v>0</v>
      </c>
      <c r="K175" s="82">
        <v>0</v>
      </c>
      <c r="L175" s="82">
        <v>1461</v>
      </c>
      <c r="M175" s="82">
        <v>54</v>
      </c>
      <c r="N175" s="82">
        <v>592</v>
      </c>
      <c r="O175" s="82">
        <v>0</v>
      </c>
      <c r="P175" s="82">
        <v>2107</v>
      </c>
      <c r="Q175" s="177">
        <v>97.437114380635975</v>
      </c>
      <c r="R175" s="82">
        <v>413</v>
      </c>
      <c r="S175" s="177">
        <v>19.601328903654487</v>
      </c>
      <c r="T175" s="82">
        <v>94</v>
      </c>
      <c r="U175" s="82">
        <v>116</v>
      </c>
      <c r="V175" s="82">
        <v>264</v>
      </c>
      <c r="W175" s="163"/>
      <c r="X175" s="163"/>
      <c r="Y175" s="163"/>
      <c r="Z175" s="337"/>
    </row>
    <row r="176" spans="2:26" ht="9.9499999999999993" customHeight="1" x14ac:dyDescent="0.15">
      <c r="B176" s="168">
        <v>36982</v>
      </c>
      <c r="C176" s="163" t="s">
        <v>222</v>
      </c>
      <c r="D176" s="163" t="s">
        <v>314</v>
      </c>
      <c r="E176" s="163" t="s">
        <v>315</v>
      </c>
      <c r="F176" s="82">
        <v>4428</v>
      </c>
      <c r="G176" s="82">
        <v>4428</v>
      </c>
      <c r="H176" s="82">
        <v>854</v>
      </c>
      <c r="I176" s="82">
        <v>978</v>
      </c>
      <c r="J176" s="82">
        <v>0</v>
      </c>
      <c r="K176" s="82">
        <v>0</v>
      </c>
      <c r="L176" s="82">
        <v>608</v>
      </c>
      <c r="M176" s="82">
        <v>16</v>
      </c>
      <c r="N176" s="82">
        <v>354</v>
      </c>
      <c r="O176" s="82">
        <v>0</v>
      </c>
      <c r="P176" s="82">
        <v>978</v>
      </c>
      <c r="Q176" s="177">
        <v>98.3640081799591</v>
      </c>
      <c r="R176" s="82">
        <v>247</v>
      </c>
      <c r="S176" s="177">
        <v>25.255623721881392</v>
      </c>
      <c r="T176" s="82">
        <v>40</v>
      </c>
      <c r="U176" s="82">
        <v>68</v>
      </c>
      <c r="V176" s="82">
        <v>124</v>
      </c>
      <c r="W176" s="163"/>
      <c r="X176" s="163"/>
      <c r="Y176" s="163"/>
      <c r="Z176" s="337"/>
    </row>
    <row r="177" spans="2:26" ht="9.9499999999999993" customHeight="1" x14ac:dyDescent="0.15">
      <c r="B177" s="168">
        <v>37347</v>
      </c>
      <c r="C177" s="163" t="s">
        <v>223</v>
      </c>
      <c r="D177" s="163" t="s">
        <v>297</v>
      </c>
      <c r="E177" s="163" t="s">
        <v>298</v>
      </c>
      <c r="F177" s="82">
        <v>22807</v>
      </c>
      <c r="G177" s="82">
        <v>22807</v>
      </c>
      <c r="H177" s="82">
        <v>7712</v>
      </c>
      <c r="I177" s="82">
        <v>8381</v>
      </c>
      <c r="J177" s="82">
        <v>0</v>
      </c>
      <c r="K177" s="82">
        <v>136</v>
      </c>
      <c r="L177" s="82">
        <v>6377</v>
      </c>
      <c r="M177" s="82">
        <v>104</v>
      </c>
      <c r="N177" s="82">
        <v>1900</v>
      </c>
      <c r="O177" s="82">
        <v>0</v>
      </c>
      <c r="P177" s="82">
        <v>8381</v>
      </c>
      <c r="Q177" s="177">
        <v>98.759097959670683</v>
      </c>
      <c r="R177" s="82">
        <v>1099</v>
      </c>
      <c r="S177" s="177">
        <v>14.500410942820242</v>
      </c>
      <c r="T177" s="82">
        <v>436</v>
      </c>
      <c r="U177" s="82">
        <v>414</v>
      </c>
      <c r="V177" s="82">
        <v>954</v>
      </c>
      <c r="W177" s="163"/>
      <c r="X177" s="163"/>
      <c r="Y177" s="163"/>
      <c r="Z177" s="337"/>
    </row>
    <row r="178" spans="2:26" ht="9.9499999999999993" customHeight="1" x14ac:dyDescent="0.15">
      <c r="B178" s="168">
        <v>37347</v>
      </c>
      <c r="C178" s="163" t="s">
        <v>223</v>
      </c>
      <c r="D178" s="163" t="s">
        <v>300</v>
      </c>
      <c r="E178" s="163" t="s">
        <v>301</v>
      </c>
      <c r="F178" s="82">
        <v>6088</v>
      </c>
      <c r="G178" s="82">
        <v>6088</v>
      </c>
      <c r="H178" s="82">
        <v>1464</v>
      </c>
      <c r="I178" s="82">
        <v>1726</v>
      </c>
      <c r="J178" s="82">
        <v>0</v>
      </c>
      <c r="K178" s="82">
        <v>32</v>
      </c>
      <c r="L178" s="82">
        <v>1206</v>
      </c>
      <c r="M178" s="82">
        <v>18</v>
      </c>
      <c r="N178" s="82">
        <v>502</v>
      </c>
      <c r="O178" s="82">
        <v>0</v>
      </c>
      <c r="P178" s="82">
        <v>1726</v>
      </c>
      <c r="Q178" s="177">
        <v>98.957126303592119</v>
      </c>
      <c r="R178" s="82">
        <v>309</v>
      </c>
      <c r="S178" s="177">
        <v>19.397042093287826</v>
      </c>
      <c r="T178" s="82">
        <v>84</v>
      </c>
      <c r="U178" s="82">
        <v>101</v>
      </c>
      <c r="V178" s="82">
        <v>203</v>
      </c>
      <c r="W178" s="163"/>
      <c r="X178" s="163"/>
      <c r="Y178" s="163"/>
      <c r="Z178" s="337"/>
    </row>
    <row r="179" spans="2:26" ht="9.9499999999999993" customHeight="1" x14ac:dyDescent="0.15">
      <c r="B179" s="168">
        <v>37347</v>
      </c>
      <c r="C179" s="163" t="s">
        <v>223</v>
      </c>
      <c r="D179" s="163" t="s">
        <v>302</v>
      </c>
      <c r="E179" s="163" t="s">
        <v>303</v>
      </c>
      <c r="F179" s="82">
        <v>8653</v>
      </c>
      <c r="G179" s="82">
        <v>8653</v>
      </c>
      <c r="H179" s="82">
        <v>1666</v>
      </c>
      <c r="I179" s="82">
        <v>1927</v>
      </c>
      <c r="J179" s="82">
        <v>0</v>
      </c>
      <c r="K179" s="82">
        <v>0</v>
      </c>
      <c r="L179" s="82">
        <v>1216</v>
      </c>
      <c r="M179" s="82">
        <v>78</v>
      </c>
      <c r="N179" s="82">
        <v>633</v>
      </c>
      <c r="O179" s="82">
        <v>0</v>
      </c>
      <c r="P179" s="82">
        <v>1927</v>
      </c>
      <c r="Q179" s="177">
        <v>95.952257394914369</v>
      </c>
      <c r="R179" s="82">
        <v>387</v>
      </c>
      <c r="S179" s="177">
        <v>20.083030617540217</v>
      </c>
      <c r="T179" s="82">
        <v>86</v>
      </c>
      <c r="U179" s="82">
        <v>128</v>
      </c>
      <c r="V179" s="82">
        <v>292</v>
      </c>
      <c r="W179" s="163"/>
      <c r="X179" s="163"/>
      <c r="Y179" s="163"/>
      <c r="Z179" s="337"/>
    </row>
    <row r="180" spans="2:26" ht="9.9499999999999993" customHeight="1" x14ac:dyDescent="0.15">
      <c r="B180" s="168">
        <v>37347</v>
      </c>
      <c r="C180" s="163" t="s">
        <v>223</v>
      </c>
      <c r="D180" s="163" t="s">
        <v>304</v>
      </c>
      <c r="E180" s="163" t="s">
        <v>305</v>
      </c>
      <c r="F180" s="82">
        <v>17222</v>
      </c>
      <c r="G180" s="82">
        <v>17222</v>
      </c>
      <c r="H180" s="82">
        <v>3687</v>
      </c>
      <c r="I180" s="82">
        <v>4223</v>
      </c>
      <c r="J180" s="82">
        <v>0</v>
      </c>
      <c r="K180" s="82">
        <v>62</v>
      </c>
      <c r="L180" s="82">
        <v>2929</v>
      </c>
      <c r="M180" s="82">
        <v>88</v>
      </c>
      <c r="N180" s="82">
        <v>1206</v>
      </c>
      <c r="O180" s="82">
        <v>0</v>
      </c>
      <c r="P180" s="82">
        <v>4223</v>
      </c>
      <c r="Q180" s="177">
        <v>97.916173336490644</v>
      </c>
      <c r="R180" s="82">
        <v>722</v>
      </c>
      <c r="S180" s="177">
        <v>18.296382730455075</v>
      </c>
      <c r="T180" s="82">
        <v>204</v>
      </c>
      <c r="U180" s="82">
        <v>250</v>
      </c>
      <c r="V180" s="82">
        <v>542</v>
      </c>
      <c r="W180" s="163"/>
      <c r="X180" s="163"/>
      <c r="Y180" s="163"/>
      <c r="Z180" s="337"/>
    </row>
    <row r="181" spans="2:26" ht="9.9499999999999993" customHeight="1" x14ac:dyDescent="0.15">
      <c r="B181" s="168">
        <v>37347</v>
      </c>
      <c r="C181" s="163" t="s">
        <v>223</v>
      </c>
      <c r="D181" s="163" t="s">
        <v>306</v>
      </c>
      <c r="E181" s="163" t="s">
        <v>307</v>
      </c>
      <c r="F181" s="82">
        <v>7461</v>
      </c>
      <c r="G181" s="82">
        <v>7461</v>
      </c>
      <c r="H181" s="82">
        <v>1233</v>
      </c>
      <c r="I181" s="82">
        <v>1838</v>
      </c>
      <c r="J181" s="82">
        <v>0</v>
      </c>
      <c r="K181" s="82">
        <v>0</v>
      </c>
      <c r="L181" s="82">
        <v>1159</v>
      </c>
      <c r="M181" s="82">
        <v>45</v>
      </c>
      <c r="N181" s="82">
        <v>634</v>
      </c>
      <c r="O181" s="82">
        <v>0</v>
      </c>
      <c r="P181" s="82">
        <v>1838</v>
      </c>
      <c r="Q181" s="177">
        <v>97.551686615886837</v>
      </c>
      <c r="R181" s="82">
        <v>360</v>
      </c>
      <c r="S181" s="177">
        <v>19.586507072905331</v>
      </c>
      <c r="T181" s="82">
        <v>83</v>
      </c>
      <c r="U181" s="82">
        <v>139</v>
      </c>
      <c r="V181" s="82">
        <v>267</v>
      </c>
      <c r="W181" s="163"/>
      <c r="X181" s="163"/>
      <c r="Y181" s="163"/>
      <c r="Z181" s="337"/>
    </row>
    <row r="182" spans="2:26" ht="9.9499999999999993" customHeight="1" x14ac:dyDescent="0.15">
      <c r="B182" s="168">
        <v>37347</v>
      </c>
      <c r="C182" s="163" t="s">
        <v>223</v>
      </c>
      <c r="D182" s="163" t="s">
        <v>308</v>
      </c>
      <c r="E182" s="163" t="s">
        <v>309</v>
      </c>
      <c r="F182" s="82">
        <v>11292</v>
      </c>
      <c r="G182" s="82">
        <v>11292</v>
      </c>
      <c r="H182" s="82">
        <v>1459</v>
      </c>
      <c r="I182" s="82">
        <v>1927</v>
      </c>
      <c r="J182" s="82">
        <v>0</v>
      </c>
      <c r="K182" s="82">
        <v>0</v>
      </c>
      <c r="L182" s="82">
        <v>1167</v>
      </c>
      <c r="M182" s="82">
        <v>80</v>
      </c>
      <c r="N182" s="82">
        <v>680</v>
      </c>
      <c r="O182" s="82">
        <v>0</v>
      </c>
      <c r="P182" s="82">
        <v>1927</v>
      </c>
      <c r="Q182" s="177">
        <v>95.848469122989101</v>
      </c>
      <c r="R182" s="82">
        <v>430</v>
      </c>
      <c r="S182" s="177">
        <v>22.314478463933575</v>
      </c>
      <c r="T182" s="82">
        <v>83</v>
      </c>
      <c r="U182" s="82">
        <v>130</v>
      </c>
      <c r="V182" s="82">
        <v>293</v>
      </c>
      <c r="W182" s="163"/>
      <c r="X182" s="163"/>
      <c r="Y182" s="163"/>
      <c r="Z182" s="337"/>
    </row>
    <row r="183" spans="2:26" ht="9.9499999999999993" customHeight="1" x14ac:dyDescent="0.15">
      <c r="B183" s="168">
        <v>37347</v>
      </c>
      <c r="C183" s="163" t="s">
        <v>223</v>
      </c>
      <c r="D183" s="163" t="s">
        <v>310</v>
      </c>
      <c r="E183" s="163" t="s">
        <v>311</v>
      </c>
      <c r="F183" s="82">
        <v>6275</v>
      </c>
      <c r="G183" s="82">
        <v>6275</v>
      </c>
      <c r="H183" s="82">
        <v>965</v>
      </c>
      <c r="I183" s="82">
        <v>1040</v>
      </c>
      <c r="J183" s="82">
        <v>0</v>
      </c>
      <c r="K183" s="82">
        <v>0</v>
      </c>
      <c r="L183" s="82">
        <v>632</v>
      </c>
      <c r="M183" s="82">
        <v>43</v>
      </c>
      <c r="N183" s="82">
        <v>365</v>
      </c>
      <c r="O183" s="82">
        <v>0</v>
      </c>
      <c r="P183" s="82">
        <v>1040</v>
      </c>
      <c r="Q183" s="177">
        <v>95.865384615384613</v>
      </c>
      <c r="R183" s="82">
        <v>251</v>
      </c>
      <c r="S183" s="177">
        <v>24.134615384615383</v>
      </c>
      <c r="T183" s="82">
        <v>44</v>
      </c>
      <c r="U183" s="82">
        <v>61</v>
      </c>
      <c r="V183" s="82">
        <v>148</v>
      </c>
      <c r="W183" s="163"/>
      <c r="X183" s="163"/>
      <c r="Y183" s="163"/>
      <c r="Z183" s="337"/>
    </row>
    <row r="184" spans="2:26" ht="9.9499999999999993" customHeight="1" x14ac:dyDescent="0.15">
      <c r="B184" s="168">
        <v>37347</v>
      </c>
      <c r="C184" s="163" t="s">
        <v>223</v>
      </c>
      <c r="D184" s="163" t="s">
        <v>312</v>
      </c>
      <c r="E184" s="163" t="s">
        <v>313</v>
      </c>
      <c r="F184" s="82">
        <v>9565</v>
      </c>
      <c r="G184" s="82">
        <v>9565</v>
      </c>
      <c r="H184" s="82">
        <v>2034</v>
      </c>
      <c r="I184" s="82">
        <v>2204</v>
      </c>
      <c r="J184" s="82">
        <v>0</v>
      </c>
      <c r="K184" s="82">
        <v>0</v>
      </c>
      <c r="L184" s="82">
        <v>1549</v>
      </c>
      <c r="M184" s="82">
        <v>41</v>
      </c>
      <c r="N184" s="82">
        <v>614</v>
      </c>
      <c r="O184" s="82">
        <v>0</v>
      </c>
      <c r="P184" s="82">
        <v>2204</v>
      </c>
      <c r="Q184" s="177">
        <v>98.139745916515437</v>
      </c>
      <c r="R184" s="82">
        <v>403</v>
      </c>
      <c r="S184" s="177">
        <v>18.284936479128859</v>
      </c>
      <c r="T184" s="82">
        <v>106</v>
      </c>
      <c r="U184" s="82">
        <v>112</v>
      </c>
      <c r="V184" s="82">
        <v>259</v>
      </c>
      <c r="W184" s="163"/>
      <c r="X184" s="163"/>
      <c r="Y184" s="163"/>
      <c r="Z184" s="337"/>
    </row>
    <row r="185" spans="2:26" ht="9.9499999999999993" customHeight="1" x14ac:dyDescent="0.15">
      <c r="B185" s="168">
        <v>37347</v>
      </c>
      <c r="C185" s="163" t="s">
        <v>223</v>
      </c>
      <c r="D185" s="163" t="s">
        <v>314</v>
      </c>
      <c r="E185" s="163" t="s">
        <v>315</v>
      </c>
      <c r="F185" s="82">
        <v>4366</v>
      </c>
      <c r="G185" s="82">
        <v>4366</v>
      </c>
      <c r="H185" s="82">
        <v>879</v>
      </c>
      <c r="I185" s="82">
        <v>1045</v>
      </c>
      <c r="J185" s="82">
        <v>0</v>
      </c>
      <c r="K185" s="82">
        <v>0</v>
      </c>
      <c r="L185" s="82">
        <v>640</v>
      </c>
      <c r="M185" s="82">
        <v>20</v>
      </c>
      <c r="N185" s="82">
        <v>385</v>
      </c>
      <c r="O185" s="82">
        <v>0</v>
      </c>
      <c r="P185" s="82">
        <v>1045</v>
      </c>
      <c r="Q185" s="177">
        <v>98.086124401913878</v>
      </c>
      <c r="R185" s="82">
        <v>247</v>
      </c>
      <c r="S185" s="177">
        <v>23.636363636363637</v>
      </c>
      <c r="T185" s="82">
        <v>45</v>
      </c>
      <c r="U185" s="82">
        <v>72</v>
      </c>
      <c r="V185" s="82">
        <v>137</v>
      </c>
      <c r="W185" s="163"/>
      <c r="X185" s="163"/>
      <c r="Y185" s="163"/>
      <c r="Z185" s="337"/>
    </row>
    <row r="186" spans="2:26" ht="9.9499999999999993" customHeight="1" x14ac:dyDescent="0.15">
      <c r="B186" s="168">
        <v>37712</v>
      </c>
      <c r="C186" s="163" t="s">
        <v>224</v>
      </c>
      <c r="D186" s="163" t="s">
        <v>297</v>
      </c>
      <c r="E186" s="163" t="s">
        <v>298</v>
      </c>
      <c r="F186" s="82">
        <v>22630</v>
      </c>
      <c r="G186" s="82">
        <v>22630</v>
      </c>
      <c r="H186" s="82">
        <v>8609</v>
      </c>
      <c r="I186" s="82">
        <v>7827</v>
      </c>
      <c r="J186" s="82">
        <v>0</v>
      </c>
      <c r="K186" s="82">
        <v>112</v>
      </c>
      <c r="L186" s="82">
        <v>6352</v>
      </c>
      <c r="M186" s="82">
        <v>178</v>
      </c>
      <c r="N186" s="82">
        <v>2079</v>
      </c>
      <c r="O186" s="82">
        <v>0</v>
      </c>
      <c r="P186" s="82">
        <v>8609</v>
      </c>
      <c r="Q186" s="177">
        <v>97.932396329422701</v>
      </c>
      <c r="R186" s="82">
        <v>1168</v>
      </c>
      <c r="S186" s="177">
        <v>14.677215915606009</v>
      </c>
      <c r="T186" s="82">
        <v>457</v>
      </c>
      <c r="U186" s="82">
        <v>422</v>
      </c>
      <c r="V186" s="82">
        <v>1057</v>
      </c>
      <c r="W186" s="163"/>
      <c r="X186" s="163"/>
      <c r="Y186" s="163"/>
      <c r="Z186" s="337"/>
    </row>
    <row r="187" spans="2:26" ht="9.9499999999999993" customHeight="1" x14ac:dyDescent="0.15">
      <c r="B187" s="168">
        <v>37712</v>
      </c>
      <c r="C187" s="163" t="s">
        <v>224</v>
      </c>
      <c r="D187" s="163" t="s">
        <v>300</v>
      </c>
      <c r="E187" s="163" t="s">
        <v>301</v>
      </c>
      <c r="F187" s="82">
        <v>6050</v>
      </c>
      <c r="G187" s="82">
        <v>6050</v>
      </c>
      <c r="H187" s="82">
        <v>1810</v>
      </c>
      <c r="I187" s="82">
        <v>1475</v>
      </c>
      <c r="J187" s="82">
        <v>0</v>
      </c>
      <c r="K187" s="82">
        <v>39</v>
      </c>
      <c r="L187" s="82">
        <v>1223</v>
      </c>
      <c r="M187" s="82">
        <v>56</v>
      </c>
      <c r="N187" s="82">
        <v>531</v>
      </c>
      <c r="O187" s="82">
        <v>0</v>
      </c>
      <c r="P187" s="82">
        <v>1810</v>
      </c>
      <c r="Q187" s="177">
        <v>96.906077348066304</v>
      </c>
      <c r="R187" s="82">
        <v>313</v>
      </c>
      <c r="S187" s="177">
        <v>19.03731746890211</v>
      </c>
      <c r="T187" s="82">
        <v>90</v>
      </c>
      <c r="U187" s="82">
        <v>101</v>
      </c>
      <c r="V187" s="82">
        <v>247</v>
      </c>
      <c r="W187" s="163"/>
      <c r="X187" s="163"/>
      <c r="Y187" s="163"/>
      <c r="Z187" s="337"/>
    </row>
    <row r="188" spans="2:26" ht="9.9499999999999993" customHeight="1" x14ac:dyDescent="0.15">
      <c r="B188" s="168">
        <v>37712</v>
      </c>
      <c r="C188" s="163" t="s">
        <v>224</v>
      </c>
      <c r="D188" s="163" t="s">
        <v>302</v>
      </c>
      <c r="E188" s="163" t="s">
        <v>303</v>
      </c>
      <c r="F188" s="82">
        <v>8562</v>
      </c>
      <c r="G188" s="82">
        <v>8562</v>
      </c>
      <c r="H188" s="82">
        <v>1881</v>
      </c>
      <c r="I188" s="82">
        <v>1673</v>
      </c>
      <c r="J188" s="82">
        <v>0</v>
      </c>
      <c r="K188" s="82">
        <v>0</v>
      </c>
      <c r="L188" s="82">
        <v>1233</v>
      </c>
      <c r="M188" s="82">
        <v>33</v>
      </c>
      <c r="N188" s="82">
        <v>615</v>
      </c>
      <c r="O188" s="82">
        <v>0</v>
      </c>
      <c r="P188" s="82">
        <v>1881</v>
      </c>
      <c r="Q188" s="177">
        <v>98.245614035087712</v>
      </c>
      <c r="R188" s="82">
        <v>389</v>
      </c>
      <c r="S188" s="177">
        <v>20.680489101541731</v>
      </c>
      <c r="T188" s="82">
        <v>91</v>
      </c>
      <c r="U188" s="82">
        <v>106</v>
      </c>
      <c r="V188" s="82">
        <v>230</v>
      </c>
      <c r="W188" s="163"/>
      <c r="X188" s="163"/>
      <c r="Y188" s="163"/>
      <c r="Z188" s="337"/>
    </row>
    <row r="189" spans="2:26" ht="9.9499999999999993" customHeight="1" x14ac:dyDescent="0.15">
      <c r="B189" s="168">
        <v>37712</v>
      </c>
      <c r="C189" s="163" t="s">
        <v>224</v>
      </c>
      <c r="D189" s="163" t="s">
        <v>304</v>
      </c>
      <c r="E189" s="163" t="s">
        <v>305</v>
      </c>
      <c r="F189" s="82">
        <v>17070</v>
      </c>
      <c r="G189" s="82">
        <v>17070</v>
      </c>
      <c r="H189" s="82">
        <v>4396</v>
      </c>
      <c r="I189" s="82">
        <v>3809</v>
      </c>
      <c r="J189" s="82">
        <v>0</v>
      </c>
      <c r="K189" s="82">
        <v>13</v>
      </c>
      <c r="L189" s="82">
        <v>3019</v>
      </c>
      <c r="M189" s="82">
        <v>90</v>
      </c>
      <c r="N189" s="82">
        <v>1287</v>
      </c>
      <c r="O189" s="82">
        <v>0</v>
      </c>
      <c r="P189" s="82">
        <v>4396</v>
      </c>
      <c r="Q189" s="177">
        <v>97.952684258416738</v>
      </c>
      <c r="R189" s="82">
        <v>748</v>
      </c>
      <c r="S189" s="177">
        <v>17.26014969380812</v>
      </c>
      <c r="T189" s="82">
        <v>221</v>
      </c>
      <c r="U189" s="82">
        <v>249</v>
      </c>
      <c r="V189" s="82">
        <v>560</v>
      </c>
      <c r="W189" s="163"/>
      <c r="X189" s="163"/>
      <c r="Y189" s="163"/>
      <c r="Z189" s="337"/>
    </row>
    <row r="190" spans="2:26" ht="9.9499999999999993" customHeight="1" x14ac:dyDescent="0.15">
      <c r="B190" s="168">
        <v>37712</v>
      </c>
      <c r="C190" s="163" t="s">
        <v>224</v>
      </c>
      <c r="D190" s="163" t="s">
        <v>306</v>
      </c>
      <c r="E190" s="163" t="s">
        <v>307</v>
      </c>
      <c r="F190" s="82">
        <v>7382</v>
      </c>
      <c r="G190" s="82">
        <v>7382</v>
      </c>
      <c r="H190" s="82">
        <v>2031</v>
      </c>
      <c r="I190" s="82">
        <v>1259</v>
      </c>
      <c r="J190" s="82">
        <v>0</v>
      </c>
      <c r="K190" s="82">
        <v>0</v>
      </c>
      <c r="L190" s="82">
        <v>1215</v>
      </c>
      <c r="M190" s="82">
        <v>75</v>
      </c>
      <c r="N190" s="82">
        <v>741</v>
      </c>
      <c r="O190" s="82">
        <v>0</v>
      </c>
      <c r="P190" s="82">
        <v>2031</v>
      </c>
      <c r="Q190" s="177">
        <v>96.307237813884782</v>
      </c>
      <c r="R190" s="82">
        <v>389</v>
      </c>
      <c r="S190" s="177">
        <v>19.153126538650909</v>
      </c>
      <c r="T190" s="82">
        <v>94</v>
      </c>
      <c r="U190" s="82">
        <v>160</v>
      </c>
      <c r="V190" s="82">
        <v>329</v>
      </c>
      <c r="W190" s="163"/>
      <c r="X190" s="163"/>
      <c r="Y190" s="163"/>
      <c r="Z190" s="337"/>
    </row>
    <row r="191" spans="2:26" ht="9.9499999999999993" customHeight="1" x14ac:dyDescent="0.15">
      <c r="B191" s="168">
        <v>37712</v>
      </c>
      <c r="C191" s="163" t="s">
        <v>224</v>
      </c>
      <c r="D191" s="163" t="s">
        <v>308</v>
      </c>
      <c r="E191" s="163" t="s">
        <v>309</v>
      </c>
      <c r="F191" s="82">
        <v>11209</v>
      </c>
      <c r="G191" s="82">
        <v>11209</v>
      </c>
      <c r="H191" s="82">
        <v>2083</v>
      </c>
      <c r="I191" s="82">
        <v>1582</v>
      </c>
      <c r="J191" s="82">
        <v>0</v>
      </c>
      <c r="K191" s="82">
        <v>0</v>
      </c>
      <c r="L191" s="82">
        <v>1241</v>
      </c>
      <c r="M191" s="82">
        <v>82</v>
      </c>
      <c r="N191" s="82">
        <v>760</v>
      </c>
      <c r="O191" s="82">
        <v>0</v>
      </c>
      <c r="P191" s="82">
        <v>2083</v>
      </c>
      <c r="Q191" s="177">
        <v>96.063370139222272</v>
      </c>
      <c r="R191" s="82">
        <v>463</v>
      </c>
      <c r="S191" s="177">
        <v>22.227556409025446</v>
      </c>
      <c r="T191" s="82">
        <v>94</v>
      </c>
      <c r="U191" s="82">
        <v>137</v>
      </c>
      <c r="V191" s="82">
        <v>313</v>
      </c>
      <c r="W191" s="163"/>
      <c r="X191" s="163"/>
      <c r="Y191" s="163"/>
      <c r="Z191" s="337"/>
    </row>
    <row r="192" spans="2:26" ht="9.9499999999999993" customHeight="1" x14ac:dyDescent="0.15">
      <c r="B192" s="168">
        <v>37712</v>
      </c>
      <c r="C192" s="163" t="s">
        <v>224</v>
      </c>
      <c r="D192" s="163" t="s">
        <v>310</v>
      </c>
      <c r="E192" s="163" t="s">
        <v>311</v>
      </c>
      <c r="F192" s="82">
        <v>6191</v>
      </c>
      <c r="G192" s="82">
        <v>6191</v>
      </c>
      <c r="H192" s="82">
        <v>1080</v>
      </c>
      <c r="I192" s="82">
        <v>993</v>
      </c>
      <c r="J192" s="82">
        <v>0</v>
      </c>
      <c r="K192" s="82">
        <v>0</v>
      </c>
      <c r="L192" s="82">
        <v>666</v>
      </c>
      <c r="M192" s="82">
        <v>34</v>
      </c>
      <c r="N192" s="82">
        <v>380</v>
      </c>
      <c r="O192" s="82">
        <v>0</v>
      </c>
      <c r="P192" s="82">
        <v>1080</v>
      </c>
      <c r="Q192" s="177">
        <v>96.851851851851862</v>
      </c>
      <c r="R192" s="82">
        <v>259</v>
      </c>
      <c r="S192" s="177">
        <v>23.981481481481481</v>
      </c>
      <c r="T192" s="82">
        <v>49</v>
      </c>
      <c r="U192" s="82">
        <v>57</v>
      </c>
      <c r="V192" s="82">
        <v>140</v>
      </c>
      <c r="W192" s="163"/>
      <c r="X192" s="163"/>
      <c r="Y192" s="163"/>
      <c r="Z192" s="337"/>
    </row>
    <row r="193" spans="2:26" ht="9.9499999999999993" customHeight="1" x14ac:dyDescent="0.15">
      <c r="B193" s="168">
        <v>37712</v>
      </c>
      <c r="C193" s="163" t="s">
        <v>224</v>
      </c>
      <c r="D193" s="163" t="s">
        <v>312</v>
      </c>
      <c r="E193" s="163" t="s">
        <v>313</v>
      </c>
      <c r="F193" s="82">
        <v>9513</v>
      </c>
      <c r="G193" s="82">
        <v>9513</v>
      </c>
      <c r="H193" s="82">
        <v>2285</v>
      </c>
      <c r="I193" s="82">
        <v>2131</v>
      </c>
      <c r="J193" s="82">
        <v>0</v>
      </c>
      <c r="K193" s="82">
        <v>0</v>
      </c>
      <c r="L193" s="82">
        <v>1627</v>
      </c>
      <c r="M193" s="82">
        <v>43</v>
      </c>
      <c r="N193" s="82">
        <v>615</v>
      </c>
      <c r="O193" s="82">
        <v>0</v>
      </c>
      <c r="P193" s="82">
        <v>2285</v>
      </c>
      <c r="Q193" s="177">
        <v>98.118161925601754</v>
      </c>
      <c r="R193" s="82">
        <v>408</v>
      </c>
      <c r="S193" s="177">
        <v>17.855579868708972</v>
      </c>
      <c r="T193" s="82">
        <v>116</v>
      </c>
      <c r="U193" s="82">
        <v>99</v>
      </c>
      <c r="V193" s="82">
        <v>258</v>
      </c>
      <c r="W193" s="163"/>
      <c r="X193" s="163"/>
      <c r="Y193" s="163"/>
      <c r="Z193" s="337"/>
    </row>
    <row r="194" spans="2:26" ht="9.9499999999999993" customHeight="1" x14ac:dyDescent="0.15">
      <c r="B194" s="168">
        <v>37712</v>
      </c>
      <c r="C194" s="163" t="s">
        <v>224</v>
      </c>
      <c r="D194" s="163" t="s">
        <v>314</v>
      </c>
      <c r="E194" s="163" t="s">
        <v>315</v>
      </c>
      <c r="F194" s="82">
        <v>4268</v>
      </c>
      <c r="G194" s="82">
        <v>4268</v>
      </c>
      <c r="H194" s="82">
        <v>1085</v>
      </c>
      <c r="I194" s="82">
        <v>890</v>
      </c>
      <c r="J194" s="82">
        <v>0</v>
      </c>
      <c r="K194" s="82">
        <v>0</v>
      </c>
      <c r="L194" s="82">
        <v>652</v>
      </c>
      <c r="M194" s="82">
        <v>15</v>
      </c>
      <c r="N194" s="82">
        <v>418</v>
      </c>
      <c r="O194" s="82">
        <v>0</v>
      </c>
      <c r="P194" s="82">
        <v>1085</v>
      </c>
      <c r="Q194" s="177">
        <v>98.617511520737324</v>
      </c>
      <c r="R194" s="82">
        <v>260</v>
      </c>
      <c r="S194" s="177">
        <v>23.963133640552993</v>
      </c>
      <c r="T194" s="82">
        <v>49</v>
      </c>
      <c r="U194" s="82">
        <v>73</v>
      </c>
      <c r="V194" s="82">
        <v>137</v>
      </c>
      <c r="W194" s="163"/>
      <c r="X194" s="163"/>
      <c r="Y194" s="163"/>
      <c r="Z194" s="337"/>
    </row>
    <row r="195" spans="2:26" ht="9.9499999999999993" customHeight="1" x14ac:dyDescent="0.15">
      <c r="B195" s="168">
        <v>38078</v>
      </c>
      <c r="C195" s="163" t="s">
        <v>225</v>
      </c>
      <c r="D195" s="163" t="s">
        <v>297</v>
      </c>
      <c r="E195" s="163" t="s">
        <v>298</v>
      </c>
      <c r="F195" s="82">
        <v>22591</v>
      </c>
      <c r="G195" s="82">
        <v>22591</v>
      </c>
      <c r="H195" s="82">
        <v>8313</v>
      </c>
      <c r="I195" s="82">
        <v>7524</v>
      </c>
      <c r="J195" s="82">
        <v>0</v>
      </c>
      <c r="K195" s="82">
        <v>132</v>
      </c>
      <c r="L195" s="82">
        <v>6109</v>
      </c>
      <c r="M195" s="82">
        <v>124</v>
      </c>
      <c r="N195" s="82">
        <v>2080</v>
      </c>
      <c r="O195" s="82">
        <v>0</v>
      </c>
      <c r="P195" s="82">
        <v>8313</v>
      </c>
      <c r="Q195" s="177">
        <v>98.508360399374467</v>
      </c>
      <c r="R195" s="82">
        <v>1171</v>
      </c>
      <c r="S195" s="177">
        <v>15.429248075784487</v>
      </c>
      <c r="T195" s="82">
        <v>422</v>
      </c>
      <c r="U195" s="82">
        <v>371</v>
      </c>
      <c r="V195" s="82">
        <v>917</v>
      </c>
      <c r="W195" s="163"/>
      <c r="X195" s="163"/>
      <c r="Y195" s="163"/>
      <c r="Z195" s="337"/>
    </row>
    <row r="196" spans="2:26" ht="9.9499999999999993" customHeight="1" x14ac:dyDescent="0.15">
      <c r="B196" s="168">
        <v>38078</v>
      </c>
      <c r="C196" s="163" t="s">
        <v>225</v>
      </c>
      <c r="D196" s="163" t="s">
        <v>300</v>
      </c>
      <c r="E196" s="163" t="s">
        <v>301</v>
      </c>
      <c r="F196" s="82">
        <v>5940</v>
      </c>
      <c r="G196" s="82">
        <v>5940</v>
      </c>
      <c r="H196" s="82">
        <v>1771</v>
      </c>
      <c r="I196" s="82">
        <v>1439</v>
      </c>
      <c r="J196" s="82">
        <v>0</v>
      </c>
      <c r="K196" s="82">
        <v>8</v>
      </c>
      <c r="L196" s="82">
        <v>1220</v>
      </c>
      <c r="M196" s="82">
        <v>18</v>
      </c>
      <c r="N196" s="82">
        <v>533</v>
      </c>
      <c r="O196" s="82">
        <v>0</v>
      </c>
      <c r="P196" s="82">
        <v>1771</v>
      </c>
      <c r="Q196" s="177">
        <v>98.983625070581596</v>
      </c>
      <c r="R196" s="82">
        <v>317</v>
      </c>
      <c r="S196" s="177">
        <v>18.268690275435638</v>
      </c>
      <c r="T196" s="82">
        <v>86</v>
      </c>
      <c r="U196" s="82">
        <v>89</v>
      </c>
      <c r="V196" s="82">
        <v>193</v>
      </c>
      <c r="W196" s="163"/>
      <c r="X196" s="163"/>
      <c r="Y196" s="163"/>
      <c r="Z196" s="337"/>
    </row>
    <row r="197" spans="2:26" ht="9.9499999999999993" customHeight="1" x14ac:dyDescent="0.15">
      <c r="B197" s="168">
        <v>38078</v>
      </c>
      <c r="C197" s="163" t="s">
        <v>225</v>
      </c>
      <c r="D197" s="163" t="s">
        <v>302</v>
      </c>
      <c r="E197" s="163" t="s">
        <v>303</v>
      </c>
      <c r="F197" s="82">
        <v>8410</v>
      </c>
      <c r="G197" s="82">
        <v>8410</v>
      </c>
      <c r="H197" s="82">
        <v>1919</v>
      </c>
      <c r="I197" s="82">
        <v>1650</v>
      </c>
      <c r="J197" s="82">
        <v>0</v>
      </c>
      <c r="K197" s="82">
        <v>0</v>
      </c>
      <c r="L197" s="82">
        <v>1240</v>
      </c>
      <c r="M197" s="82">
        <v>63</v>
      </c>
      <c r="N197" s="82">
        <v>616</v>
      </c>
      <c r="O197" s="82">
        <v>0</v>
      </c>
      <c r="P197" s="82">
        <v>1919</v>
      </c>
      <c r="Q197" s="177">
        <v>96.717040125065139</v>
      </c>
      <c r="R197" s="82">
        <v>392</v>
      </c>
      <c r="S197" s="177">
        <v>20.427305888483584</v>
      </c>
      <c r="T197" s="82">
        <v>87</v>
      </c>
      <c r="U197" s="82">
        <v>93</v>
      </c>
      <c r="V197" s="82">
        <v>243</v>
      </c>
      <c r="W197" s="163"/>
      <c r="X197" s="163"/>
      <c r="Y197" s="163"/>
      <c r="Z197" s="337"/>
    </row>
    <row r="198" spans="2:26" ht="9.9499999999999993" customHeight="1" x14ac:dyDescent="0.15">
      <c r="B198" s="168">
        <v>38078</v>
      </c>
      <c r="C198" s="163" t="s">
        <v>225</v>
      </c>
      <c r="D198" s="163" t="s">
        <v>304</v>
      </c>
      <c r="E198" s="163" t="s">
        <v>305</v>
      </c>
      <c r="F198" s="82">
        <v>16992</v>
      </c>
      <c r="G198" s="82">
        <v>16992</v>
      </c>
      <c r="H198" s="82">
        <v>4531</v>
      </c>
      <c r="I198" s="82">
        <v>3838</v>
      </c>
      <c r="J198" s="82">
        <v>0</v>
      </c>
      <c r="K198" s="82">
        <v>51</v>
      </c>
      <c r="L198" s="82">
        <v>3051</v>
      </c>
      <c r="M198" s="82">
        <v>127</v>
      </c>
      <c r="N198" s="82">
        <v>1353</v>
      </c>
      <c r="O198" s="82">
        <v>0</v>
      </c>
      <c r="P198" s="82">
        <v>4531</v>
      </c>
      <c r="Q198" s="177">
        <v>97.197086735819909</v>
      </c>
      <c r="R198" s="82">
        <v>796</v>
      </c>
      <c r="S198" s="177">
        <v>18.485377564382365</v>
      </c>
      <c r="T198" s="82">
        <v>215</v>
      </c>
      <c r="U198" s="82">
        <v>228</v>
      </c>
      <c r="V198" s="82">
        <v>570</v>
      </c>
      <c r="W198" s="163"/>
      <c r="X198" s="163"/>
      <c r="Y198" s="163"/>
      <c r="Z198" s="337"/>
    </row>
    <row r="199" spans="2:26" ht="9.9499999999999993" customHeight="1" x14ac:dyDescent="0.15">
      <c r="B199" s="168">
        <v>38078</v>
      </c>
      <c r="C199" s="163" t="s">
        <v>225</v>
      </c>
      <c r="D199" s="163" t="s">
        <v>306</v>
      </c>
      <c r="E199" s="163" t="s">
        <v>307</v>
      </c>
      <c r="F199" s="82">
        <v>7367</v>
      </c>
      <c r="G199" s="82">
        <v>7367</v>
      </c>
      <c r="H199" s="82">
        <v>1994</v>
      </c>
      <c r="I199" s="82">
        <v>1293</v>
      </c>
      <c r="J199" s="82">
        <v>0</v>
      </c>
      <c r="K199" s="82">
        <v>0</v>
      </c>
      <c r="L199" s="82">
        <v>1233</v>
      </c>
      <c r="M199" s="82">
        <v>37</v>
      </c>
      <c r="N199" s="82">
        <v>724</v>
      </c>
      <c r="O199" s="82">
        <v>0</v>
      </c>
      <c r="P199" s="82">
        <v>1994</v>
      </c>
      <c r="Q199" s="177">
        <v>98.144433299899703</v>
      </c>
      <c r="R199" s="82">
        <v>382</v>
      </c>
      <c r="S199" s="177">
        <v>19.157472417251757</v>
      </c>
      <c r="T199" s="82">
        <v>91</v>
      </c>
      <c r="U199" s="82">
        <v>138</v>
      </c>
      <c r="V199" s="82">
        <v>266</v>
      </c>
      <c r="W199" s="163"/>
      <c r="X199" s="163"/>
      <c r="Y199" s="163"/>
      <c r="Z199" s="337"/>
    </row>
    <row r="200" spans="2:26" ht="9.9499999999999993" customHeight="1" x14ac:dyDescent="0.15">
      <c r="B200" s="168">
        <v>38078</v>
      </c>
      <c r="C200" s="163" t="s">
        <v>225</v>
      </c>
      <c r="D200" s="163" t="s">
        <v>308</v>
      </c>
      <c r="E200" s="163" t="s">
        <v>309</v>
      </c>
      <c r="F200" s="82">
        <v>11067</v>
      </c>
      <c r="G200" s="82">
        <v>11067</v>
      </c>
      <c r="H200" s="82">
        <v>2129</v>
      </c>
      <c r="I200" s="82">
        <v>1599</v>
      </c>
      <c r="J200" s="82">
        <v>0</v>
      </c>
      <c r="K200" s="82">
        <v>81</v>
      </c>
      <c r="L200" s="82">
        <v>1231</v>
      </c>
      <c r="M200" s="82">
        <v>114</v>
      </c>
      <c r="N200" s="82">
        <v>784</v>
      </c>
      <c r="O200" s="82">
        <v>0</v>
      </c>
      <c r="P200" s="82">
        <v>2129</v>
      </c>
      <c r="Q200" s="177">
        <v>94.645373414748718</v>
      </c>
      <c r="R200" s="82">
        <v>479</v>
      </c>
      <c r="S200" s="177">
        <v>25.339366515837103</v>
      </c>
      <c r="T200" s="82">
        <v>90</v>
      </c>
      <c r="U200" s="82">
        <v>126</v>
      </c>
      <c r="V200" s="82">
        <v>330</v>
      </c>
      <c r="W200" s="163"/>
      <c r="X200" s="163"/>
      <c r="Y200" s="163"/>
      <c r="Z200" s="337"/>
    </row>
    <row r="201" spans="2:26" ht="9.9499999999999993" customHeight="1" x14ac:dyDescent="0.15">
      <c r="B201" s="168">
        <v>38078</v>
      </c>
      <c r="C201" s="163" t="s">
        <v>225</v>
      </c>
      <c r="D201" s="163" t="s">
        <v>310</v>
      </c>
      <c r="E201" s="163" t="s">
        <v>311</v>
      </c>
      <c r="F201" s="82">
        <v>6107</v>
      </c>
      <c r="G201" s="82">
        <v>6107</v>
      </c>
      <c r="H201" s="82">
        <v>1103</v>
      </c>
      <c r="I201" s="82">
        <v>998</v>
      </c>
      <c r="J201" s="82">
        <v>0</v>
      </c>
      <c r="K201" s="82">
        <v>0</v>
      </c>
      <c r="L201" s="82">
        <v>674</v>
      </c>
      <c r="M201" s="82">
        <v>43</v>
      </c>
      <c r="N201" s="82">
        <v>386</v>
      </c>
      <c r="O201" s="82">
        <v>0</v>
      </c>
      <c r="P201" s="82">
        <v>1103</v>
      </c>
      <c r="Q201" s="177">
        <v>96.10154125113327</v>
      </c>
      <c r="R201" s="82">
        <v>266</v>
      </c>
      <c r="S201" s="177">
        <v>24.116047144152311</v>
      </c>
      <c r="T201" s="82">
        <v>47</v>
      </c>
      <c r="U201" s="82">
        <v>50</v>
      </c>
      <c r="V201" s="82">
        <v>140</v>
      </c>
      <c r="W201" s="163"/>
      <c r="X201" s="163"/>
      <c r="Y201" s="163"/>
      <c r="Z201" s="337"/>
    </row>
    <row r="202" spans="2:26" ht="9.9499999999999993" customHeight="1" x14ac:dyDescent="0.15">
      <c r="B202" s="168">
        <v>38078</v>
      </c>
      <c r="C202" s="163" t="s">
        <v>225</v>
      </c>
      <c r="D202" s="163" t="s">
        <v>312</v>
      </c>
      <c r="E202" s="163" t="s">
        <v>313</v>
      </c>
      <c r="F202" s="82">
        <v>9421</v>
      </c>
      <c r="G202" s="82">
        <v>9421</v>
      </c>
      <c r="H202" s="82">
        <v>2642</v>
      </c>
      <c r="I202" s="82">
        <v>2378</v>
      </c>
      <c r="J202" s="82">
        <v>0</v>
      </c>
      <c r="K202" s="82">
        <v>0</v>
      </c>
      <c r="L202" s="82">
        <v>1904</v>
      </c>
      <c r="M202" s="82">
        <v>59</v>
      </c>
      <c r="N202" s="82">
        <v>679</v>
      </c>
      <c r="O202" s="82">
        <v>0</v>
      </c>
      <c r="P202" s="82">
        <v>2642</v>
      </c>
      <c r="Q202" s="177">
        <v>97.766843300529899</v>
      </c>
      <c r="R202" s="82">
        <v>432</v>
      </c>
      <c r="S202" s="177">
        <v>16.351249053747161</v>
      </c>
      <c r="T202" s="82">
        <v>130</v>
      </c>
      <c r="U202" s="82">
        <v>103</v>
      </c>
      <c r="V202" s="82">
        <v>292</v>
      </c>
      <c r="W202" s="163"/>
      <c r="X202" s="163"/>
      <c r="Y202" s="163"/>
      <c r="Z202" s="337"/>
    </row>
    <row r="203" spans="2:26" ht="9.9499999999999993" customHeight="1" x14ac:dyDescent="0.15">
      <c r="B203" s="168">
        <v>38078</v>
      </c>
      <c r="C203" s="163" t="s">
        <v>225</v>
      </c>
      <c r="D203" s="163" t="s">
        <v>314</v>
      </c>
      <c r="E203" s="163" t="s">
        <v>315</v>
      </c>
      <c r="F203" s="82">
        <v>4227</v>
      </c>
      <c r="G203" s="82">
        <v>4227</v>
      </c>
      <c r="H203" s="82">
        <v>1145</v>
      </c>
      <c r="I203" s="82">
        <v>904</v>
      </c>
      <c r="J203" s="82">
        <v>0</v>
      </c>
      <c r="K203" s="82">
        <v>0</v>
      </c>
      <c r="L203" s="82">
        <v>685</v>
      </c>
      <c r="M203" s="82">
        <v>32</v>
      </c>
      <c r="N203" s="82">
        <v>428</v>
      </c>
      <c r="O203" s="82">
        <v>0</v>
      </c>
      <c r="P203" s="82">
        <v>1145</v>
      </c>
      <c r="Q203" s="177">
        <v>97.205240174672497</v>
      </c>
      <c r="R203" s="82">
        <v>261</v>
      </c>
      <c r="S203" s="177">
        <v>22.79475982532751</v>
      </c>
      <c r="T203" s="82">
        <v>50</v>
      </c>
      <c r="U203" s="82">
        <v>68</v>
      </c>
      <c r="V203" s="82">
        <v>150</v>
      </c>
      <c r="W203" s="163"/>
      <c r="X203" s="163"/>
      <c r="Y203" s="163"/>
      <c r="Z203" s="337"/>
    </row>
    <row r="204" spans="2:26" ht="9.9499999999999993" customHeight="1" x14ac:dyDescent="0.15">
      <c r="B204" s="168">
        <v>38443</v>
      </c>
      <c r="C204" s="163" t="s">
        <v>226</v>
      </c>
      <c r="D204" s="163" t="s">
        <v>330</v>
      </c>
      <c r="E204" s="163" t="s">
        <v>331</v>
      </c>
      <c r="F204" s="82">
        <v>91195</v>
      </c>
      <c r="G204" s="82">
        <v>91195</v>
      </c>
      <c r="H204" s="82">
        <v>24951</v>
      </c>
      <c r="I204" s="82">
        <v>21288</v>
      </c>
      <c r="J204" s="82">
        <v>0</v>
      </c>
      <c r="K204" s="82">
        <v>130</v>
      </c>
      <c r="L204" s="82">
        <v>17032</v>
      </c>
      <c r="M204" s="82">
        <v>580</v>
      </c>
      <c r="N204" s="82">
        <v>7209</v>
      </c>
      <c r="O204" s="82">
        <v>0</v>
      </c>
      <c r="P204" s="82">
        <v>24821</v>
      </c>
      <c r="Q204" s="177">
        <v>97.663269006083553</v>
      </c>
      <c r="R204" s="82">
        <v>4331</v>
      </c>
      <c r="S204" s="177">
        <v>17.879042924131298</v>
      </c>
      <c r="T204" s="82">
        <v>1148</v>
      </c>
      <c r="U204" s="82">
        <v>1196</v>
      </c>
      <c r="V204" s="82">
        <v>2924</v>
      </c>
      <c r="W204" s="163"/>
      <c r="X204" s="163"/>
      <c r="Y204" s="163"/>
      <c r="Z204" s="337"/>
    </row>
    <row r="205" spans="2:26" ht="9.9499999999999993" customHeight="1" x14ac:dyDescent="0.15">
      <c r="B205" s="168">
        <v>38808</v>
      </c>
      <c r="C205" s="163" t="s">
        <v>227</v>
      </c>
      <c r="D205" s="163" t="s">
        <v>330</v>
      </c>
      <c r="E205" s="163" t="s">
        <v>331</v>
      </c>
      <c r="F205" s="82">
        <v>90570</v>
      </c>
      <c r="G205" s="82">
        <v>90570</v>
      </c>
      <c r="H205" s="82">
        <v>24392</v>
      </c>
      <c r="I205" s="82">
        <v>20711</v>
      </c>
      <c r="J205" s="82">
        <v>0</v>
      </c>
      <c r="K205" s="82">
        <v>115</v>
      </c>
      <c r="L205" s="82">
        <v>16782</v>
      </c>
      <c r="M205" s="82">
        <v>515</v>
      </c>
      <c r="N205" s="82">
        <v>6980</v>
      </c>
      <c r="O205" s="82">
        <v>0</v>
      </c>
      <c r="P205" s="82">
        <v>24277</v>
      </c>
      <c r="Q205" s="177">
        <v>97.87865057461795</v>
      </c>
      <c r="R205" s="82">
        <v>4022</v>
      </c>
      <c r="S205" s="177">
        <v>16.960478845523124</v>
      </c>
      <c r="T205" s="82">
        <v>1145</v>
      </c>
      <c r="U205" s="82">
        <v>1152</v>
      </c>
      <c r="V205" s="82">
        <v>2812</v>
      </c>
      <c r="W205" s="163"/>
      <c r="X205" s="163"/>
      <c r="Y205" s="163"/>
      <c r="Z205" s="337"/>
    </row>
    <row r="206" spans="2:26" ht="9.9499999999999993" customHeight="1" x14ac:dyDescent="0.15">
      <c r="B206" s="168">
        <v>39173</v>
      </c>
      <c r="C206" s="163" t="s">
        <v>228</v>
      </c>
      <c r="D206" s="163" t="s">
        <v>330</v>
      </c>
      <c r="E206" s="163" t="s">
        <v>331</v>
      </c>
      <c r="F206" s="82">
        <v>89342</v>
      </c>
      <c r="G206" s="82">
        <v>89342</v>
      </c>
      <c r="H206" s="82">
        <v>23969</v>
      </c>
      <c r="I206" s="82">
        <v>20435</v>
      </c>
      <c r="J206" s="82">
        <v>0</v>
      </c>
      <c r="K206" s="82">
        <v>130</v>
      </c>
      <c r="L206" s="82">
        <v>16887</v>
      </c>
      <c r="M206" s="82">
        <v>526</v>
      </c>
      <c r="N206" s="82">
        <v>6399</v>
      </c>
      <c r="O206" s="82">
        <v>27</v>
      </c>
      <c r="P206" s="82">
        <v>23839</v>
      </c>
      <c r="Q206" s="177">
        <v>97.793531607869454</v>
      </c>
      <c r="R206" s="82">
        <v>3773</v>
      </c>
      <c r="S206" s="177">
        <v>16.39617839709625</v>
      </c>
      <c r="T206" s="82">
        <v>1124</v>
      </c>
      <c r="U206" s="82">
        <v>1029</v>
      </c>
      <c r="V206" s="82">
        <v>2679</v>
      </c>
      <c r="W206" s="163"/>
      <c r="X206" s="163"/>
      <c r="Y206" s="163"/>
      <c r="Z206" s="337"/>
    </row>
    <row r="207" spans="2:26" ht="9.9499999999999993" customHeight="1" x14ac:dyDescent="0.15">
      <c r="B207" s="168">
        <v>39539</v>
      </c>
      <c r="C207" s="163" t="s">
        <v>229</v>
      </c>
      <c r="D207" s="163" t="s">
        <v>330</v>
      </c>
      <c r="E207" s="163" t="s">
        <v>331</v>
      </c>
      <c r="F207" s="82">
        <v>88064</v>
      </c>
      <c r="G207" s="82">
        <v>88064</v>
      </c>
      <c r="H207" s="82">
        <v>22854</v>
      </c>
      <c r="I207" s="82">
        <v>19382</v>
      </c>
      <c r="J207" s="82">
        <v>0</v>
      </c>
      <c r="K207" s="82">
        <v>153</v>
      </c>
      <c r="L207" s="82">
        <v>16588</v>
      </c>
      <c r="M207" s="82">
        <v>576</v>
      </c>
      <c r="N207" s="82">
        <v>5505</v>
      </c>
      <c r="O207" s="82">
        <v>32</v>
      </c>
      <c r="P207" s="82">
        <v>22701</v>
      </c>
      <c r="Q207" s="177">
        <v>97.462666842870362</v>
      </c>
      <c r="R207" s="82">
        <v>3201</v>
      </c>
      <c r="S207" s="177">
        <v>14.815787170735975</v>
      </c>
      <c r="T207" s="82">
        <v>1082</v>
      </c>
      <c r="U207" s="82">
        <v>963</v>
      </c>
      <c r="V207" s="82">
        <v>2621</v>
      </c>
      <c r="W207" s="163"/>
      <c r="X207" s="163"/>
      <c r="Y207" s="163"/>
      <c r="Z207" s="337"/>
    </row>
    <row r="208" spans="2:26" ht="9.9499999999999993" customHeight="1" x14ac:dyDescent="0.15">
      <c r="B208" s="168">
        <v>39904</v>
      </c>
      <c r="C208" s="163" t="s">
        <v>230</v>
      </c>
      <c r="D208" s="163" t="s">
        <v>330</v>
      </c>
      <c r="E208" s="163" t="s">
        <v>331</v>
      </c>
      <c r="F208" s="82">
        <v>87245</v>
      </c>
      <c r="G208" s="82">
        <v>87245</v>
      </c>
      <c r="H208" s="82">
        <v>22682</v>
      </c>
      <c r="I208" s="82">
        <v>19108</v>
      </c>
      <c r="J208" s="82">
        <v>0</v>
      </c>
      <c r="K208" s="82">
        <v>169</v>
      </c>
      <c r="L208" s="82">
        <v>16588</v>
      </c>
      <c r="M208" s="82">
        <v>441</v>
      </c>
      <c r="N208" s="82">
        <v>5450</v>
      </c>
      <c r="O208" s="82">
        <v>34</v>
      </c>
      <c r="P208" s="82">
        <v>22513</v>
      </c>
      <c r="Q208" s="177">
        <v>98.041131790521035</v>
      </c>
      <c r="R208" s="82">
        <v>3068</v>
      </c>
      <c r="S208" s="177">
        <v>14.421126884754432</v>
      </c>
      <c r="T208" s="82">
        <v>1168</v>
      </c>
      <c r="U208" s="82">
        <v>861</v>
      </c>
      <c r="V208" s="82">
        <v>2470</v>
      </c>
      <c r="W208" s="163"/>
      <c r="X208" s="163"/>
      <c r="Y208" s="163"/>
      <c r="Z208" s="337"/>
    </row>
    <row r="209" spans="2:26" ht="9.9499999999999993" customHeight="1" x14ac:dyDescent="0.15">
      <c r="B209" s="168">
        <v>40269</v>
      </c>
      <c r="C209" s="163" t="s">
        <v>231</v>
      </c>
      <c r="D209" s="163" t="s">
        <v>330</v>
      </c>
      <c r="E209" s="163" t="s">
        <v>331</v>
      </c>
      <c r="F209" s="82">
        <v>86254</v>
      </c>
      <c r="G209" s="82">
        <v>86254</v>
      </c>
      <c r="H209" s="82">
        <v>23915</v>
      </c>
      <c r="I209" s="82">
        <v>18921</v>
      </c>
      <c r="J209" s="82">
        <v>0</v>
      </c>
      <c r="K209" s="82">
        <v>189</v>
      </c>
      <c r="L209" s="82">
        <v>16534</v>
      </c>
      <c r="M209" s="82">
        <v>493</v>
      </c>
      <c r="N209" s="82">
        <v>4991</v>
      </c>
      <c r="O209" s="82">
        <v>1708</v>
      </c>
      <c r="P209" s="82">
        <v>23726</v>
      </c>
      <c r="Q209" s="177">
        <v>97.922110764562092</v>
      </c>
      <c r="R209" s="82">
        <v>2927</v>
      </c>
      <c r="S209" s="177">
        <v>20.171440518503029</v>
      </c>
      <c r="T209" s="82">
        <v>1401</v>
      </c>
      <c r="U209" s="82">
        <v>873</v>
      </c>
      <c r="V209" s="82">
        <v>2767</v>
      </c>
      <c r="W209" s="163"/>
      <c r="X209" s="163"/>
      <c r="Y209" s="163"/>
      <c r="Z209" s="337"/>
    </row>
    <row r="210" spans="2:26" ht="9.9499999999999993" customHeight="1" x14ac:dyDescent="0.15">
      <c r="B210" s="168">
        <v>40634</v>
      </c>
      <c r="C210" s="163" t="s">
        <v>232</v>
      </c>
      <c r="D210" s="163" t="s">
        <v>330</v>
      </c>
      <c r="E210" s="163" t="s">
        <v>331</v>
      </c>
      <c r="F210" s="82">
        <v>85795</v>
      </c>
      <c r="G210" s="82">
        <v>85795</v>
      </c>
      <c r="H210" s="82">
        <v>24428</v>
      </c>
      <c r="I210" s="82">
        <v>18168</v>
      </c>
      <c r="J210" s="82">
        <v>6084</v>
      </c>
      <c r="K210" s="82">
        <v>176</v>
      </c>
      <c r="L210" s="82">
        <v>18241</v>
      </c>
      <c r="M210" s="82">
        <v>577</v>
      </c>
      <c r="N210" s="82">
        <v>5402</v>
      </c>
      <c r="O210" s="82">
        <v>32</v>
      </c>
      <c r="P210" s="82">
        <v>24252</v>
      </c>
      <c r="Q210" s="177">
        <v>97.620814778162625</v>
      </c>
      <c r="R210" s="82">
        <v>3536</v>
      </c>
      <c r="S210" s="177">
        <v>15.326674308170951</v>
      </c>
      <c r="T210" s="82">
        <v>1672</v>
      </c>
      <c r="U210" s="82">
        <v>1250</v>
      </c>
      <c r="V210" s="82">
        <v>3499</v>
      </c>
      <c r="W210" s="163"/>
      <c r="X210" s="163"/>
      <c r="Y210" s="163"/>
      <c r="Z210" s="337"/>
    </row>
    <row r="211" spans="2:26" ht="9.9499999999999993" customHeight="1" x14ac:dyDescent="0.15">
      <c r="B211" s="168">
        <v>41000</v>
      </c>
      <c r="C211" s="163" t="s">
        <v>332</v>
      </c>
      <c r="D211" s="163" t="s">
        <v>330</v>
      </c>
      <c r="E211" s="163" t="s">
        <v>331</v>
      </c>
      <c r="F211" s="82">
        <v>85337</v>
      </c>
      <c r="G211" s="82">
        <v>85337</v>
      </c>
      <c r="H211" s="82">
        <v>24854</v>
      </c>
      <c r="I211" s="82">
        <v>21264</v>
      </c>
      <c r="J211" s="82">
        <v>0</v>
      </c>
      <c r="K211" s="82">
        <v>117</v>
      </c>
      <c r="L211" s="82">
        <v>18753</v>
      </c>
      <c r="M211" s="82">
        <v>515</v>
      </c>
      <c r="N211" s="82">
        <v>5434</v>
      </c>
      <c r="O211" s="82">
        <v>35</v>
      </c>
      <c r="P211" s="82">
        <v>24737</v>
      </c>
      <c r="Q211" s="177">
        <v>97.91809839511663</v>
      </c>
      <c r="R211" s="82">
        <v>3253</v>
      </c>
      <c r="S211" s="177">
        <v>13.700008046994446</v>
      </c>
      <c r="T211" s="82">
        <v>1663</v>
      </c>
      <c r="U211" s="82">
        <v>774</v>
      </c>
      <c r="V211" s="82">
        <v>2952</v>
      </c>
      <c r="W211" s="163"/>
      <c r="X211" s="163"/>
      <c r="Y211" s="163"/>
      <c r="Z211" s="337"/>
    </row>
    <row r="212" spans="2:26" ht="9.9499999999999993" customHeight="1" x14ac:dyDescent="0.15">
      <c r="B212" s="168">
        <v>41365</v>
      </c>
      <c r="C212" s="163" t="s">
        <v>333</v>
      </c>
      <c r="D212" s="163" t="s">
        <v>330</v>
      </c>
      <c r="E212" s="163" t="s">
        <v>331</v>
      </c>
      <c r="F212" s="82">
        <v>84583</v>
      </c>
      <c r="G212" s="82">
        <v>84583</v>
      </c>
      <c r="H212" s="82">
        <v>24703</v>
      </c>
      <c r="I212" s="82">
        <v>20912</v>
      </c>
      <c r="J212" s="82">
        <v>0</v>
      </c>
      <c r="K212" s="82">
        <v>107</v>
      </c>
      <c r="L212" s="82">
        <v>18500</v>
      </c>
      <c r="M212" s="82">
        <v>408</v>
      </c>
      <c r="N212" s="82">
        <v>5655</v>
      </c>
      <c r="O212" s="82">
        <v>33</v>
      </c>
      <c r="P212" s="82">
        <v>24596</v>
      </c>
      <c r="Q212" s="177">
        <v>98.341193690030906</v>
      </c>
      <c r="R212" s="82">
        <v>66</v>
      </c>
      <c r="S212" s="177">
        <v>0.83390681293769986</v>
      </c>
      <c r="T212" s="82">
        <v>1174</v>
      </c>
      <c r="U212" s="82">
        <v>815</v>
      </c>
      <c r="V212" s="82">
        <v>2397</v>
      </c>
      <c r="W212" s="163"/>
      <c r="X212" s="163"/>
      <c r="Y212" s="163"/>
      <c r="Z212" s="337"/>
    </row>
    <row r="213" spans="2:26" ht="9.9499999999999993" customHeight="1" x14ac:dyDescent="0.15">
      <c r="B213" s="168">
        <v>41730</v>
      </c>
      <c r="C213" s="163" t="s">
        <v>233</v>
      </c>
      <c r="D213" s="163" t="s">
        <v>330</v>
      </c>
      <c r="E213" s="163" t="s">
        <v>331</v>
      </c>
      <c r="F213" s="82">
        <v>83758</v>
      </c>
      <c r="G213" s="82">
        <v>83758</v>
      </c>
      <c r="H213" s="82">
        <v>24825</v>
      </c>
      <c r="I213" s="82">
        <v>21083</v>
      </c>
      <c r="J213" s="82">
        <v>0</v>
      </c>
      <c r="K213" s="82">
        <v>94</v>
      </c>
      <c r="L213" s="82">
        <v>19498</v>
      </c>
      <c r="M213" s="82">
        <v>403</v>
      </c>
      <c r="N213" s="82">
        <v>4797</v>
      </c>
      <c r="O213" s="82">
        <v>33</v>
      </c>
      <c r="P213" s="82">
        <v>24731</v>
      </c>
      <c r="Q213" s="177">
        <v>98.370466216489433</v>
      </c>
      <c r="R213" s="82">
        <v>68</v>
      </c>
      <c r="S213" s="177">
        <v>0.78549848942598199</v>
      </c>
      <c r="T213" s="82">
        <v>1278</v>
      </c>
      <c r="U213" s="82">
        <v>772</v>
      </c>
      <c r="V213" s="82">
        <v>2453</v>
      </c>
      <c r="W213" s="163"/>
      <c r="X213" s="163"/>
      <c r="Y213" s="163"/>
      <c r="Z213" s="337"/>
    </row>
    <row r="214" spans="2:26" ht="9.9499999999999993" customHeight="1" x14ac:dyDescent="0.15">
      <c r="B214" s="168">
        <v>42095</v>
      </c>
      <c r="C214" s="163" t="s">
        <v>234</v>
      </c>
      <c r="D214" s="163" t="s">
        <v>330</v>
      </c>
      <c r="E214" s="163" t="s">
        <v>331</v>
      </c>
      <c r="F214" s="82">
        <v>83007</v>
      </c>
      <c r="G214" s="82">
        <v>83007</v>
      </c>
      <c r="H214" s="82">
        <v>24526</v>
      </c>
      <c r="I214" s="82">
        <v>21127</v>
      </c>
      <c r="J214" s="82">
        <v>0</v>
      </c>
      <c r="K214" s="82">
        <v>90</v>
      </c>
      <c r="L214" s="82">
        <v>18887</v>
      </c>
      <c r="M214" s="82">
        <v>513</v>
      </c>
      <c r="N214" s="82">
        <v>5255</v>
      </c>
      <c r="O214" s="82">
        <v>33</v>
      </c>
      <c r="P214" s="82">
        <v>24688</v>
      </c>
      <c r="Q214" s="177">
        <v>97.922067401166558</v>
      </c>
      <c r="R214" s="82">
        <v>74</v>
      </c>
      <c r="S214" s="177">
        <v>0.79506013398982966</v>
      </c>
      <c r="T214" s="82">
        <v>1201</v>
      </c>
      <c r="U214" s="82">
        <v>678</v>
      </c>
      <c r="V214" s="82">
        <v>2392</v>
      </c>
      <c r="W214" s="163"/>
      <c r="X214" s="163"/>
      <c r="Y214" s="163"/>
      <c r="Z214" s="82">
        <v>3309</v>
      </c>
    </row>
    <row r="215" spans="2:26" ht="9.9499999999999993" customHeight="1" x14ac:dyDescent="0.15">
      <c r="B215" s="168">
        <v>42461</v>
      </c>
      <c r="C215" s="163" t="s">
        <v>235</v>
      </c>
      <c r="D215" s="163" t="s">
        <v>330</v>
      </c>
      <c r="E215" s="163" t="s">
        <v>331</v>
      </c>
      <c r="F215" s="82">
        <v>82230</v>
      </c>
      <c r="G215" s="82">
        <v>82230</v>
      </c>
      <c r="H215" s="82">
        <v>24369</v>
      </c>
      <c r="I215" s="82">
        <v>20953</v>
      </c>
      <c r="J215" s="82">
        <v>0</v>
      </c>
      <c r="K215" s="82">
        <v>94</v>
      </c>
      <c r="L215" s="82">
        <v>19078</v>
      </c>
      <c r="M215" s="82">
        <v>291</v>
      </c>
      <c r="N215" s="82">
        <v>4873</v>
      </c>
      <c r="O215" s="82">
        <v>35</v>
      </c>
      <c r="P215" s="82">
        <v>24277</v>
      </c>
      <c r="Q215" s="177">
        <v>98.801334596531703</v>
      </c>
      <c r="R215" s="82">
        <v>73</v>
      </c>
      <c r="S215" s="177">
        <v>0.82885396577899972</v>
      </c>
      <c r="T215" s="82">
        <v>1210</v>
      </c>
      <c r="U215" s="82">
        <v>654</v>
      </c>
      <c r="V215" s="82">
        <v>2155</v>
      </c>
      <c r="W215" s="163"/>
      <c r="X215" s="163"/>
      <c r="Y215" s="163"/>
      <c r="Z215" s="82">
        <v>3322</v>
      </c>
    </row>
    <row r="216" spans="2:26" ht="9.9499999999999993" customHeight="1" x14ac:dyDescent="0.15">
      <c r="B216" s="168">
        <v>42826</v>
      </c>
      <c r="C216" s="163" t="s">
        <v>541</v>
      </c>
      <c r="D216" s="163" t="s">
        <v>330</v>
      </c>
      <c r="E216" s="163" t="s">
        <v>331</v>
      </c>
      <c r="F216" s="82">
        <v>81280</v>
      </c>
      <c r="G216" s="82">
        <v>81280</v>
      </c>
      <c r="H216" s="82">
        <f t="shared" ref="H216" si="0">I216+Z216+K216</f>
        <v>24536</v>
      </c>
      <c r="I216" s="82">
        <v>21000</v>
      </c>
      <c r="J216" s="82">
        <v>0</v>
      </c>
      <c r="K216" s="82">
        <v>85</v>
      </c>
      <c r="L216" s="82">
        <v>19169</v>
      </c>
      <c r="M216" s="82">
        <v>297</v>
      </c>
      <c r="N216" s="82">
        <v>4949</v>
      </c>
      <c r="O216" s="82">
        <v>36</v>
      </c>
      <c r="P216" s="82">
        <f t="shared" ref="P216" si="1">L216+M216+N216+O216</f>
        <v>24451</v>
      </c>
      <c r="Q216" s="177">
        <f t="shared" ref="Q216" si="2">(L216+N216+O216)/P216*100</f>
        <v>98.785325753547909</v>
      </c>
      <c r="R216" s="82">
        <v>2358</v>
      </c>
      <c r="S216" s="177">
        <f t="shared" ref="S216" si="3">(O216+R216+K216)/(P216+K216)*100</f>
        <v>10.103521356374307</v>
      </c>
      <c r="T216" s="82">
        <v>1283</v>
      </c>
      <c r="U216" s="82">
        <v>669</v>
      </c>
      <c r="V216" s="82">
        <f t="shared" ref="V216" si="4">M216+T216+U216</f>
        <v>2249</v>
      </c>
      <c r="W216" s="163"/>
      <c r="X216" s="163"/>
      <c r="Y216" s="163"/>
      <c r="Z216" s="82">
        <v>3451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32</vt:i4>
      </vt:variant>
    </vt:vector>
  </HeadingPairs>
  <TitlesOfParts>
    <vt:vector size="38" baseType="lpstr">
      <vt:lpstr>まとめ</vt:lpstr>
      <vt:lpstr>月間量回帰式</vt:lpstr>
      <vt:lpstr>濃度回帰式</vt:lpstr>
      <vt:lpstr>元表</vt:lpstr>
      <vt:lpstr>作業途中</vt:lpstr>
      <vt:lpstr>一廃実調</vt:lpstr>
      <vt:lpstr>Cs134Av</vt:lpstr>
      <vt:lpstr>Cs137Av</vt:lpstr>
      <vt:lpstr>濃度回帰式!下駄1</vt:lpstr>
      <vt:lpstr>下駄1</vt:lpstr>
      <vt:lpstr>下駄2</vt:lpstr>
      <vt:lpstr>月</vt:lpstr>
      <vt:lpstr>月値割合表</vt:lpstr>
      <vt:lpstr>月別割合</vt:lpstr>
      <vt:lpstr>採取日1</vt:lpstr>
      <vt:lpstr>採取日2</vt:lpstr>
      <vt:lpstr>事故日</vt:lpstr>
      <vt:lpstr>濃度回帰式!事故日の濃度1</vt:lpstr>
      <vt:lpstr>事故日の濃度1</vt:lpstr>
      <vt:lpstr>事故日の濃度2</vt:lpstr>
      <vt:lpstr>主灰発生率</vt:lpstr>
      <vt:lpstr>濃度回帰式!除数11</vt:lpstr>
      <vt:lpstr>除数11</vt:lpstr>
      <vt:lpstr>除数12</vt:lpstr>
      <vt:lpstr>除数21</vt:lpstr>
      <vt:lpstr>除数22</vt:lpstr>
      <vt:lpstr>焼却_t_年</vt:lpstr>
      <vt:lpstr>調査初日</vt:lpstr>
      <vt:lpstr>年度</vt:lpstr>
      <vt:lpstr>年度別焼却量</vt:lpstr>
      <vt:lpstr>濃度比</vt:lpstr>
      <vt:lpstr>濃度回帰式!半1</vt:lpstr>
      <vt:lpstr>半1</vt:lpstr>
      <vt:lpstr>半2</vt:lpstr>
      <vt:lpstr>半Cs134</vt:lpstr>
      <vt:lpstr>半Cs137</vt:lpstr>
      <vt:lpstr>半I131</vt:lpstr>
      <vt:lpstr>飛灰発生率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2019-04-21T12:24:18Z</dcterms:created>
  <dcterms:modified xsi:type="dcterms:W3CDTF">2019-12-17T23:40:31Z</dcterms:modified>
</cp:coreProperties>
</file>