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185" yWindow="4590" windowWidth="7200" windowHeight="4605"/>
  </bookViews>
  <sheets>
    <sheet name="まとめ" sheetId="1" r:id="rId1"/>
    <sheet name="作業途中" sheetId="3" r:id="rId2"/>
    <sheet name="元表" sheetId="2" r:id="rId3"/>
    <sheet name="月間量回帰式" sheetId="5" r:id="rId4"/>
    <sheet name="濃度回帰式" sheetId="6" r:id="rId5"/>
    <sheet name="一廃実調" sheetId="4" r:id="rId6"/>
  </sheets>
  <externalReferences>
    <externalReference r:id="rId7"/>
  </externalReferences>
  <definedNames>
    <definedName name="Cs134Av">まとめ!$AG$10</definedName>
    <definedName name="Cs137Av">まとめ!$AH$10</definedName>
    <definedName name="h23計">[1]ごみし尿受入量!$Y$20</definedName>
    <definedName name="h24計">[1]ごみし尿受入量!$X$20</definedName>
    <definedName name="h25計">[1]ごみし尿受入量!$W$20</definedName>
    <definedName name="h26計">[1]ごみし尿受入量!$V$20</definedName>
    <definedName name="スラグ生成率">[1]まとめ!$AJ$7</definedName>
    <definedName name="ロス率">[1]まとめ!$X$7</definedName>
    <definedName name="下駄1" localSheetId="4">濃度回帰式!$M$51</definedName>
    <definedName name="下駄1">まとめ!$O$34</definedName>
    <definedName name="下駄2">濃度回帰式!$P$51</definedName>
    <definedName name="灰生成率">[1]まとめ!$AD$7</definedName>
    <definedName name="月">まとめ!$R$7:$R$19</definedName>
    <definedName name="月値割合表">まとめ!$R$7:$S$19</definedName>
    <definedName name="月値割合表2">作業途中!$P$4:$Q$16</definedName>
    <definedName name="月別割合">まとめ!$R$7:$S$19</definedName>
    <definedName name="採取日1">まとめ!$AE$8</definedName>
    <definedName name="採取日2">まとめ!$AE$9</definedName>
    <definedName name="四y平均">[1]ごみし尿受入量!$U$20</definedName>
    <definedName name="事故日" localSheetId="4">[1]まとめ!$S$15</definedName>
    <definedName name="事故日">まとめ!$R$32</definedName>
    <definedName name="事故日の濃度1" localSheetId="4">濃度回帰式!$M$52</definedName>
    <definedName name="事故日の濃度1">まとめ!$O$35</definedName>
    <definedName name="事故日の濃度2">濃度回帰式!$P$52</definedName>
    <definedName name="主灰発生率">まとめ!$Z$18</definedName>
    <definedName name="除数11" localSheetId="4">濃度回帰式!$M$50</definedName>
    <definedName name="除数11">まとめ!$O$33</definedName>
    <definedName name="除数12">濃度回帰式!$M$53</definedName>
    <definedName name="除数21">濃度回帰式!$P$50</definedName>
    <definedName name="除数22">濃度回帰式!$P$53</definedName>
    <definedName name="焼却_t_年">まとめ!$X$7:$X$15</definedName>
    <definedName name="調査初日" localSheetId="4">[1]まとめ!$S$16</definedName>
    <definedName name="調査初日">まとめ!$R$33</definedName>
    <definedName name="調査初日134">[1]まとめ!$AQ$16</definedName>
    <definedName name="調査初日137">[1]まとめ!$AR$16</definedName>
    <definedName name="年度">まとめ!$W$7:$W$15</definedName>
    <definedName name="年度別焼却量">まとめ!$W$7:$X$15</definedName>
    <definedName name="年度別焼却量2">作業途中!$R$4:$S$12</definedName>
    <definedName name="濃度比">まとめ!$AB$13</definedName>
    <definedName name="半1" localSheetId="4">濃度回帰式!$M$49</definedName>
    <definedName name="半1">まとめ!$O$32</definedName>
    <definedName name="半2">濃度回帰式!$P$49</definedName>
    <definedName name="半Cs134" localSheetId="4">[1]まとめ!$AM$7</definedName>
    <definedName name="半Cs134">まとめ!$AF$28</definedName>
    <definedName name="半Cs137" localSheetId="4">[1]まとめ!$AN$7</definedName>
    <definedName name="半Cs137">まとめ!$AG$28</definedName>
    <definedName name="半I131" localSheetId="4">[1]まとめ!$AL$7</definedName>
    <definedName name="半I131">まとめ!$AE$28</definedName>
    <definedName name="飛灰発生率">まとめ!$Z$17</definedName>
  </definedNames>
  <calcPr calcId="145621" refMode="R1C1"/>
</workbook>
</file>

<file path=xl/calcChain.xml><?xml version="1.0" encoding="utf-8"?>
<calcChain xmlns="http://schemas.openxmlformats.org/spreadsheetml/2006/main">
  <c r="AP119" i="1" l="1"/>
  <c r="AP118" i="1"/>
  <c r="AP117" i="1"/>
  <c r="AP116" i="1"/>
  <c r="AP115" i="1"/>
  <c r="AP114" i="1"/>
  <c r="AP113" i="1"/>
  <c r="AP112" i="1"/>
  <c r="AP111" i="1"/>
  <c r="AP110" i="1"/>
  <c r="AP109" i="1"/>
  <c r="AP108" i="1"/>
  <c r="AP107" i="1"/>
  <c r="AP106" i="1"/>
  <c r="AP105" i="1"/>
  <c r="AP104" i="1"/>
  <c r="AP103" i="1"/>
  <c r="AP102" i="1"/>
  <c r="AP101" i="1"/>
  <c r="AP100" i="1"/>
  <c r="AP99" i="1"/>
  <c r="AP98" i="1"/>
  <c r="AP97" i="1"/>
  <c r="AP96" i="1"/>
  <c r="AP95" i="1"/>
  <c r="AP94" i="1"/>
  <c r="AP93" i="1"/>
  <c r="AP92" i="1"/>
  <c r="AP91" i="1"/>
  <c r="AP90" i="1"/>
  <c r="AP89" i="1"/>
  <c r="AP88" i="1"/>
  <c r="AP87" i="1"/>
  <c r="AP86" i="1"/>
  <c r="AP85" i="1"/>
  <c r="AP84" i="1"/>
  <c r="AP83" i="1"/>
  <c r="AP82" i="1"/>
  <c r="AP81" i="1"/>
  <c r="AP80" i="1"/>
  <c r="AP79" i="1"/>
  <c r="AP78" i="1"/>
  <c r="AP77" i="1"/>
  <c r="AP76" i="1"/>
  <c r="AP75" i="1"/>
  <c r="AP74" i="1"/>
  <c r="AP73" i="1"/>
  <c r="AP72" i="1"/>
  <c r="AP71" i="1"/>
  <c r="AP70" i="1"/>
  <c r="AP69" i="1"/>
  <c r="AP68" i="1"/>
  <c r="AP67" i="1"/>
  <c r="AP66" i="1"/>
  <c r="AP65" i="1"/>
  <c r="AP64" i="1"/>
  <c r="AP63" i="1"/>
  <c r="AP62" i="1"/>
  <c r="AP61" i="1"/>
  <c r="AP60" i="1"/>
  <c r="AP59" i="1"/>
  <c r="AP58" i="1"/>
  <c r="AP57" i="1"/>
  <c r="AP56" i="1"/>
  <c r="AP55" i="1"/>
  <c r="AP54" i="1"/>
  <c r="AP53" i="1"/>
  <c r="AP52" i="1"/>
  <c r="AP51" i="1"/>
  <c r="AP50" i="1"/>
  <c r="AP49" i="1"/>
  <c r="AP48" i="1"/>
  <c r="AP47" i="1"/>
  <c r="AP46" i="1"/>
  <c r="AP45" i="1"/>
  <c r="AP44" i="1"/>
  <c r="AP43" i="1"/>
  <c r="AP42" i="1"/>
  <c r="AP41" i="1"/>
  <c r="AP40" i="1"/>
  <c r="AP39" i="1"/>
  <c r="AP38" i="1"/>
  <c r="AP37" i="1"/>
  <c r="AP35" i="1"/>
  <c r="AP34" i="1"/>
  <c r="AP33" i="1"/>
  <c r="AP36" i="1"/>
  <c r="P64" i="6" l="1"/>
  <c r="P65" i="6"/>
  <c r="P66" i="6"/>
  <c r="P67" i="6"/>
  <c r="P68" i="6"/>
  <c r="P69" i="6"/>
  <c r="P70" i="6"/>
  <c r="P71" i="6"/>
  <c r="P72" i="6"/>
  <c r="P73" i="6"/>
  <c r="P74" i="6"/>
  <c r="P75" i="6"/>
  <c r="P76" i="6"/>
  <c r="P77" i="6"/>
  <c r="P78" i="6"/>
  <c r="P79" i="6"/>
  <c r="P80" i="6"/>
  <c r="P81" i="6"/>
  <c r="P82" i="6"/>
  <c r="P83" i="6"/>
  <c r="P84" i="6"/>
  <c r="P85" i="6"/>
  <c r="P86" i="6"/>
  <c r="P87" i="6"/>
  <c r="P88" i="6"/>
  <c r="P89" i="6"/>
  <c r="P90" i="6"/>
  <c r="P91" i="6"/>
  <c r="P92" i="6"/>
  <c r="P93" i="6"/>
  <c r="P94" i="6"/>
  <c r="P95" i="6"/>
  <c r="P96" i="6"/>
  <c r="P97" i="6"/>
  <c r="P98" i="6"/>
  <c r="P99" i="6"/>
  <c r="P100" i="6"/>
  <c r="P101" i="6"/>
  <c r="P102" i="6"/>
  <c r="P103" i="6"/>
  <c r="P104" i="6"/>
  <c r="P105" i="6"/>
  <c r="P106" i="6"/>
  <c r="P107" i="6"/>
  <c r="P108" i="6"/>
  <c r="P109" i="6"/>
  <c r="P110" i="6"/>
  <c r="P111" i="6"/>
  <c r="P112" i="6"/>
  <c r="P113" i="6"/>
  <c r="P114" i="6"/>
  <c r="P115" i="6"/>
  <c r="P116" i="6"/>
  <c r="P117" i="6"/>
  <c r="P118" i="6"/>
  <c r="P119" i="6"/>
  <c r="P120" i="6"/>
  <c r="P121" i="6"/>
  <c r="P122" i="6"/>
  <c r="P123" i="6"/>
  <c r="P124" i="6"/>
  <c r="P125" i="6"/>
  <c r="P126" i="6"/>
  <c r="P127" i="6"/>
  <c r="P128" i="6"/>
  <c r="P129" i="6"/>
  <c r="P130" i="6"/>
  <c r="P131" i="6"/>
  <c r="P132" i="6"/>
  <c r="P133" i="6"/>
  <c r="P134" i="6"/>
  <c r="P135" i="6"/>
  <c r="P136" i="6"/>
  <c r="P137" i="6"/>
  <c r="P138" i="6"/>
  <c r="P139" i="6"/>
  <c r="P140" i="6"/>
  <c r="P141" i="6"/>
  <c r="P142" i="6"/>
  <c r="P143" i="6"/>
  <c r="P144" i="6"/>
  <c r="P145" i="6"/>
  <c r="P146" i="6"/>
  <c r="M64" i="6"/>
  <c r="M65" i="6"/>
  <c r="M66" i="6"/>
  <c r="M67" i="6"/>
  <c r="M68" i="6"/>
  <c r="M69" i="6"/>
  <c r="M70" i="6"/>
  <c r="M71" i="6"/>
  <c r="M72" i="6"/>
  <c r="M73" i="6"/>
  <c r="M74" i="6"/>
  <c r="M75" i="6"/>
  <c r="M76" i="6"/>
  <c r="M77" i="6"/>
  <c r="M78" i="6"/>
  <c r="M79" i="6"/>
  <c r="M80" i="6"/>
  <c r="M81" i="6"/>
  <c r="M82" i="6"/>
  <c r="M83" i="6"/>
  <c r="M84" i="6"/>
  <c r="M85" i="6"/>
  <c r="M86" i="6"/>
  <c r="M87" i="6"/>
  <c r="M88" i="6"/>
  <c r="M89" i="6"/>
  <c r="M90" i="6"/>
  <c r="M91" i="6"/>
  <c r="M92" i="6"/>
  <c r="M93" i="6"/>
  <c r="M94" i="6"/>
  <c r="M95" i="6"/>
  <c r="M96" i="6"/>
  <c r="M97" i="6"/>
  <c r="M98" i="6"/>
  <c r="M99" i="6"/>
  <c r="M100" i="6"/>
  <c r="M101" i="6"/>
  <c r="M102" i="6"/>
  <c r="M103" i="6"/>
  <c r="M104" i="6"/>
  <c r="M105" i="6"/>
  <c r="M106" i="6"/>
  <c r="M107" i="6"/>
  <c r="M108" i="6"/>
  <c r="M109" i="6"/>
  <c r="M110" i="6"/>
  <c r="M111" i="6"/>
  <c r="M112" i="6"/>
  <c r="M113" i="6"/>
  <c r="M114" i="6"/>
  <c r="M115" i="6"/>
  <c r="M116" i="6"/>
  <c r="M117" i="6"/>
  <c r="M118" i="6"/>
  <c r="M119" i="6"/>
  <c r="M120" i="6"/>
  <c r="M121" i="6"/>
  <c r="M122" i="6"/>
  <c r="M123" i="6"/>
  <c r="M124" i="6"/>
  <c r="M125" i="6"/>
  <c r="M126" i="6"/>
  <c r="M127" i="6"/>
  <c r="M128" i="6"/>
  <c r="M129" i="6"/>
  <c r="M130" i="6"/>
  <c r="M131" i="6"/>
  <c r="M132" i="6"/>
  <c r="M133" i="6"/>
  <c r="M134" i="6"/>
  <c r="M135" i="6"/>
  <c r="M136" i="6"/>
  <c r="M137" i="6"/>
  <c r="M138" i="6"/>
  <c r="M139" i="6"/>
  <c r="M140" i="6"/>
  <c r="M141" i="6"/>
  <c r="M142" i="6"/>
  <c r="M143" i="6"/>
  <c r="M144" i="6"/>
  <c r="M145" i="6"/>
  <c r="M146" i="6"/>
  <c r="P63" i="6"/>
  <c r="M63" i="6"/>
  <c r="P62" i="6"/>
  <c r="M62" i="6"/>
  <c r="S107" i="1" l="1"/>
  <c r="T107" i="1"/>
  <c r="S108" i="1"/>
  <c r="T108" i="1"/>
  <c r="S109" i="1"/>
  <c r="T109" i="1"/>
  <c r="S110" i="1"/>
  <c r="T110" i="1"/>
  <c r="S111" i="1"/>
  <c r="T111" i="1"/>
  <c r="S112" i="1"/>
  <c r="T112" i="1"/>
  <c r="S113" i="1"/>
  <c r="T113" i="1"/>
  <c r="S114" i="1"/>
  <c r="T114" i="1"/>
  <c r="S115" i="1"/>
  <c r="T115" i="1"/>
  <c r="S116" i="1"/>
  <c r="T116" i="1"/>
  <c r="S117" i="1"/>
  <c r="T117" i="1"/>
  <c r="S118" i="1"/>
  <c r="T118" i="1"/>
  <c r="S119" i="1"/>
  <c r="T119" i="1"/>
  <c r="T106" i="1"/>
  <c r="S106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103" i="1"/>
  <c r="S103" i="1"/>
  <c r="V6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2" i="3"/>
  <c r="V43" i="3"/>
  <c r="V44" i="3"/>
  <c r="V45" i="3"/>
  <c r="V46" i="3"/>
  <c r="V47" i="3"/>
  <c r="V48" i="3"/>
  <c r="V49" i="3"/>
  <c r="V50" i="3"/>
  <c r="V51" i="3"/>
  <c r="V52" i="3"/>
  <c r="V53" i="3"/>
  <c r="V54" i="3"/>
  <c r="V55" i="3"/>
  <c r="V56" i="3"/>
  <c r="V57" i="3"/>
  <c r="V58" i="3"/>
  <c r="V59" i="3"/>
  <c r="V60" i="3"/>
  <c r="V61" i="3"/>
  <c r="V62" i="3"/>
  <c r="V63" i="3"/>
  <c r="V64" i="3"/>
  <c r="V65" i="3"/>
  <c r="V66" i="3"/>
  <c r="V67" i="3"/>
  <c r="V68" i="3"/>
  <c r="V69" i="3"/>
  <c r="V70" i="3"/>
  <c r="V71" i="3"/>
  <c r="V72" i="3"/>
  <c r="V73" i="3"/>
  <c r="V74" i="3"/>
  <c r="V75" i="3"/>
  <c r="V76" i="3"/>
  <c r="V77" i="3"/>
  <c r="V78" i="3"/>
  <c r="V79" i="3"/>
  <c r="V80" i="3"/>
  <c r="V81" i="3"/>
  <c r="V82" i="3"/>
  <c r="V83" i="3"/>
  <c r="V84" i="3"/>
  <c r="V85" i="3"/>
  <c r="V86" i="3"/>
  <c r="V87" i="3"/>
  <c r="V88" i="3"/>
  <c r="V89" i="3"/>
  <c r="V90" i="3"/>
  <c r="V91" i="3"/>
  <c r="V92" i="3"/>
  <c r="V93" i="3"/>
  <c r="V94" i="3"/>
  <c r="V95" i="3"/>
  <c r="V96" i="3"/>
  <c r="V97" i="3"/>
  <c r="V98" i="3"/>
  <c r="V99" i="3"/>
  <c r="V100" i="3"/>
  <c r="V5" i="3"/>
  <c r="S12" i="3"/>
  <c r="H57" i="3"/>
  <c r="H48" i="3"/>
  <c r="H39" i="3"/>
  <c r="H30" i="3"/>
  <c r="H21" i="3"/>
  <c r="H12" i="3"/>
  <c r="I57" i="3"/>
  <c r="J57" i="3"/>
  <c r="J56" i="3"/>
  <c r="J55" i="3"/>
  <c r="J54" i="3"/>
  <c r="J53" i="3"/>
  <c r="K57" i="3" s="1"/>
  <c r="I48" i="3"/>
  <c r="J48" i="3"/>
  <c r="J47" i="3"/>
  <c r="J46" i="3"/>
  <c r="J45" i="3"/>
  <c r="J44" i="3"/>
  <c r="K48" i="3" s="1"/>
  <c r="I39" i="3"/>
  <c r="J39" i="3"/>
  <c r="J38" i="3"/>
  <c r="J37" i="3"/>
  <c r="J36" i="3"/>
  <c r="J35" i="3"/>
  <c r="K39" i="3" s="1"/>
  <c r="I30" i="3"/>
  <c r="J30" i="3"/>
  <c r="J29" i="3"/>
  <c r="J28" i="3"/>
  <c r="J27" i="3"/>
  <c r="J26" i="3"/>
  <c r="K30" i="3" s="1"/>
  <c r="I21" i="3"/>
  <c r="J21" i="3"/>
  <c r="J20" i="3"/>
  <c r="J19" i="3"/>
  <c r="J18" i="3"/>
  <c r="J17" i="3"/>
  <c r="K21" i="3" s="1"/>
  <c r="I12" i="3"/>
  <c r="J9" i="3"/>
  <c r="J10" i="3"/>
  <c r="J11" i="3"/>
  <c r="J12" i="3"/>
  <c r="J8" i="3"/>
  <c r="K12" i="3" s="1"/>
  <c r="M51" i="3"/>
  <c r="L51" i="3"/>
  <c r="M48" i="3"/>
  <c r="L48" i="3"/>
  <c r="M42" i="3"/>
  <c r="L42" i="3"/>
  <c r="M39" i="3"/>
  <c r="L39" i="3"/>
  <c r="M33" i="3"/>
  <c r="L33" i="3"/>
  <c r="M30" i="3"/>
  <c r="L30" i="3"/>
  <c r="M24" i="3"/>
  <c r="L24" i="3"/>
  <c r="M21" i="3"/>
  <c r="L21" i="3"/>
  <c r="M15" i="3"/>
  <c r="L15" i="3"/>
  <c r="M12" i="3"/>
  <c r="L12" i="3"/>
  <c r="X15" i="1"/>
  <c r="K9" i="4"/>
  <c r="K8" i="4"/>
  <c r="K7" i="4"/>
  <c r="K6" i="4"/>
  <c r="K5" i="4"/>
  <c r="K4" i="4"/>
  <c r="K3" i="4"/>
  <c r="X146" i="6" l="1"/>
  <c r="Y146" i="6" s="1"/>
  <c r="U146" i="6"/>
  <c r="V146" i="6" s="1"/>
  <c r="Q146" i="6"/>
  <c r="R146" i="6" s="1"/>
  <c r="N146" i="6"/>
  <c r="O146" i="6" s="1"/>
  <c r="K146" i="6"/>
  <c r="H146" i="6"/>
  <c r="X145" i="6"/>
  <c r="Y145" i="6" s="1"/>
  <c r="U145" i="6"/>
  <c r="V145" i="6" s="1"/>
  <c r="Q145" i="6"/>
  <c r="N145" i="6"/>
  <c r="K145" i="6"/>
  <c r="H145" i="6"/>
  <c r="X144" i="6"/>
  <c r="Y144" i="6" s="1"/>
  <c r="U144" i="6"/>
  <c r="V144" i="6" s="1"/>
  <c r="Q144" i="6"/>
  <c r="R144" i="6" s="1"/>
  <c r="N144" i="6"/>
  <c r="O144" i="6" s="1"/>
  <c r="K144" i="6"/>
  <c r="H144" i="6"/>
  <c r="X143" i="6"/>
  <c r="Y143" i="6" s="1"/>
  <c r="U143" i="6"/>
  <c r="V143" i="6" s="1"/>
  <c r="Q143" i="6"/>
  <c r="N143" i="6"/>
  <c r="K143" i="6"/>
  <c r="H143" i="6"/>
  <c r="X142" i="6"/>
  <c r="Y142" i="6" s="1"/>
  <c r="U142" i="6"/>
  <c r="V142" i="6" s="1"/>
  <c r="Q142" i="6"/>
  <c r="R142" i="6" s="1"/>
  <c r="N142" i="6"/>
  <c r="O142" i="6" s="1"/>
  <c r="K142" i="6"/>
  <c r="H142" i="6"/>
  <c r="Y141" i="6"/>
  <c r="X141" i="6"/>
  <c r="V141" i="6"/>
  <c r="U141" i="6"/>
  <c r="Q141" i="6"/>
  <c r="N141" i="6"/>
  <c r="K141" i="6"/>
  <c r="H141" i="6"/>
  <c r="X140" i="6"/>
  <c r="Y140" i="6" s="1"/>
  <c r="U140" i="6"/>
  <c r="V140" i="6" s="1"/>
  <c r="Q140" i="6"/>
  <c r="R140" i="6" s="1"/>
  <c r="N140" i="6"/>
  <c r="O140" i="6" s="1"/>
  <c r="K140" i="6"/>
  <c r="H140" i="6"/>
  <c r="Y139" i="6"/>
  <c r="X139" i="6"/>
  <c r="U139" i="6"/>
  <c r="V139" i="6" s="1"/>
  <c r="Q139" i="6"/>
  <c r="N139" i="6"/>
  <c r="K139" i="6"/>
  <c r="H139" i="6"/>
  <c r="X138" i="6"/>
  <c r="Y138" i="6" s="1"/>
  <c r="U138" i="6"/>
  <c r="V138" i="6" s="1"/>
  <c r="Q138" i="6"/>
  <c r="R138" i="6" s="1"/>
  <c r="N138" i="6"/>
  <c r="O138" i="6"/>
  <c r="K138" i="6"/>
  <c r="H138" i="6"/>
  <c r="X137" i="6"/>
  <c r="Y137" i="6" s="1"/>
  <c r="U137" i="6"/>
  <c r="V137" i="6" s="1"/>
  <c r="Q137" i="6"/>
  <c r="N137" i="6"/>
  <c r="K137" i="6"/>
  <c r="H137" i="6"/>
  <c r="X136" i="6"/>
  <c r="Y136" i="6" s="1"/>
  <c r="U136" i="6"/>
  <c r="V136" i="6" s="1"/>
  <c r="Q136" i="6"/>
  <c r="N136" i="6"/>
  <c r="O136" i="6" s="1"/>
  <c r="K136" i="6"/>
  <c r="H136" i="6"/>
  <c r="X135" i="6"/>
  <c r="Y135" i="6" s="1"/>
  <c r="U135" i="6"/>
  <c r="V135" i="6" s="1"/>
  <c r="Q135" i="6"/>
  <c r="N135" i="6"/>
  <c r="K135" i="6"/>
  <c r="H135" i="6"/>
  <c r="X134" i="6"/>
  <c r="Y134" i="6" s="1"/>
  <c r="U134" i="6"/>
  <c r="V134" i="6" s="1"/>
  <c r="Q134" i="6"/>
  <c r="N134" i="6"/>
  <c r="O134" i="6" s="1"/>
  <c r="K134" i="6"/>
  <c r="H134" i="6"/>
  <c r="X133" i="6"/>
  <c r="Y133" i="6" s="1"/>
  <c r="U133" i="6"/>
  <c r="V133" i="6" s="1"/>
  <c r="Q133" i="6"/>
  <c r="N133" i="6"/>
  <c r="K133" i="6"/>
  <c r="H133" i="6"/>
  <c r="X132" i="6"/>
  <c r="Y132" i="6" s="1"/>
  <c r="U132" i="6"/>
  <c r="V132" i="6" s="1"/>
  <c r="Q132" i="6"/>
  <c r="N132" i="6"/>
  <c r="O132" i="6" s="1"/>
  <c r="K132" i="6"/>
  <c r="H132" i="6"/>
  <c r="X131" i="6"/>
  <c r="Y131" i="6" s="1"/>
  <c r="U131" i="6"/>
  <c r="V131" i="6" s="1"/>
  <c r="Q131" i="6"/>
  <c r="N131" i="6"/>
  <c r="K131" i="6"/>
  <c r="H131" i="6"/>
  <c r="X130" i="6"/>
  <c r="Y130" i="6" s="1"/>
  <c r="U130" i="6"/>
  <c r="V130" i="6" s="1"/>
  <c r="Q130" i="6"/>
  <c r="R130" i="6"/>
  <c r="N130" i="6"/>
  <c r="O130" i="6"/>
  <c r="K130" i="6"/>
  <c r="H130" i="6"/>
  <c r="X129" i="6"/>
  <c r="Y129" i="6" s="1"/>
  <c r="U129" i="6"/>
  <c r="V129" i="6" s="1"/>
  <c r="Q129" i="6"/>
  <c r="N129" i="6"/>
  <c r="K129" i="6"/>
  <c r="H129" i="6"/>
  <c r="X128" i="6"/>
  <c r="Y128" i="6" s="1"/>
  <c r="U128" i="6"/>
  <c r="V128" i="6" s="1"/>
  <c r="Q128" i="6"/>
  <c r="N128" i="6"/>
  <c r="O128" i="6" s="1"/>
  <c r="K128" i="6"/>
  <c r="H128" i="6"/>
  <c r="X127" i="6"/>
  <c r="Y127" i="6" s="1"/>
  <c r="U127" i="6"/>
  <c r="V127" i="6" s="1"/>
  <c r="Q127" i="6"/>
  <c r="N127" i="6"/>
  <c r="K127" i="6"/>
  <c r="H127" i="6"/>
  <c r="X126" i="6"/>
  <c r="Y126" i="6" s="1"/>
  <c r="U126" i="6"/>
  <c r="V126" i="6" s="1"/>
  <c r="Q126" i="6"/>
  <c r="N126" i="6"/>
  <c r="O126" i="6" s="1"/>
  <c r="K126" i="6"/>
  <c r="H126" i="6"/>
  <c r="X125" i="6"/>
  <c r="Y125" i="6" s="1"/>
  <c r="U125" i="6"/>
  <c r="V125" i="6" s="1"/>
  <c r="Q125" i="6"/>
  <c r="N125" i="6"/>
  <c r="K125" i="6"/>
  <c r="H125" i="6"/>
  <c r="X124" i="6"/>
  <c r="Y124" i="6" s="1"/>
  <c r="U124" i="6"/>
  <c r="V124" i="6" s="1"/>
  <c r="Q124" i="6"/>
  <c r="N124" i="6"/>
  <c r="O124" i="6" s="1"/>
  <c r="K124" i="6"/>
  <c r="H124" i="6"/>
  <c r="X123" i="6"/>
  <c r="Y123" i="6" s="1"/>
  <c r="U123" i="6"/>
  <c r="V123" i="6" s="1"/>
  <c r="Q123" i="6"/>
  <c r="N123" i="6"/>
  <c r="K123" i="6"/>
  <c r="H123" i="6"/>
  <c r="X122" i="6"/>
  <c r="Y122" i="6" s="1"/>
  <c r="U122" i="6"/>
  <c r="V122" i="6" s="1"/>
  <c r="Q122" i="6"/>
  <c r="N122" i="6"/>
  <c r="O122" i="6" s="1"/>
  <c r="K122" i="6"/>
  <c r="H122" i="6"/>
  <c r="X121" i="6"/>
  <c r="Y121" i="6" s="1"/>
  <c r="U121" i="6"/>
  <c r="V121" i="6" s="1"/>
  <c r="Q121" i="6"/>
  <c r="N121" i="6"/>
  <c r="K121" i="6"/>
  <c r="H121" i="6"/>
  <c r="X120" i="6"/>
  <c r="Y120" i="6" s="1"/>
  <c r="U120" i="6"/>
  <c r="V120" i="6" s="1"/>
  <c r="Q120" i="6"/>
  <c r="N120" i="6"/>
  <c r="O120" i="6" s="1"/>
  <c r="K120" i="6"/>
  <c r="H120" i="6"/>
  <c r="X119" i="6"/>
  <c r="Y119" i="6" s="1"/>
  <c r="U119" i="6"/>
  <c r="V119" i="6" s="1"/>
  <c r="Q119" i="6"/>
  <c r="N119" i="6"/>
  <c r="K119" i="6"/>
  <c r="H119" i="6"/>
  <c r="X118" i="6"/>
  <c r="Y118" i="6" s="1"/>
  <c r="U118" i="6"/>
  <c r="V118" i="6" s="1"/>
  <c r="Q118" i="6"/>
  <c r="N118" i="6"/>
  <c r="K118" i="6"/>
  <c r="H118" i="6"/>
  <c r="X117" i="6"/>
  <c r="Y117" i="6" s="1"/>
  <c r="U117" i="6"/>
  <c r="V117" i="6" s="1"/>
  <c r="Q117" i="6"/>
  <c r="N117" i="6"/>
  <c r="O117" i="6" s="1"/>
  <c r="K117" i="6"/>
  <c r="H117" i="6"/>
  <c r="X116" i="6"/>
  <c r="Y116" i="6" s="1"/>
  <c r="U116" i="6"/>
  <c r="V116" i="6" s="1"/>
  <c r="Q116" i="6"/>
  <c r="N116" i="6"/>
  <c r="K116" i="6"/>
  <c r="H116" i="6"/>
  <c r="X115" i="6"/>
  <c r="Y115" i="6" s="1"/>
  <c r="U115" i="6"/>
  <c r="V115" i="6" s="1"/>
  <c r="Q115" i="6"/>
  <c r="N115" i="6"/>
  <c r="K115" i="6"/>
  <c r="H115" i="6"/>
  <c r="X114" i="6"/>
  <c r="Y114" i="6" s="1"/>
  <c r="U114" i="6"/>
  <c r="V114" i="6" s="1"/>
  <c r="Q114" i="6"/>
  <c r="N114" i="6"/>
  <c r="K114" i="6"/>
  <c r="H114" i="6"/>
  <c r="X113" i="6"/>
  <c r="Y113" i="6" s="1"/>
  <c r="U113" i="6"/>
  <c r="V113" i="6" s="1"/>
  <c r="Q113" i="6"/>
  <c r="N113" i="6"/>
  <c r="K113" i="6"/>
  <c r="H113" i="6"/>
  <c r="X112" i="6"/>
  <c r="Y112" i="6" s="1"/>
  <c r="U112" i="6"/>
  <c r="V112" i="6" s="1"/>
  <c r="Q112" i="6"/>
  <c r="N112" i="6"/>
  <c r="K112" i="6"/>
  <c r="H112" i="6"/>
  <c r="X111" i="6"/>
  <c r="Y111" i="6" s="1"/>
  <c r="U111" i="6"/>
  <c r="V111" i="6" s="1"/>
  <c r="Q111" i="6"/>
  <c r="N111" i="6"/>
  <c r="K111" i="6"/>
  <c r="H111" i="6"/>
  <c r="X110" i="6"/>
  <c r="Y110" i="6" s="1"/>
  <c r="U110" i="6"/>
  <c r="V110" i="6" s="1"/>
  <c r="Q110" i="6"/>
  <c r="N110" i="6"/>
  <c r="K110" i="6"/>
  <c r="H110" i="6"/>
  <c r="X109" i="6"/>
  <c r="Y109" i="6" s="1"/>
  <c r="U109" i="6"/>
  <c r="V109" i="6" s="1"/>
  <c r="Q109" i="6"/>
  <c r="N109" i="6"/>
  <c r="K109" i="6"/>
  <c r="H109" i="6"/>
  <c r="X108" i="6"/>
  <c r="Y108" i="6" s="1"/>
  <c r="U108" i="6"/>
  <c r="V108" i="6" s="1"/>
  <c r="Q108" i="6"/>
  <c r="N108" i="6"/>
  <c r="K108" i="6"/>
  <c r="H108" i="6"/>
  <c r="X107" i="6"/>
  <c r="Y107" i="6" s="1"/>
  <c r="U107" i="6"/>
  <c r="V107" i="6" s="1"/>
  <c r="Q107" i="6"/>
  <c r="N107" i="6"/>
  <c r="K107" i="6"/>
  <c r="H107" i="6"/>
  <c r="X106" i="6"/>
  <c r="Y106" i="6" s="1"/>
  <c r="U106" i="6"/>
  <c r="V106" i="6" s="1"/>
  <c r="Q106" i="6"/>
  <c r="N106" i="6"/>
  <c r="K106" i="6"/>
  <c r="H106" i="6"/>
  <c r="X105" i="6"/>
  <c r="Y105" i="6" s="1"/>
  <c r="U105" i="6"/>
  <c r="V105" i="6" s="1"/>
  <c r="Q105" i="6"/>
  <c r="R105" i="6"/>
  <c r="N105" i="6"/>
  <c r="O105" i="6"/>
  <c r="K105" i="6"/>
  <c r="H105" i="6"/>
  <c r="X104" i="6"/>
  <c r="Y104" i="6" s="1"/>
  <c r="U104" i="6"/>
  <c r="V104" i="6" s="1"/>
  <c r="Q104" i="6"/>
  <c r="N104" i="6"/>
  <c r="K104" i="6"/>
  <c r="H104" i="6"/>
  <c r="X103" i="6"/>
  <c r="Y103" i="6" s="1"/>
  <c r="U103" i="6"/>
  <c r="V103" i="6" s="1"/>
  <c r="Q103" i="6"/>
  <c r="N103" i="6"/>
  <c r="K103" i="6"/>
  <c r="H103" i="6"/>
  <c r="X102" i="6"/>
  <c r="Y102" i="6" s="1"/>
  <c r="U102" i="6"/>
  <c r="V102" i="6" s="1"/>
  <c r="Q102" i="6"/>
  <c r="N102" i="6"/>
  <c r="K102" i="6"/>
  <c r="H102" i="6"/>
  <c r="X101" i="6"/>
  <c r="Y101" i="6" s="1"/>
  <c r="U101" i="6"/>
  <c r="V101" i="6" s="1"/>
  <c r="Q101" i="6"/>
  <c r="R101" i="6"/>
  <c r="N101" i="6"/>
  <c r="O101" i="6" s="1"/>
  <c r="K101" i="6"/>
  <c r="H101" i="6"/>
  <c r="X100" i="6"/>
  <c r="Y100" i="6" s="1"/>
  <c r="U100" i="6"/>
  <c r="V100" i="6" s="1"/>
  <c r="Q100" i="6"/>
  <c r="N100" i="6"/>
  <c r="K100" i="6"/>
  <c r="H100" i="6"/>
  <c r="X99" i="6"/>
  <c r="Y99" i="6" s="1"/>
  <c r="U99" i="6"/>
  <c r="V99" i="6" s="1"/>
  <c r="Q99" i="6"/>
  <c r="N99" i="6"/>
  <c r="K99" i="6"/>
  <c r="H99" i="6"/>
  <c r="X98" i="6"/>
  <c r="Y98" i="6" s="1"/>
  <c r="U98" i="6"/>
  <c r="V98" i="6" s="1"/>
  <c r="Q98" i="6"/>
  <c r="N98" i="6"/>
  <c r="K98" i="6"/>
  <c r="H98" i="6"/>
  <c r="X97" i="6"/>
  <c r="Y97" i="6" s="1"/>
  <c r="U97" i="6"/>
  <c r="V97" i="6" s="1"/>
  <c r="Q97" i="6"/>
  <c r="N97" i="6"/>
  <c r="K97" i="6"/>
  <c r="H97" i="6"/>
  <c r="X96" i="6"/>
  <c r="Y96" i="6" s="1"/>
  <c r="U96" i="6"/>
  <c r="V96" i="6" s="1"/>
  <c r="Q96" i="6"/>
  <c r="N96" i="6"/>
  <c r="K96" i="6"/>
  <c r="H96" i="6"/>
  <c r="X95" i="6"/>
  <c r="Y95" i="6" s="1"/>
  <c r="U95" i="6"/>
  <c r="V95" i="6" s="1"/>
  <c r="Q95" i="6"/>
  <c r="N95" i="6"/>
  <c r="K95" i="6"/>
  <c r="H95" i="6"/>
  <c r="X94" i="6"/>
  <c r="Y94" i="6" s="1"/>
  <c r="U94" i="6"/>
  <c r="V94" i="6" s="1"/>
  <c r="Q94" i="6"/>
  <c r="N94" i="6"/>
  <c r="K94" i="6"/>
  <c r="H94" i="6"/>
  <c r="X93" i="6"/>
  <c r="Y93" i="6" s="1"/>
  <c r="U93" i="6"/>
  <c r="V93" i="6" s="1"/>
  <c r="Q93" i="6"/>
  <c r="N93" i="6"/>
  <c r="O93" i="6" s="1"/>
  <c r="K93" i="6"/>
  <c r="H93" i="6"/>
  <c r="X92" i="6"/>
  <c r="Y92" i="6" s="1"/>
  <c r="U92" i="6"/>
  <c r="V92" i="6" s="1"/>
  <c r="Q92" i="6"/>
  <c r="N92" i="6"/>
  <c r="K92" i="6"/>
  <c r="H92" i="6"/>
  <c r="X91" i="6"/>
  <c r="Y91" i="6" s="1"/>
  <c r="U91" i="6"/>
  <c r="V91" i="6" s="1"/>
  <c r="Q91" i="6"/>
  <c r="N91" i="6"/>
  <c r="K91" i="6"/>
  <c r="H91" i="6"/>
  <c r="X90" i="6"/>
  <c r="Y90" i="6" s="1"/>
  <c r="U90" i="6"/>
  <c r="V90" i="6" s="1"/>
  <c r="Q90" i="6"/>
  <c r="N90" i="6"/>
  <c r="K90" i="6"/>
  <c r="H90" i="6"/>
  <c r="X89" i="6"/>
  <c r="Y89" i="6" s="1"/>
  <c r="U89" i="6"/>
  <c r="V89" i="6" s="1"/>
  <c r="Q89" i="6"/>
  <c r="N89" i="6"/>
  <c r="K89" i="6"/>
  <c r="H89" i="6"/>
  <c r="X88" i="6"/>
  <c r="Y88" i="6" s="1"/>
  <c r="U88" i="6"/>
  <c r="V88" i="6" s="1"/>
  <c r="Q88" i="6"/>
  <c r="N88" i="6"/>
  <c r="K88" i="6"/>
  <c r="H88" i="6"/>
  <c r="X87" i="6"/>
  <c r="Y87" i="6" s="1"/>
  <c r="U87" i="6"/>
  <c r="V87" i="6" s="1"/>
  <c r="Q87" i="6"/>
  <c r="N87" i="6"/>
  <c r="K87" i="6"/>
  <c r="H87" i="6"/>
  <c r="X86" i="6"/>
  <c r="Y86" i="6" s="1"/>
  <c r="U86" i="6"/>
  <c r="V86" i="6" s="1"/>
  <c r="Q86" i="6"/>
  <c r="N86" i="6"/>
  <c r="K86" i="6"/>
  <c r="H86" i="6"/>
  <c r="X85" i="6"/>
  <c r="Y85" i="6" s="1"/>
  <c r="U85" i="6"/>
  <c r="V85" i="6" s="1"/>
  <c r="Q85" i="6"/>
  <c r="N85" i="6"/>
  <c r="O85" i="6" s="1"/>
  <c r="K85" i="6"/>
  <c r="H85" i="6"/>
  <c r="X84" i="6"/>
  <c r="Y84" i="6" s="1"/>
  <c r="U84" i="6"/>
  <c r="V84" i="6" s="1"/>
  <c r="Q84" i="6"/>
  <c r="N84" i="6"/>
  <c r="K84" i="6"/>
  <c r="H84" i="6"/>
  <c r="X83" i="6"/>
  <c r="Y83" i="6" s="1"/>
  <c r="U83" i="6"/>
  <c r="V83" i="6" s="1"/>
  <c r="Q83" i="6"/>
  <c r="N83" i="6"/>
  <c r="K83" i="6"/>
  <c r="H83" i="6"/>
  <c r="X82" i="6"/>
  <c r="Y82" i="6" s="1"/>
  <c r="U82" i="6"/>
  <c r="V82" i="6" s="1"/>
  <c r="Q82" i="6"/>
  <c r="N82" i="6"/>
  <c r="K82" i="6"/>
  <c r="H82" i="6"/>
  <c r="X81" i="6"/>
  <c r="Y81" i="6" s="1"/>
  <c r="U81" i="6"/>
  <c r="V81" i="6" s="1"/>
  <c r="Q81" i="6"/>
  <c r="N81" i="6"/>
  <c r="K81" i="6"/>
  <c r="H81" i="6"/>
  <c r="X80" i="6"/>
  <c r="Y80" i="6" s="1"/>
  <c r="U80" i="6"/>
  <c r="V80" i="6" s="1"/>
  <c r="Q80" i="6"/>
  <c r="N80" i="6"/>
  <c r="K80" i="6"/>
  <c r="H80" i="6"/>
  <c r="X79" i="6"/>
  <c r="Y79" i="6" s="1"/>
  <c r="U79" i="6"/>
  <c r="V79" i="6" s="1"/>
  <c r="Q79" i="6"/>
  <c r="N79" i="6"/>
  <c r="K79" i="6"/>
  <c r="H79" i="6"/>
  <c r="X78" i="6"/>
  <c r="Y78" i="6" s="1"/>
  <c r="U78" i="6"/>
  <c r="V78" i="6" s="1"/>
  <c r="Q78" i="6"/>
  <c r="N78" i="6"/>
  <c r="K78" i="6"/>
  <c r="H78" i="6"/>
  <c r="X77" i="6"/>
  <c r="Y77" i="6" s="1"/>
  <c r="U77" i="6"/>
  <c r="V77" i="6" s="1"/>
  <c r="Q77" i="6"/>
  <c r="N77" i="6"/>
  <c r="O77" i="6" s="1"/>
  <c r="K77" i="6"/>
  <c r="H77" i="6"/>
  <c r="X76" i="6"/>
  <c r="Y76" i="6" s="1"/>
  <c r="U76" i="6"/>
  <c r="V76" i="6" s="1"/>
  <c r="Q76" i="6"/>
  <c r="N76" i="6"/>
  <c r="K76" i="6"/>
  <c r="H76" i="6"/>
  <c r="X75" i="6"/>
  <c r="Y75" i="6" s="1"/>
  <c r="U75" i="6"/>
  <c r="V75" i="6" s="1"/>
  <c r="Q75" i="6"/>
  <c r="N75" i="6"/>
  <c r="K75" i="6"/>
  <c r="H75" i="6"/>
  <c r="X74" i="6"/>
  <c r="Y74" i="6" s="1"/>
  <c r="U74" i="6"/>
  <c r="V74" i="6" s="1"/>
  <c r="Q74" i="6"/>
  <c r="N74" i="6"/>
  <c r="K74" i="6"/>
  <c r="H74" i="6"/>
  <c r="X73" i="6"/>
  <c r="Y73" i="6" s="1"/>
  <c r="U73" i="6"/>
  <c r="V73" i="6" s="1"/>
  <c r="Q73" i="6"/>
  <c r="N73" i="6"/>
  <c r="K73" i="6"/>
  <c r="H73" i="6"/>
  <c r="X72" i="6"/>
  <c r="Y72" i="6" s="1"/>
  <c r="U72" i="6"/>
  <c r="V72" i="6" s="1"/>
  <c r="Q72" i="6"/>
  <c r="N72" i="6"/>
  <c r="K72" i="6"/>
  <c r="H72" i="6"/>
  <c r="X71" i="6"/>
  <c r="Y71" i="6" s="1"/>
  <c r="U71" i="6"/>
  <c r="V71" i="6" s="1"/>
  <c r="Q71" i="6"/>
  <c r="N71" i="6"/>
  <c r="K71" i="6"/>
  <c r="H71" i="6"/>
  <c r="X70" i="6"/>
  <c r="Y70" i="6" s="1"/>
  <c r="U70" i="6"/>
  <c r="V70" i="6" s="1"/>
  <c r="Q70" i="6"/>
  <c r="N70" i="6"/>
  <c r="K70" i="6"/>
  <c r="H70" i="6"/>
  <c r="Y69" i="6"/>
  <c r="X69" i="6"/>
  <c r="U69" i="6"/>
  <c r="V69" i="6" s="1"/>
  <c r="Q69" i="6"/>
  <c r="N69" i="6"/>
  <c r="K69" i="6"/>
  <c r="H69" i="6"/>
  <c r="X68" i="6"/>
  <c r="Y68" i="6" s="1"/>
  <c r="U68" i="6"/>
  <c r="V68" i="6" s="1"/>
  <c r="Q68" i="6"/>
  <c r="N68" i="6"/>
  <c r="K68" i="6"/>
  <c r="H68" i="6"/>
  <c r="X67" i="6"/>
  <c r="Y67" i="6" s="1"/>
  <c r="U67" i="6"/>
  <c r="V67" i="6" s="1"/>
  <c r="Q67" i="6"/>
  <c r="N67" i="6"/>
  <c r="K67" i="6"/>
  <c r="H67" i="6"/>
  <c r="X66" i="6"/>
  <c r="Y66" i="6" s="1"/>
  <c r="U66" i="6"/>
  <c r="V66" i="6" s="1"/>
  <c r="Q66" i="6"/>
  <c r="N66" i="6"/>
  <c r="K66" i="6"/>
  <c r="H66" i="6"/>
  <c r="Y65" i="6"/>
  <c r="X65" i="6"/>
  <c r="V65" i="6"/>
  <c r="U65" i="6"/>
  <c r="Q65" i="6"/>
  <c r="N65" i="6"/>
  <c r="K65" i="6"/>
  <c r="H65" i="6"/>
  <c r="X64" i="6"/>
  <c r="Y64" i="6" s="1"/>
  <c r="U64" i="6"/>
  <c r="V64" i="6" s="1"/>
  <c r="Q64" i="6"/>
  <c r="N64" i="6"/>
  <c r="K64" i="6"/>
  <c r="H64" i="6"/>
  <c r="X63" i="6"/>
  <c r="Y63" i="6" s="1"/>
  <c r="U63" i="6"/>
  <c r="V63" i="6" s="1"/>
  <c r="Q63" i="6"/>
  <c r="N63" i="6"/>
  <c r="K63" i="6"/>
  <c r="H63" i="6"/>
  <c r="AD62" i="6"/>
  <c r="P55" i="6"/>
  <c r="M55" i="6"/>
  <c r="AA54" i="6"/>
  <c r="R85" i="6" l="1"/>
  <c r="R93" i="6"/>
  <c r="R120" i="6"/>
  <c r="R122" i="6"/>
  <c r="R124" i="6"/>
  <c r="R126" i="6"/>
  <c r="R128" i="6"/>
  <c r="R134" i="6"/>
  <c r="R136" i="6"/>
  <c r="R117" i="6"/>
  <c r="R132" i="6"/>
  <c r="AD91" i="6"/>
  <c r="AD92" i="6"/>
  <c r="AD111" i="6"/>
  <c r="AD115" i="6"/>
  <c r="AD116" i="6"/>
  <c r="AD127" i="6"/>
  <c r="AD131" i="6"/>
  <c r="AD135" i="6"/>
  <c r="AD139" i="6"/>
  <c r="AD146" i="6"/>
  <c r="AD63" i="6"/>
  <c r="AD64" i="6"/>
  <c r="AD65" i="6"/>
  <c r="AD83" i="6"/>
  <c r="AD84" i="6"/>
  <c r="AD99" i="6"/>
  <c r="AD100" i="6"/>
  <c r="AD104" i="6"/>
  <c r="AD140" i="6"/>
  <c r="AD141" i="6"/>
  <c r="AD144" i="6"/>
  <c r="AD145" i="6"/>
  <c r="AD137" i="6"/>
  <c r="AD75" i="6"/>
  <c r="AD76" i="6"/>
  <c r="AD143" i="6"/>
  <c r="AD119" i="6"/>
  <c r="AD121" i="6"/>
  <c r="AD123" i="6"/>
  <c r="AD125" i="6"/>
  <c r="AD128" i="6"/>
  <c r="AD129" i="6"/>
  <c r="AD132" i="6"/>
  <c r="AD133" i="6"/>
  <c r="AD136" i="6"/>
  <c r="AD72" i="6"/>
  <c r="AD79" i="6"/>
  <c r="AD80" i="6"/>
  <c r="O81" i="6"/>
  <c r="R81" i="6"/>
  <c r="AD87" i="6"/>
  <c r="AD88" i="6"/>
  <c r="O89" i="6"/>
  <c r="R89" i="6"/>
  <c r="AD95" i="6"/>
  <c r="AD96" i="6"/>
  <c r="O97" i="6"/>
  <c r="R97" i="6"/>
  <c r="AD103" i="6"/>
  <c r="AD107" i="6"/>
  <c r="AD108" i="6"/>
  <c r="O109" i="6"/>
  <c r="R109" i="6"/>
  <c r="AD112" i="6"/>
  <c r="O113" i="6"/>
  <c r="R113" i="6"/>
  <c r="O66" i="6"/>
  <c r="R66" i="6"/>
  <c r="R67" i="6"/>
  <c r="O69" i="6"/>
  <c r="R71" i="6"/>
  <c r="O73" i="6"/>
  <c r="R73" i="6"/>
  <c r="R74" i="6"/>
  <c r="R77" i="6"/>
  <c r="O78" i="6"/>
  <c r="O82" i="6"/>
  <c r="R82" i="6"/>
  <c r="O86" i="6"/>
  <c r="R86" i="6"/>
  <c r="O90" i="6"/>
  <c r="R90" i="6"/>
  <c r="O94" i="6"/>
  <c r="R94" i="6"/>
  <c r="O98" i="6"/>
  <c r="R98" i="6"/>
  <c r="O102" i="6"/>
  <c r="R102" i="6"/>
  <c r="O106" i="6"/>
  <c r="R106" i="6"/>
  <c r="O110" i="6"/>
  <c r="R110" i="6"/>
  <c r="O114" i="6"/>
  <c r="R114" i="6"/>
  <c r="O118" i="6"/>
  <c r="R118" i="6"/>
  <c r="O127" i="6"/>
  <c r="O131" i="6"/>
  <c r="O135" i="6"/>
  <c r="O139" i="6"/>
  <c r="O143" i="6"/>
  <c r="O67" i="6"/>
  <c r="R69" i="6"/>
  <c r="O71" i="6"/>
  <c r="O74" i="6"/>
  <c r="R78" i="6"/>
  <c r="O125" i="6"/>
  <c r="AD66" i="6"/>
  <c r="AD67" i="6"/>
  <c r="AD69" i="6"/>
  <c r="AD71" i="6"/>
  <c r="AD73" i="6"/>
  <c r="AD74" i="6"/>
  <c r="AD77" i="6"/>
  <c r="AD78" i="6"/>
  <c r="AD81" i="6"/>
  <c r="AD82" i="6"/>
  <c r="AD85" i="6"/>
  <c r="AD86" i="6"/>
  <c r="AD89" i="6"/>
  <c r="AD90" i="6"/>
  <c r="AD93" i="6"/>
  <c r="AD94" i="6"/>
  <c r="AD97" i="6"/>
  <c r="AD98" i="6"/>
  <c r="AD101" i="6"/>
  <c r="AD102" i="6"/>
  <c r="AD105" i="6"/>
  <c r="AD106" i="6"/>
  <c r="AD109" i="6"/>
  <c r="AD110" i="6"/>
  <c r="AD113" i="6"/>
  <c r="AD114" i="6"/>
  <c r="AD117" i="6"/>
  <c r="AD118" i="6"/>
  <c r="AD120" i="6"/>
  <c r="AD122" i="6"/>
  <c r="AD124" i="6"/>
  <c r="AD126" i="6"/>
  <c r="AD130" i="6"/>
  <c r="AD134" i="6"/>
  <c r="AD138" i="6"/>
  <c r="AD142" i="6"/>
  <c r="R127" i="6"/>
  <c r="R131" i="6"/>
  <c r="R135" i="6"/>
  <c r="R139" i="6"/>
  <c r="R143" i="6"/>
  <c r="O63" i="6"/>
  <c r="R63" i="6"/>
  <c r="O64" i="6"/>
  <c r="R64" i="6"/>
  <c r="O65" i="6"/>
  <c r="R65" i="6"/>
  <c r="O68" i="6"/>
  <c r="R68" i="6"/>
  <c r="O70" i="6"/>
  <c r="R70" i="6"/>
  <c r="O72" i="6"/>
  <c r="R72" i="6"/>
  <c r="O75" i="6"/>
  <c r="R75" i="6"/>
  <c r="O76" i="6"/>
  <c r="R76" i="6"/>
  <c r="O79" i="6"/>
  <c r="R79" i="6"/>
  <c r="O80" i="6"/>
  <c r="R80" i="6"/>
  <c r="O83" i="6"/>
  <c r="R83" i="6"/>
  <c r="O84" i="6"/>
  <c r="R84" i="6"/>
  <c r="O87" i="6"/>
  <c r="R87" i="6"/>
  <c r="O88" i="6"/>
  <c r="R88" i="6"/>
  <c r="O91" i="6"/>
  <c r="R91" i="6"/>
  <c r="O92" i="6"/>
  <c r="R92" i="6"/>
  <c r="O95" i="6"/>
  <c r="R95" i="6"/>
  <c r="O96" i="6"/>
  <c r="R96" i="6"/>
  <c r="O99" i="6"/>
  <c r="R99" i="6"/>
  <c r="O100" i="6"/>
  <c r="R100" i="6"/>
  <c r="O103" i="6"/>
  <c r="R103" i="6"/>
  <c r="O104" i="6"/>
  <c r="R104" i="6"/>
  <c r="O107" i="6"/>
  <c r="R107" i="6"/>
  <c r="O108" i="6"/>
  <c r="R108" i="6"/>
  <c r="O111" i="6"/>
  <c r="R111" i="6"/>
  <c r="O112" i="6"/>
  <c r="R112" i="6"/>
  <c r="O115" i="6"/>
  <c r="R115" i="6"/>
  <c r="O116" i="6"/>
  <c r="R116" i="6"/>
  <c r="O119" i="6"/>
  <c r="R119" i="6"/>
  <c r="O121" i="6"/>
  <c r="R121" i="6"/>
  <c r="O123" i="6"/>
  <c r="R123" i="6"/>
  <c r="R125" i="6"/>
  <c r="O129" i="6"/>
  <c r="R129" i="6"/>
  <c r="O133" i="6"/>
  <c r="R133" i="6"/>
  <c r="O137" i="6"/>
  <c r="R137" i="6"/>
  <c r="O141" i="6"/>
  <c r="R141" i="6"/>
  <c r="O145" i="6"/>
  <c r="R145" i="6"/>
  <c r="AD68" i="6"/>
  <c r="AD70" i="6"/>
  <c r="T127" i="1"/>
  <c r="S127" i="1"/>
  <c r="Y59" i="1" l="1"/>
  <c r="AB59" i="1" s="1"/>
  <c r="Y60" i="1"/>
  <c r="AB60" i="1" s="1"/>
  <c r="Y61" i="1"/>
  <c r="AB61" i="1" s="1"/>
  <c r="Y62" i="1"/>
  <c r="AB62" i="1" s="1"/>
  <c r="Y63" i="1"/>
  <c r="AB63" i="1" s="1"/>
  <c r="Y64" i="1"/>
  <c r="AB64" i="1" s="1"/>
  <c r="Y65" i="1"/>
  <c r="AB65" i="1" s="1"/>
  <c r="Y66" i="1"/>
  <c r="AB66" i="1" s="1"/>
  <c r="Y67" i="1"/>
  <c r="AB67" i="1" s="1"/>
  <c r="Y68" i="1"/>
  <c r="AB68" i="1" s="1"/>
  <c r="Y69" i="1"/>
  <c r="AB69" i="1" s="1"/>
  <c r="Y70" i="1"/>
  <c r="AB70" i="1" s="1"/>
  <c r="Y71" i="1"/>
  <c r="AB71" i="1" s="1"/>
  <c r="Y72" i="1"/>
  <c r="AB72" i="1" s="1"/>
  <c r="Y73" i="1"/>
  <c r="AB73" i="1" s="1"/>
  <c r="Y74" i="1"/>
  <c r="AB74" i="1" s="1"/>
  <c r="Y75" i="1"/>
  <c r="AB75" i="1" s="1"/>
  <c r="Y76" i="1"/>
  <c r="AB76" i="1" s="1"/>
  <c r="Y77" i="1"/>
  <c r="AB77" i="1" s="1"/>
  <c r="Y78" i="1"/>
  <c r="AB78" i="1" s="1"/>
  <c r="Y79" i="1"/>
  <c r="AB79" i="1" s="1"/>
  <c r="Y80" i="1"/>
  <c r="AB80" i="1" s="1"/>
  <c r="Y81" i="1"/>
  <c r="AB81" i="1" s="1"/>
  <c r="Y82" i="1"/>
  <c r="AB82" i="1" s="1"/>
  <c r="Y83" i="1"/>
  <c r="AB83" i="1" s="1"/>
  <c r="Y84" i="1"/>
  <c r="AB84" i="1" s="1"/>
  <c r="Y85" i="1"/>
  <c r="AB85" i="1" s="1"/>
  <c r="Y86" i="1"/>
  <c r="AB86" i="1" s="1"/>
  <c r="Y87" i="1"/>
  <c r="AB87" i="1" s="1"/>
  <c r="Y88" i="1"/>
  <c r="AB88" i="1" s="1"/>
  <c r="Y89" i="1"/>
  <c r="AB89" i="1" s="1"/>
  <c r="Y90" i="1"/>
  <c r="AB90" i="1" s="1"/>
  <c r="Y91" i="1"/>
  <c r="AB91" i="1" s="1"/>
  <c r="Y92" i="1"/>
  <c r="AB92" i="1" s="1"/>
  <c r="Y93" i="1"/>
  <c r="AB93" i="1" s="1"/>
  <c r="Y94" i="1"/>
  <c r="AB94" i="1" s="1"/>
  <c r="Y95" i="1"/>
  <c r="AB95" i="1" s="1"/>
  <c r="Y96" i="1"/>
  <c r="AB96" i="1" s="1"/>
  <c r="Y97" i="1"/>
  <c r="AB97" i="1" s="1"/>
  <c r="Y98" i="1"/>
  <c r="AB98" i="1" s="1"/>
  <c r="Y99" i="1"/>
  <c r="AB99" i="1" s="1"/>
  <c r="Y100" i="1"/>
  <c r="AB100" i="1" s="1"/>
  <c r="Y101" i="1"/>
  <c r="AB101" i="1" s="1"/>
  <c r="Y102" i="1"/>
  <c r="AB102" i="1" s="1"/>
  <c r="Y103" i="1"/>
  <c r="AB103" i="1" s="1"/>
  <c r="Y104" i="1"/>
  <c r="AB104" i="1" s="1"/>
  <c r="Y105" i="1"/>
  <c r="AB105" i="1" s="1"/>
  <c r="Y106" i="1"/>
  <c r="AB106" i="1" s="1"/>
  <c r="Y107" i="1"/>
  <c r="AB107" i="1" s="1"/>
  <c r="Y108" i="1"/>
  <c r="AB108" i="1" s="1"/>
  <c r="Y109" i="1"/>
  <c r="AB109" i="1" s="1"/>
  <c r="Y110" i="1"/>
  <c r="AB110" i="1" s="1"/>
  <c r="Y111" i="1"/>
  <c r="AB111" i="1" s="1"/>
  <c r="Y112" i="1"/>
  <c r="AB112" i="1" s="1"/>
  <c r="Y113" i="1"/>
  <c r="AB113" i="1" s="1"/>
  <c r="Y114" i="1"/>
  <c r="AB114" i="1" s="1"/>
  <c r="Y115" i="1"/>
  <c r="AB115" i="1" s="1"/>
  <c r="Y116" i="1"/>
  <c r="AB116" i="1" s="1"/>
  <c r="Y117" i="1"/>
  <c r="AB117" i="1" s="1"/>
  <c r="Y118" i="1"/>
  <c r="AB118" i="1" s="1"/>
  <c r="Y119" i="1"/>
  <c r="AB119" i="1" s="1"/>
  <c r="Y58" i="1"/>
  <c r="AB58" i="1" s="1"/>
  <c r="Y50" i="1"/>
  <c r="AB50" i="1" s="1"/>
  <c r="Y51" i="1"/>
  <c r="AB51" i="1" s="1"/>
  <c r="Y52" i="1"/>
  <c r="AB52" i="1" s="1"/>
  <c r="Y53" i="1"/>
  <c r="AB53" i="1" s="1"/>
  <c r="Y54" i="1"/>
  <c r="AB54" i="1" s="1"/>
  <c r="Y55" i="1"/>
  <c r="AB55" i="1" s="1"/>
  <c r="Y56" i="1"/>
  <c r="AB56" i="1" s="1"/>
  <c r="Y57" i="1"/>
  <c r="AB57" i="1" s="1"/>
  <c r="Y34" i="1"/>
  <c r="AB34" i="1" s="1"/>
  <c r="Y35" i="1"/>
  <c r="AB35" i="1" s="1"/>
  <c r="Y36" i="1"/>
  <c r="AB36" i="1" s="1"/>
  <c r="Y37" i="1"/>
  <c r="AB37" i="1" s="1"/>
  <c r="Y38" i="1"/>
  <c r="AB38" i="1" s="1"/>
  <c r="Y39" i="1"/>
  <c r="AB39" i="1" s="1"/>
  <c r="Y40" i="1"/>
  <c r="AB40" i="1" s="1"/>
  <c r="Y41" i="1"/>
  <c r="AB41" i="1" s="1"/>
  <c r="Y42" i="1"/>
  <c r="AB42" i="1" s="1"/>
  <c r="Y43" i="1"/>
  <c r="AB43" i="1" s="1"/>
  <c r="Y44" i="1"/>
  <c r="AB44" i="1" s="1"/>
  <c r="Y45" i="1"/>
  <c r="AB45" i="1" s="1"/>
  <c r="Y46" i="1"/>
  <c r="AB46" i="1" s="1"/>
  <c r="Y47" i="1"/>
  <c r="AB47" i="1" s="1"/>
  <c r="Y48" i="1"/>
  <c r="AB48" i="1" s="1"/>
  <c r="Y49" i="1"/>
  <c r="AB49" i="1" s="1"/>
  <c r="Y33" i="1"/>
  <c r="AB33" i="1" s="1"/>
  <c r="AI34" i="1" l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33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AB13" i="1"/>
  <c r="AE123" i="1" l="1"/>
  <c r="AF34" i="1"/>
  <c r="AG34" i="1"/>
  <c r="AJ34" i="1"/>
  <c r="AK34" i="1"/>
  <c r="AF35" i="1"/>
  <c r="AG35" i="1"/>
  <c r="AJ35" i="1"/>
  <c r="AK35" i="1"/>
  <c r="AF36" i="1"/>
  <c r="AG36" i="1"/>
  <c r="AJ36" i="1"/>
  <c r="AK36" i="1"/>
  <c r="AF37" i="1"/>
  <c r="AG37" i="1"/>
  <c r="AJ37" i="1"/>
  <c r="AK37" i="1"/>
  <c r="AF38" i="1"/>
  <c r="AG38" i="1"/>
  <c r="AJ38" i="1"/>
  <c r="AK38" i="1"/>
  <c r="AF39" i="1"/>
  <c r="AG39" i="1"/>
  <c r="AJ39" i="1"/>
  <c r="AK39" i="1"/>
  <c r="AF40" i="1"/>
  <c r="AG40" i="1"/>
  <c r="AJ40" i="1"/>
  <c r="AK40" i="1"/>
  <c r="AF41" i="1"/>
  <c r="AG41" i="1"/>
  <c r="AJ41" i="1"/>
  <c r="AK41" i="1"/>
  <c r="AF42" i="1"/>
  <c r="AG42" i="1"/>
  <c r="AJ42" i="1"/>
  <c r="AK42" i="1"/>
  <c r="AF43" i="1"/>
  <c r="AG43" i="1"/>
  <c r="AJ43" i="1"/>
  <c r="AK43" i="1"/>
  <c r="AF44" i="1"/>
  <c r="AG44" i="1"/>
  <c r="AJ44" i="1"/>
  <c r="AK44" i="1"/>
  <c r="AF45" i="1"/>
  <c r="AG45" i="1"/>
  <c r="AJ45" i="1"/>
  <c r="AK45" i="1"/>
  <c r="AF46" i="1"/>
  <c r="AG46" i="1"/>
  <c r="AJ46" i="1"/>
  <c r="AK46" i="1"/>
  <c r="AF47" i="1"/>
  <c r="AG47" i="1"/>
  <c r="AJ47" i="1"/>
  <c r="AK47" i="1"/>
  <c r="AF48" i="1"/>
  <c r="AG48" i="1"/>
  <c r="AJ48" i="1"/>
  <c r="AK48" i="1"/>
  <c r="AF49" i="1"/>
  <c r="AG49" i="1"/>
  <c r="AJ49" i="1"/>
  <c r="AK49" i="1"/>
  <c r="AF50" i="1"/>
  <c r="AG50" i="1"/>
  <c r="AJ50" i="1"/>
  <c r="AK50" i="1"/>
  <c r="AF51" i="1"/>
  <c r="AG51" i="1"/>
  <c r="AJ51" i="1"/>
  <c r="AK51" i="1"/>
  <c r="AF52" i="1"/>
  <c r="AG52" i="1"/>
  <c r="AJ52" i="1"/>
  <c r="AK52" i="1"/>
  <c r="AF53" i="1"/>
  <c r="AG53" i="1"/>
  <c r="AJ53" i="1"/>
  <c r="AK53" i="1"/>
  <c r="AF54" i="1"/>
  <c r="AG54" i="1"/>
  <c r="AJ54" i="1"/>
  <c r="AK54" i="1"/>
  <c r="AF55" i="1"/>
  <c r="AG55" i="1"/>
  <c r="AJ55" i="1"/>
  <c r="AK55" i="1"/>
  <c r="AF56" i="1"/>
  <c r="AG56" i="1"/>
  <c r="AJ56" i="1"/>
  <c r="AK56" i="1"/>
  <c r="AF57" i="1"/>
  <c r="AG57" i="1"/>
  <c r="AJ57" i="1"/>
  <c r="AK57" i="1"/>
  <c r="AF58" i="1"/>
  <c r="AG58" i="1"/>
  <c r="AJ58" i="1"/>
  <c r="AK58" i="1"/>
  <c r="AF59" i="1"/>
  <c r="AG59" i="1"/>
  <c r="AJ59" i="1"/>
  <c r="AK59" i="1"/>
  <c r="AF60" i="1"/>
  <c r="AG60" i="1"/>
  <c r="AJ60" i="1"/>
  <c r="AK60" i="1"/>
  <c r="AF61" i="1"/>
  <c r="AG61" i="1"/>
  <c r="AJ61" i="1"/>
  <c r="AK61" i="1"/>
  <c r="AF62" i="1"/>
  <c r="AG62" i="1"/>
  <c r="AJ62" i="1"/>
  <c r="AK62" i="1"/>
  <c r="AF63" i="1"/>
  <c r="AG63" i="1"/>
  <c r="AJ63" i="1"/>
  <c r="AK63" i="1"/>
  <c r="AF64" i="1"/>
  <c r="AG64" i="1"/>
  <c r="AJ64" i="1"/>
  <c r="AK64" i="1"/>
  <c r="AF65" i="1"/>
  <c r="AG65" i="1"/>
  <c r="AJ65" i="1"/>
  <c r="AK65" i="1"/>
  <c r="AF66" i="1"/>
  <c r="AG66" i="1"/>
  <c r="AJ66" i="1"/>
  <c r="AK66" i="1"/>
  <c r="AF67" i="1"/>
  <c r="AG67" i="1"/>
  <c r="AJ67" i="1"/>
  <c r="AK67" i="1"/>
  <c r="AF68" i="1"/>
  <c r="AG68" i="1"/>
  <c r="AJ68" i="1"/>
  <c r="AK68" i="1"/>
  <c r="AF69" i="1"/>
  <c r="AG69" i="1"/>
  <c r="AJ69" i="1"/>
  <c r="AK69" i="1"/>
  <c r="AF70" i="1"/>
  <c r="AG70" i="1"/>
  <c r="AJ70" i="1"/>
  <c r="AK70" i="1"/>
  <c r="AF71" i="1"/>
  <c r="AG71" i="1"/>
  <c r="AJ71" i="1"/>
  <c r="AK71" i="1"/>
  <c r="AF72" i="1"/>
  <c r="AG72" i="1"/>
  <c r="AJ72" i="1"/>
  <c r="AK72" i="1"/>
  <c r="AF73" i="1"/>
  <c r="AG73" i="1"/>
  <c r="AJ73" i="1"/>
  <c r="AK73" i="1"/>
  <c r="AF74" i="1"/>
  <c r="AG74" i="1"/>
  <c r="AJ74" i="1"/>
  <c r="AK74" i="1"/>
  <c r="AF75" i="1"/>
  <c r="AG75" i="1"/>
  <c r="AJ75" i="1"/>
  <c r="AK75" i="1"/>
  <c r="AF76" i="1"/>
  <c r="AG76" i="1"/>
  <c r="AJ76" i="1"/>
  <c r="AK76" i="1"/>
  <c r="AF77" i="1"/>
  <c r="AG77" i="1"/>
  <c r="AJ77" i="1"/>
  <c r="AK77" i="1"/>
  <c r="AF78" i="1"/>
  <c r="AG78" i="1"/>
  <c r="AJ78" i="1"/>
  <c r="AK78" i="1"/>
  <c r="AF79" i="1"/>
  <c r="AG79" i="1"/>
  <c r="AJ79" i="1"/>
  <c r="AK79" i="1"/>
  <c r="AF80" i="1"/>
  <c r="AG80" i="1"/>
  <c r="AJ80" i="1"/>
  <c r="AK80" i="1"/>
  <c r="AF81" i="1"/>
  <c r="AG81" i="1"/>
  <c r="AJ81" i="1"/>
  <c r="AK81" i="1"/>
  <c r="AF82" i="1"/>
  <c r="AG82" i="1"/>
  <c r="AJ82" i="1"/>
  <c r="AK82" i="1"/>
  <c r="AF83" i="1"/>
  <c r="AG83" i="1"/>
  <c r="AJ83" i="1"/>
  <c r="AK83" i="1"/>
  <c r="AF84" i="1"/>
  <c r="AG84" i="1"/>
  <c r="AJ84" i="1"/>
  <c r="AK84" i="1"/>
  <c r="AF85" i="1"/>
  <c r="AG85" i="1"/>
  <c r="AJ85" i="1"/>
  <c r="AK85" i="1"/>
  <c r="AF86" i="1"/>
  <c r="AG86" i="1"/>
  <c r="AJ86" i="1"/>
  <c r="AK86" i="1"/>
  <c r="AF87" i="1"/>
  <c r="AG87" i="1"/>
  <c r="AJ87" i="1"/>
  <c r="AK87" i="1"/>
  <c r="AF88" i="1"/>
  <c r="AG88" i="1"/>
  <c r="AJ88" i="1"/>
  <c r="AK88" i="1"/>
  <c r="AF89" i="1"/>
  <c r="AG89" i="1"/>
  <c r="AJ89" i="1"/>
  <c r="AK89" i="1"/>
  <c r="AF90" i="1"/>
  <c r="AG90" i="1"/>
  <c r="AJ90" i="1"/>
  <c r="AK90" i="1"/>
  <c r="AF91" i="1"/>
  <c r="AG91" i="1"/>
  <c r="AJ91" i="1"/>
  <c r="AK91" i="1"/>
  <c r="AF92" i="1"/>
  <c r="AG92" i="1"/>
  <c r="AJ92" i="1"/>
  <c r="AK92" i="1"/>
  <c r="AF93" i="1"/>
  <c r="AG93" i="1"/>
  <c r="AJ93" i="1"/>
  <c r="AK93" i="1"/>
  <c r="AF94" i="1"/>
  <c r="AG94" i="1"/>
  <c r="AJ94" i="1"/>
  <c r="AK94" i="1"/>
  <c r="AF95" i="1"/>
  <c r="AG95" i="1"/>
  <c r="AJ95" i="1"/>
  <c r="AK95" i="1"/>
  <c r="AF96" i="1"/>
  <c r="AG96" i="1"/>
  <c r="AJ96" i="1"/>
  <c r="AK96" i="1"/>
  <c r="AF97" i="1"/>
  <c r="AG97" i="1"/>
  <c r="AJ97" i="1"/>
  <c r="AK97" i="1"/>
  <c r="AF98" i="1"/>
  <c r="AG98" i="1"/>
  <c r="AJ98" i="1"/>
  <c r="AK98" i="1"/>
  <c r="AF99" i="1"/>
  <c r="AG99" i="1"/>
  <c r="AJ99" i="1"/>
  <c r="AK99" i="1"/>
  <c r="AF100" i="1"/>
  <c r="AG100" i="1"/>
  <c r="AJ100" i="1"/>
  <c r="AK100" i="1"/>
  <c r="AF101" i="1"/>
  <c r="AG101" i="1"/>
  <c r="AJ101" i="1"/>
  <c r="AK101" i="1"/>
  <c r="AF102" i="1"/>
  <c r="AG102" i="1"/>
  <c r="AJ102" i="1"/>
  <c r="AK102" i="1"/>
  <c r="AF103" i="1"/>
  <c r="AG103" i="1"/>
  <c r="AJ103" i="1"/>
  <c r="AK103" i="1"/>
  <c r="AF104" i="1"/>
  <c r="AG104" i="1"/>
  <c r="AJ104" i="1"/>
  <c r="AK104" i="1"/>
  <c r="AF105" i="1"/>
  <c r="AG105" i="1"/>
  <c r="AJ105" i="1"/>
  <c r="AK105" i="1"/>
  <c r="AF106" i="1"/>
  <c r="AG106" i="1"/>
  <c r="AJ106" i="1"/>
  <c r="AK106" i="1"/>
  <c r="AF107" i="1"/>
  <c r="AG107" i="1"/>
  <c r="AJ107" i="1"/>
  <c r="AK107" i="1"/>
  <c r="AF108" i="1"/>
  <c r="AG108" i="1"/>
  <c r="AJ108" i="1"/>
  <c r="AK108" i="1"/>
  <c r="AF109" i="1"/>
  <c r="AG109" i="1"/>
  <c r="AJ109" i="1"/>
  <c r="AK109" i="1"/>
  <c r="AF110" i="1"/>
  <c r="AG110" i="1"/>
  <c r="AJ110" i="1"/>
  <c r="AK110" i="1"/>
  <c r="AF111" i="1"/>
  <c r="AG111" i="1"/>
  <c r="AJ111" i="1"/>
  <c r="AK111" i="1"/>
  <c r="AF112" i="1"/>
  <c r="AG112" i="1"/>
  <c r="AJ112" i="1"/>
  <c r="AK112" i="1"/>
  <c r="AF113" i="1"/>
  <c r="AG113" i="1"/>
  <c r="AJ113" i="1"/>
  <c r="AK113" i="1"/>
  <c r="AF114" i="1"/>
  <c r="AG114" i="1"/>
  <c r="AJ114" i="1"/>
  <c r="AK114" i="1"/>
  <c r="AF115" i="1"/>
  <c r="AG115" i="1"/>
  <c r="AJ115" i="1"/>
  <c r="AK115" i="1"/>
  <c r="AF116" i="1"/>
  <c r="AG116" i="1"/>
  <c r="AJ116" i="1"/>
  <c r="AK116" i="1"/>
  <c r="AF117" i="1"/>
  <c r="AG117" i="1"/>
  <c r="AJ117" i="1"/>
  <c r="AK117" i="1"/>
  <c r="AF118" i="1"/>
  <c r="AG118" i="1"/>
  <c r="AJ118" i="1"/>
  <c r="AK118" i="1"/>
  <c r="AF119" i="1"/>
  <c r="AG119" i="1"/>
  <c r="AJ119" i="1"/>
  <c r="AK119" i="1"/>
  <c r="AK33" i="1"/>
  <c r="AJ33" i="1"/>
  <c r="AG33" i="1"/>
  <c r="AF33" i="1"/>
  <c r="V119" i="1" l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104" i="1"/>
  <c r="W105" i="1"/>
  <c r="W103" i="1"/>
  <c r="AH67" i="1"/>
  <c r="AH99" i="1"/>
  <c r="AH83" i="1"/>
  <c r="AH75" i="1"/>
  <c r="AH71" i="1"/>
  <c r="AH69" i="1"/>
  <c r="AH68" i="1"/>
  <c r="AH35" i="1"/>
  <c r="AH118" i="1"/>
  <c r="AH117" i="1"/>
  <c r="AH116" i="1"/>
  <c r="AH111" i="1"/>
  <c r="AH109" i="1"/>
  <c r="AH108" i="1"/>
  <c r="AH103" i="1"/>
  <c r="AH101" i="1"/>
  <c r="AH100" i="1"/>
  <c r="AH51" i="1"/>
  <c r="AH43" i="1"/>
  <c r="AH39" i="1"/>
  <c r="AH37" i="1"/>
  <c r="AH36" i="1"/>
  <c r="AH95" i="1"/>
  <c r="AH93" i="1"/>
  <c r="AH91" i="1"/>
  <c r="AH87" i="1"/>
  <c r="AH85" i="1"/>
  <c r="AH84" i="1"/>
  <c r="AH59" i="1"/>
  <c r="AH55" i="1"/>
  <c r="AH53" i="1"/>
  <c r="AH52" i="1"/>
  <c r="AH115" i="1"/>
  <c r="AH107" i="1"/>
  <c r="AH92" i="1"/>
  <c r="AH79" i="1"/>
  <c r="AH77" i="1"/>
  <c r="AH76" i="1"/>
  <c r="AH63" i="1"/>
  <c r="AH61" i="1"/>
  <c r="AH60" i="1"/>
  <c r="AH47" i="1"/>
  <c r="AH45" i="1"/>
  <c r="AH44" i="1"/>
  <c r="AH119" i="1"/>
  <c r="AH113" i="1"/>
  <c r="AH112" i="1"/>
  <c r="AH105" i="1"/>
  <c r="AH104" i="1"/>
  <c r="AH97" i="1"/>
  <c r="AH96" i="1"/>
  <c r="AH89" i="1"/>
  <c r="AH88" i="1"/>
  <c r="AH81" i="1"/>
  <c r="AH80" i="1"/>
  <c r="AH73" i="1"/>
  <c r="AH72" i="1"/>
  <c r="AH65" i="1"/>
  <c r="AH64" i="1"/>
  <c r="AH57" i="1"/>
  <c r="AH56" i="1"/>
  <c r="AH49" i="1"/>
  <c r="AH48" i="1"/>
  <c r="AH41" i="1"/>
  <c r="AH40" i="1"/>
  <c r="AH114" i="1"/>
  <c r="AH110" i="1"/>
  <c r="AH106" i="1"/>
  <c r="AH102" i="1"/>
  <c r="AH98" i="1"/>
  <c r="AH94" i="1"/>
  <c r="AH90" i="1"/>
  <c r="AH86" i="1"/>
  <c r="AH82" i="1"/>
  <c r="AH78" i="1"/>
  <c r="AH74" i="1"/>
  <c r="AH70" i="1"/>
  <c r="AH66" i="1"/>
  <c r="AH62" i="1"/>
  <c r="AH58" i="1"/>
  <c r="AH54" i="1"/>
  <c r="AH50" i="1"/>
  <c r="AH46" i="1"/>
  <c r="AH42" i="1"/>
  <c r="AH38" i="1"/>
  <c r="AH34" i="1"/>
  <c r="AA35" i="1" l="1"/>
  <c r="AC35" i="1"/>
  <c r="U37" i="1"/>
  <c r="AA37" i="1" s="1"/>
  <c r="V37" i="1"/>
  <c r="X37" i="1" s="1"/>
  <c r="AC37" i="1" s="1"/>
  <c r="U39" i="1"/>
  <c r="AA39" i="1" s="1"/>
  <c r="V39" i="1"/>
  <c r="X39" i="1" s="1"/>
  <c r="AC39" i="1" s="1"/>
  <c r="U41" i="1"/>
  <c r="AA41" i="1" s="1"/>
  <c r="V41" i="1"/>
  <c r="X41" i="1" s="1"/>
  <c r="AC41" i="1" s="1"/>
  <c r="U43" i="1"/>
  <c r="AA43" i="1" s="1"/>
  <c r="V43" i="1"/>
  <c r="X43" i="1" s="1"/>
  <c r="AC43" i="1" s="1"/>
  <c r="U45" i="1"/>
  <c r="AA45" i="1" s="1"/>
  <c r="V45" i="1"/>
  <c r="X45" i="1" s="1"/>
  <c r="AC45" i="1" s="1"/>
  <c r="U47" i="1"/>
  <c r="AA47" i="1" s="1"/>
  <c r="V47" i="1"/>
  <c r="X47" i="1" s="1"/>
  <c r="AC47" i="1" s="1"/>
  <c r="U49" i="1"/>
  <c r="AA49" i="1" s="1"/>
  <c r="V49" i="1"/>
  <c r="X49" i="1" s="1"/>
  <c r="AC49" i="1" s="1"/>
  <c r="U51" i="1"/>
  <c r="AA51" i="1" s="1"/>
  <c r="V51" i="1"/>
  <c r="X51" i="1" s="1"/>
  <c r="AC51" i="1" s="1"/>
  <c r="U53" i="1"/>
  <c r="AA53" i="1" s="1"/>
  <c r="V53" i="1"/>
  <c r="X53" i="1" s="1"/>
  <c r="AC53" i="1" s="1"/>
  <c r="U55" i="1"/>
  <c r="AA55" i="1" s="1"/>
  <c r="V55" i="1"/>
  <c r="X55" i="1" s="1"/>
  <c r="AC55" i="1" s="1"/>
  <c r="U57" i="1"/>
  <c r="AA57" i="1" s="1"/>
  <c r="V57" i="1"/>
  <c r="X57" i="1" s="1"/>
  <c r="AC57" i="1" s="1"/>
  <c r="U59" i="1"/>
  <c r="AA59" i="1" s="1"/>
  <c r="V59" i="1"/>
  <c r="X59" i="1" s="1"/>
  <c r="AC59" i="1" s="1"/>
  <c r="U61" i="1"/>
  <c r="AA61" i="1" s="1"/>
  <c r="V61" i="1"/>
  <c r="X61" i="1" s="1"/>
  <c r="AC61" i="1" s="1"/>
  <c r="U63" i="1"/>
  <c r="AA63" i="1" s="1"/>
  <c r="V63" i="1"/>
  <c r="X63" i="1" s="1"/>
  <c r="AC63" i="1" s="1"/>
  <c r="U65" i="1"/>
  <c r="AA65" i="1" s="1"/>
  <c r="V65" i="1"/>
  <c r="X65" i="1" s="1"/>
  <c r="AC65" i="1" s="1"/>
  <c r="U67" i="1"/>
  <c r="AA67" i="1" s="1"/>
  <c r="V67" i="1"/>
  <c r="X67" i="1" s="1"/>
  <c r="AC67" i="1" s="1"/>
  <c r="U69" i="1"/>
  <c r="AA69" i="1" s="1"/>
  <c r="V69" i="1"/>
  <c r="X69" i="1" s="1"/>
  <c r="AC69" i="1" s="1"/>
  <c r="U71" i="1"/>
  <c r="AA71" i="1" s="1"/>
  <c r="V71" i="1"/>
  <c r="X71" i="1" s="1"/>
  <c r="AC71" i="1" s="1"/>
  <c r="U73" i="1"/>
  <c r="AA73" i="1" s="1"/>
  <c r="V73" i="1"/>
  <c r="X73" i="1" s="1"/>
  <c r="AC73" i="1" s="1"/>
  <c r="U75" i="1"/>
  <c r="AA75" i="1" s="1"/>
  <c r="V75" i="1"/>
  <c r="X75" i="1" s="1"/>
  <c r="AC75" i="1" s="1"/>
  <c r="U77" i="1"/>
  <c r="AA77" i="1" s="1"/>
  <c r="V77" i="1"/>
  <c r="X77" i="1" s="1"/>
  <c r="AC77" i="1" s="1"/>
  <c r="U79" i="1"/>
  <c r="AA79" i="1" s="1"/>
  <c r="V79" i="1"/>
  <c r="X79" i="1" s="1"/>
  <c r="AC79" i="1" s="1"/>
  <c r="U81" i="1"/>
  <c r="AA81" i="1" s="1"/>
  <c r="V81" i="1"/>
  <c r="X81" i="1" s="1"/>
  <c r="AC81" i="1" s="1"/>
  <c r="U83" i="1"/>
  <c r="AA83" i="1" s="1"/>
  <c r="V83" i="1"/>
  <c r="X83" i="1" s="1"/>
  <c r="AC83" i="1" s="1"/>
  <c r="U85" i="1"/>
  <c r="AA85" i="1" s="1"/>
  <c r="V85" i="1"/>
  <c r="X85" i="1" s="1"/>
  <c r="AC85" i="1" s="1"/>
  <c r="U87" i="1"/>
  <c r="AA87" i="1" s="1"/>
  <c r="V87" i="1"/>
  <c r="X87" i="1" s="1"/>
  <c r="AC87" i="1" s="1"/>
  <c r="U89" i="1"/>
  <c r="AA89" i="1" s="1"/>
  <c r="V89" i="1"/>
  <c r="X89" i="1" s="1"/>
  <c r="AC89" i="1" s="1"/>
  <c r="U91" i="1"/>
  <c r="AA91" i="1" s="1"/>
  <c r="V91" i="1"/>
  <c r="X91" i="1" s="1"/>
  <c r="AC91" i="1" s="1"/>
  <c r="U93" i="1"/>
  <c r="AA93" i="1" s="1"/>
  <c r="V93" i="1"/>
  <c r="X93" i="1" s="1"/>
  <c r="AC93" i="1" s="1"/>
  <c r="U95" i="1"/>
  <c r="AA95" i="1" s="1"/>
  <c r="V95" i="1"/>
  <c r="X95" i="1" s="1"/>
  <c r="AC95" i="1" s="1"/>
  <c r="U97" i="1"/>
  <c r="AA97" i="1" s="1"/>
  <c r="V97" i="1"/>
  <c r="X97" i="1" s="1"/>
  <c r="AC97" i="1" s="1"/>
  <c r="U99" i="1"/>
  <c r="AA99" i="1" s="1"/>
  <c r="V99" i="1"/>
  <c r="X99" i="1" s="1"/>
  <c r="AC99" i="1" s="1"/>
  <c r="U101" i="1"/>
  <c r="AA101" i="1" s="1"/>
  <c r="V101" i="1"/>
  <c r="X101" i="1" s="1"/>
  <c r="AC101" i="1" s="1"/>
  <c r="U106" i="1"/>
  <c r="AA106" i="1" s="1"/>
  <c r="V106" i="1"/>
  <c r="X106" i="1" s="1"/>
  <c r="AC106" i="1" s="1"/>
  <c r="U108" i="1"/>
  <c r="AA108" i="1" s="1"/>
  <c r="V108" i="1"/>
  <c r="X108" i="1" s="1"/>
  <c r="AC108" i="1" s="1"/>
  <c r="U110" i="1"/>
  <c r="AA110" i="1" s="1"/>
  <c r="V110" i="1"/>
  <c r="X110" i="1" s="1"/>
  <c r="AC110" i="1" s="1"/>
  <c r="U112" i="1"/>
  <c r="AA112" i="1" s="1"/>
  <c r="V112" i="1"/>
  <c r="X112" i="1" s="1"/>
  <c r="AC112" i="1" s="1"/>
  <c r="U114" i="1"/>
  <c r="AA114" i="1" s="1"/>
  <c r="V114" i="1"/>
  <c r="X114" i="1" s="1"/>
  <c r="AC114" i="1" s="1"/>
  <c r="U116" i="1"/>
  <c r="AA116" i="1" s="1"/>
  <c r="V116" i="1"/>
  <c r="X116" i="1" s="1"/>
  <c r="AC116" i="1" s="1"/>
  <c r="U118" i="1"/>
  <c r="AA118" i="1" s="1"/>
  <c r="V118" i="1"/>
  <c r="X118" i="1" s="1"/>
  <c r="AC118" i="1" s="1"/>
  <c r="V105" i="1"/>
  <c r="X105" i="1" s="1"/>
  <c r="AC105" i="1" s="1"/>
  <c r="U105" i="1"/>
  <c r="AA105" i="1" s="1"/>
  <c r="U103" i="1"/>
  <c r="AA103" i="1" s="1"/>
  <c r="V103" i="1"/>
  <c r="X103" i="1" s="1"/>
  <c r="AC103" i="1" s="1"/>
  <c r="AC34" i="1"/>
  <c r="U36" i="1"/>
  <c r="AA36" i="1" s="1"/>
  <c r="V36" i="1"/>
  <c r="X36" i="1" s="1"/>
  <c r="AC36" i="1" s="1"/>
  <c r="U38" i="1"/>
  <c r="AA38" i="1" s="1"/>
  <c r="V38" i="1"/>
  <c r="X38" i="1" s="1"/>
  <c r="AC38" i="1" s="1"/>
  <c r="U40" i="1"/>
  <c r="AA40" i="1" s="1"/>
  <c r="V40" i="1"/>
  <c r="X40" i="1" s="1"/>
  <c r="AC40" i="1" s="1"/>
  <c r="U42" i="1"/>
  <c r="AA42" i="1" s="1"/>
  <c r="V42" i="1"/>
  <c r="X42" i="1" s="1"/>
  <c r="AC42" i="1" s="1"/>
  <c r="U44" i="1"/>
  <c r="AA44" i="1" s="1"/>
  <c r="V44" i="1"/>
  <c r="X44" i="1" s="1"/>
  <c r="AC44" i="1" s="1"/>
  <c r="U46" i="1"/>
  <c r="AA46" i="1" s="1"/>
  <c r="V46" i="1"/>
  <c r="X46" i="1" s="1"/>
  <c r="AC46" i="1" s="1"/>
  <c r="U48" i="1"/>
  <c r="AA48" i="1" s="1"/>
  <c r="V48" i="1"/>
  <c r="X48" i="1" s="1"/>
  <c r="AC48" i="1" s="1"/>
  <c r="U50" i="1"/>
  <c r="AA50" i="1" s="1"/>
  <c r="V50" i="1"/>
  <c r="X50" i="1" s="1"/>
  <c r="AC50" i="1" s="1"/>
  <c r="U52" i="1"/>
  <c r="AA52" i="1" s="1"/>
  <c r="V52" i="1"/>
  <c r="X52" i="1" s="1"/>
  <c r="AC52" i="1" s="1"/>
  <c r="U54" i="1"/>
  <c r="AA54" i="1" s="1"/>
  <c r="V54" i="1"/>
  <c r="X54" i="1" s="1"/>
  <c r="AC54" i="1" s="1"/>
  <c r="U56" i="1"/>
  <c r="AA56" i="1" s="1"/>
  <c r="V56" i="1"/>
  <c r="X56" i="1" s="1"/>
  <c r="AC56" i="1" s="1"/>
  <c r="U58" i="1"/>
  <c r="AA58" i="1" s="1"/>
  <c r="V58" i="1"/>
  <c r="X58" i="1" s="1"/>
  <c r="AC58" i="1" s="1"/>
  <c r="U60" i="1"/>
  <c r="AA60" i="1" s="1"/>
  <c r="V60" i="1"/>
  <c r="X60" i="1" s="1"/>
  <c r="AC60" i="1" s="1"/>
  <c r="U62" i="1"/>
  <c r="AA62" i="1" s="1"/>
  <c r="V62" i="1"/>
  <c r="X62" i="1" s="1"/>
  <c r="AC62" i="1" s="1"/>
  <c r="U64" i="1"/>
  <c r="AA64" i="1" s="1"/>
  <c r="V64" i="1"/>
  <c r="X64" i="1" s="1"/>
  <c r="AC64" i="1" s="1"/>
  <c r="U66" i="1"/>
  <c r="AA66" i="1" s="1"/>
  <c r="V66" i="1"/>
  <c r="X66" i="1" s="1"/>
  <c r="AC66" i="1" s="1"/>
  <c r="U68" i="1"/>
  <c r="AA68" i="1" s="1"/>
  <c r="V68" i="1"/>
  <c r="X68" i="1" s="1"/>
  <c r="AC68" i="1" s="1"/>
  <c r="U70" i="1"/>
  <c r="AA70" i="1" s="1"/>
  <c r="V70" i="1"/>
  <c r="X70" i="1" s="1"/>
  <c r="AC70" i="1" s="1"/>
  <c r="U72" i="1"/>
  <c r="AA72" i="1" s="1"/>
  <c r="V72" i="1"/>
  <c r="X72" i="1" s="1"/>
  <c r="AC72" i="1" s="1"/>
  <c r="U74" i="1"/>
  <c r="AA74" i="1" s="1"/>
  <c r="V74" i="1"/>
  <c r="X74" i="1" s="1"/>
  <c r="AC74" i="1" s="1"/>
  <c r="U76" i="1"/>
  <c r="AA76" i="1" s="1"/>
  <c r="V76" i="1"/>
  <c r="X76" i="1" s="1"/>
  <c r="AC76" i="1" s="1"/>
  <c r="U78" i="1"/>
  <c r="AA78" i="1" s="1"/>
  <c r="V78" i="1"/>
  <c r="X78" i="1" s="1"/>
  <c r="AC78" i="1" s="1"/>
  <c r="U80" i="1"/>
  <c r="AA80" i="1" s="1"/>
  <c r="V80" i="1"/>
  <c r="X80" i="1" s="1"/>
  <c r="AC80" i="1" s="1"/>
  <c r="U82" i="1"/>
  <c r="AA82" i="1" s="1"/>
  <c r="V82" i="1"/>
  <c r="X82" i="1" s="1"/>
  <c r="AC82" i="1" s="1"/>
  <c r="U84" i="1"/>
  <c r="AA84" i="1" s="1"/>
  <c r="V84" i="1"/>
  <c r="X84" i="1" s="1"/>
  <c r="AC84" i="1" s="1"/>
  <c r="U86" i="1"/>
  <c r="AA86" i="1" s="1"/>
  <c r="V86" i="1"/>
  <c r="X86" i="1" s="1"/>
  <c r="AC86" i="1" s="1"/>
  <c r="U88" i="1"/>
  <c r="AA88" i="1" s="1"/>
  <c r="V88" i="1"/>
  <c r="X88" i="1" s="1"/>
  <c r="AC88" i="1" s="1"/>
  <c r="U90" i="1"/>
  <c r="AA90" i="1" s="1"/>
  <c r="V90" i="1"/>
  <c r="X90" i="1" s="1"/>
  <c r="AC90" i="1" s="1"/>
  <c r="U92" i="1"/>
  <c r="AA92" i="1" s="1"/>
  <c r="V92" i="1"/>
  <c r="X92" i="1" s="1"/>
  <c r="AC92" i="1" s="1"/>
  <c r="U94" i="1"/>
  <c r="AA94" i="1" s="1"/>
  <c r="V94" i="1"/>
  <c r="X94" i="1" s="1"/>
  <c r="AC94" i="1" s="1"/>
  <c r="U96" i="1"/>
  <c r="AA96" i="1" s="1"/>
  <c r="V96" i="1"/>
  <c r="X96" i="1" s="1"/>
  <c r="AC96" i="1" s="1"/>
  <c r="U98" i="1"/>
  <c r="AA98" i="1" s="1"/>
  <c r="V98" i="1"/>
  <c r="X98" i="1" s="1"/>
  <c r="AC98" i="1" s="1"/>
  <c r="U100" i="1"/>
  <c r="AA100" i="1" s="1"/>
  <c r="V100" i="1"/>
  <c r="X100" i="1" s="1"/>
  <c r="AC100" i="1" s="1"/>
  <c r="U102" i="1"/>
  <c r="AA102" i="1" s="1"/>
  <c r="V102" i="1"/>
  <c r="X102" i="1" s="1"/>
  <c r="AC102" i="1" s="1"/>
  <c r="U107" i="1"/>
  <c r="AA107" i="1" s="1"/>
  <c r="V107" i="1"/>
  <c r="X107" i="1" s="1"/>
  <c r="AC107" i="1" s="1"/>
  <c r="U109" i="1"/>
  <c r="AA109" i="1" s="1"/>
  <c r="V109" i="1"/>
  <c r="X109" i="1" s="1"/>
  <c r="AC109" i="1" s="1"/>
  <c r="U111" i="1"/>
  <c r="AA111" i="1" s="1"/>
  <c r="V111" i="1"/>
  <c r="X111" i="1" s="1"/>
  <c r="AC111" i="1" s="1"/>
  <c r="U113" i="1"/>
  <c r="AA113" i="1" s="1"/>
  <c r="V113" i="1"/>
  <c r="X113" i="1" s="1"/>
  <c r="AC113" i="1" s="1"/>
  <c r="U115" i="1"/>
  <c r="AA115" i="1" s="1"/>
  <c r="V115" i="1"/>
  <c r="X115" i="1" s="1"/>
  <c r="AC115" i="1" s="1"/>
  <c r="U117" i="1"/>
  <c r="AA117" i="1" s="1"/>
  <c r="V117" i="1"/>
  <c r="X117" i="1" s="1"/>
  <c r="AC117" i="1" s="1"/>
  <c r="X119" i="1"/>
  <c r="AC119" i="1" s="1"/>
  <c r="V104" i="1"/>
  <c r="X104" i="1" s="1"/>
  <c r="AC104" i="1" s="1"/>
  <c r="U104" i="1"/>
  <c r="AA104" i="1" s="1"/>
  <c r="AA33" i="1"/>
  <c r="AC33" i="1"/>
  <c r="AA34" i="1"/>
  <c r="AD34" i="1" s="1"/>
  <c r="AD117" i="1" l="1"/>
  <c r="AD115" i="1"/>
  <c r="AD113" i="1"/>
  <c r="AD111" i="1"/>
  <c r="AD109" i="1"/>
  <c r="AD107" i="1"/>
  <c r="AD102" i="1"/>
  <c r="AD100" i="1"/>
  <c r="AD98" i="1"/>
  <c r="AD96" i="1"/>
  <c r="AD94" i="1"/>
  <c r="AD92" i="1"/>
  <c r="AD90" i="1"/>
  <c r="AD88" i="1"/>
  <c r="AD86" i="1"/>
  <c r="AD84" i="1"/>
  <c r="AD82" i="1"/>
  <c r="AD80" i="1"/>
  <c r="AD78" i="1"/>
  <c r="AD76" i="1"/>
  <c r="AD74" i="1"/>
  <c r="AD72" i="1"/>
  <c r="AD70" i="1"/>
  <c r="AD68" i="1"/>
  <c r="AD66" i="1"/>
  <c r="AD64" i="1"/>
  <c r="AD62" i="1"/>
  <c r="AD60" i="1"/>
  <c r="AD58" i="1"/>
  <c r="AD56" i="1"/>
  <c r="AD54" i="1"/>
  <c r="AD52" i="1"/>
  <c r="AD50" i="1"/>
  <c r="AD48" i="1"/>
  <c r="AD46" i="1"/>
  <c r="AD44" i="1"/>
  <c r="AD42" i="1"/>
  <c r="AD40" i="1"/>
  <c r="AD38" i="1"/>
  <c r="AD104" i="1"/>
  <c r="AD105" i="1"/>
  <c r="AD36" i="1"/>
  <c r="AD33" i="1"/>
  <c r="AD103" i="1"/>
  <c r="AD118" i="1"/>
  <c r="AD116" i="1"/>
  <c r="AD114" i="1"/>
  <c r="AD112" i="1"/>
  <c r="AD110" i="1"/>
  <c r="AD108" i="1"/>
  <c r="AD106" i="1"/>
  <c r="AD101" i="1"/>
  <c r="AD99" i="1"/>
  <c r="AD97" i="1"/>
  <c r="AD95" i="1"/>
  <c r="AD93" i="1"/>
  <c r="AD91" i="1"/>
  <c r="AD89" i="1"/>
  <c r="AD87" i="1"/>
  <c r="AD85" i="1"/>
  <c r="AD83" i="1"/>
  <c r="AD81" i="1"/>
  <c r="AD79" i="1"/>
  <c r="AD77" i="1"/>
  <c r="AD75" i="1"/>
  <c r="AD73" i="1"/>
  <c r="AD71" i="1"/>
  <c r="AD69" i="1"/>
  <c r="AD67" i="1"/>
  <c r="AD65" i="1"/>
  <c r="AD63" i="1"/>
  <c r="AD61" i="1"/>
  <c r="AD59" i="1"/>
  <c r="AD57" i="1"/>
  <c r="AD55" i="1"/>
  <c r="AD53" i="1"/>
  <c r="AD51" i="1"/>
  <c r="AD49" i="1"/>
  <c r="AD47" i="1"/>
  <c r="AD45" i="1"/>
  <c r="AD43" i="1"/>
  <c r="AD41" i="1"/>
  <c r="AD39" i="1"/>
  <c r="AD37" i="1"/>
  <c r="AD35" i="1"/>
  <c r="K91" i="5"/>
  <c r="W103" i="5" l="1"/>
  <c r="S103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92" i="5"/>
  <c r="J93" i="5"/>
  <c r="J94" i="5"/>
  <c r="J95" i="5"/>
  <c r="J96" i="5"/>
  <c r="J97" i="5"/>
  <c r="J98" i="5"/>
  <c r="J99" i="5"/>
  <c r="J100" i="5"/>
  <c r="J101" i="5"/>
  <c r="J102" i="5"/>
  <c r="J103" i="5"/>
  <c r="J25" i="5"/>
  <c r="N103" i="5"/>
  <c r="U119" i="1" l="1"/>
  <c r="AA119" i="1" l="1"/>
  <c r="AD119" i="1" s="1"/>
  <c r="AH32" i="1"/>
  <c r="AE28" i="1"/>
  <c r="AE34" i="1" l="1"/>
  <c r="AE35" i="1"/>
  <c r="AE38" i="1"/>
  <c r="AE39" i="1"/>
  <c r="AE42" i="1"/>
  <c r="AE43" i="1"/>
  <c r="AE46" i="1"/>
  <c r="AE47" i="1"/>
  <c r="AE50" i="1"/>
  <c r="AE51" i="1"/>
  <c r="AE54" i="1"/>
  <c r="AE55" i="1"/>
  <c r="AE58" i="1"/>
  <c r="AE59" i="1"/>
  <c r="AE62" i="1"/>
  <c r="AE63" i="1"/>
  <c r="AE66" i="1"/>
  <c r="AE67" i="1"/>
  <c r="AE70" i="1"/>
  <c r="AE71" i="1"/>
  <c r="AE74" i="1"/>
  <c r="AE75" i="1"/>
  <c r="AE78" i="1"/>
  <c r="AE79" i="1"/>
  <c r="AE82" i="1"/>
  <c r="AE83" i="1"/>
  <c r="AE86" i="1"/>
  <c r="AE87" i="1"/>
  <c r="AE90" i="1"/>
  <c r="AE91" i="1"/>
  <c r="AE94" i="1"/>
  <c r="AE95" i="1"/>
  <c r="AE98" i="1"/>
  <c r="AE99" i="1"/>
  <c r="AE102" i="1"/>
  <c r="AE103" i="1"/>
  <c r="AE106" i="1"/>
  <c r="AE107" i="1"/>
  <c r="AE110" i="1"/>
  <c r="AE111" i="1"/>
  <c r="AE114" i="1"/>
  <c r="AE115" i="1"/>
  <c r="AE118" i="1"/>
  <c r="AE40" i="1"/>
  <c r="AE41" i="1"/>
  <c r="AE48" i="1"/>
  <c r="AE49" i="1"/>
  <c r="AE56" i="1"/>
  <c r="AE57" i="1"/>
  <c r="AE64" i="1"/>
  <c r="AE65" i="1"/>
  <c r="AE72" i="1"/>
  <c r="AE73" i="1"/>
  <c r="AE80" i="1"/>
  <c r="AE81" i="1"/>
  <c r="AE88" i="1"/>
  <c r="AE89" i="1"/>
  <c r="AE96" i="1"/>
  <c r="AE97" i="1"/>
  <c r="AE104" i="1"/>
  <c r="AE105" i="1"/>
  <c r="AE112" i="1"/>
  <c r="AE113" i="1"/>
  <c r="AE36" i="1"/>
  <c r="AE37" i="1"/>
  <c r="AE44" i="1"/>
  <c r="AE45" i="1"/>
  <c r="AE52" i="1"/>
  <c r="AE53" i="1"/>
  <c r="AE60" i="1"/>
  <c r="AE61" i="1"/>
  <c r="AE68" i="1"/>
  <c r="AE69" i="1"/>
  <c r="AE76" i="1"/>
  <c r="AE77" i="1"/>
  <c r="AE84" i="1"/>
  <c r="AE85" i="1"/>
  <c r="AE92" i="1"/>
  <c r="AE93" i="1"/>
  <c r="AE100" i="1"/>
  <c r="AE101" i="1"/>
  <c r="AE108" i="1"/>
  <c r="AE109" i="1"/>
  <c r="AE116" i="1"/>
  <c r="AE117" i="1"/>
  <c r="AE119" i="1"/>
  <c r="AE33" i="1"/>
  <c r="AH33" i="1"/>
  <c r="U44" i="5" l="1"/>
  <c r="U45" i="5"/>
  <c r="U46" i="5"/>
  <c r="U47" i="5"/>
  <c r="U48" i="5"/>
  <c r="U49" i="5"/>
  <c r="U50" i="5"/>
  <c r="U51" i="5"/>
  <c r="U52" i="5"/>
  <c r="U53" i="5"/>
  <c r="U54" i="5"/>
  <c r="U55" i="5"/>
  <c r="U43" i="5"/>
  <c r="H93" i="5"/>
  <c r="H94" i="5"/>
  <c r="H95" i="5"/>
  <c r="H8" i="5" s="1"/>
  <c r="H96" i="5"/>
  <c r="H97" i="5"/>
  <c r="H98" i="5"/>
  <c r="H99" i="5"/>
  <c r="H12" i="5" s="1"/>
  <c r="H100" i="5"/>
  <c r="H101" i="5"/>
  <c r="H102" i="5"/>
  <c r="H103" i="5"/>
  <c r="H92" i="5"/>
  <c r="H81" i="5"/>
  <c r="H82" i="5"/>
  <c r="H83" i="5"/>
  <c r="H84" i="5"/>
  <c r="H85" i="5"/>
  <c r="H86" i="5"/>
  <c r="H87" i="5"/>
  <c r="H88" i="5"/>
  <c r="H89" i="5"/>
  <c r="H90" i="5"/>
  <c r="H91" i="5"/>
  <c r="H80" i="5"/>
  <c r="H69" i="5"/>
  <c r="H70" i="5"/>
  <c r="H71" i="5"/>
  <c r="H72" i="5"/>
  <c r="H73" i="5"/>
  <c r="H74" i="5"/>
  <c r="H75" i="5"/>
  <c r="H76" i="5"/>
  <c r="H77" i="5"/>
  <c r="H78" i="5"/>
  <c r="H79" i="5"/>
  <c r="H68" i="5"/>
  <c r="H57" i="5"/>
  <c r="H58" i="5"/>
  <c r="H59" i="5"/>
  <c r="H60" i="5"/>
  <c r="H61" i="5"/>
  <c r="H62" i="5"/>
  <c r="H63" i="5"/>
  <c r="H64" i="5"/>
  <c r="H65" i="5"/>
  <c r="H66" i="5"/>
  <c r="H67" i="5"/>
  <c r="H56" i="5"/>
  <c r="H45" i="5"/>
  <c r="H46" i="5"/>
  <c r="H47" i="5"/>
  <c r="H48" i="5"/>
  <c r="H49" i="5"/>
  <c r="H50" i="5"/>
  <c r="H51" i="5"/>
  <c r="H52" i="5"/>
  <c r="H53" i="5"/>
  <c r="H54" i="5"/>
  <c r="H55" i="5"/>
  <c r="H44" i="5"/>
  <c r="H33" i="5"/>
  <c r="H34" i="5"/>
  <c r="H35" i="5"/>
  <c r="H36" i="5"/>
  <c r="H37" i="5"/>
  <c r="H38" i="5"/>
  <c r="H39" i="5"/>
  <c r="H40" i="5"/>
  <c r="H41" i="5"/>
  <c r="H42" i="5"/>
  <c r="H43" i="5"/>
  <c r="H32" i="5"/>
  <c r="H23" i="5"/>
  <c r="H24" i="5"/>
  <c r="H25" i="5"/>
  <c r="H26" i="5"/>
  <c r="H27" i="5"/>
  <c r="H28" i="5"/>
  <c r="H29" i="5"/>
  <c r="H30" i="5"/>
  <c r="H31" i="5"/>
  <c r="H21" i="5"/>
  <c r="H22" i="5"/>
  <c r="H20" i="5"/>
  <c r="H16" i="5"/>
  <c r="G103" i="5"/>
  <c r="H14" i="5"/>
  <c r="H10" i="5"/>
  <c r="G91" i="5"/>
  <c r="G79" i="5"/>
  <c r="G67" i="5"/>
  <c r="G55" i="5"/>
  <c r="G43" i="5"/>
  <c r="G31" i="5"/>
  <c r="Y69" i="5"/>
  <c r="Y70" i="5"/>
  <c r="Y71" i="5"/>
  <c r="Y72" i="5"/>
  <c r="Y73" i="5"/>
  <c r="Y74" i="5"/>
  <c r="Y75" i="5"/>
  <c r="Y76" i="5"/>
  <c r="Y77" i="5"/>
  <c r="Y78" i="5"/>
  <c r="Y79" i="5"/>
  <c r="Y68" i="5"/>
  <c r="Y57" i="5"/>
  <c r="Y58" i="5"/>
  <c r="Y59" i="5"/>
  <c r="Y60" i="5"/>
  <c r="Y61" i="5"/>
  <c r="Y62" i="5"/>
  <c r="Y63" i="5"/>
  <c r="Y64" i="5"/>
  <c r="Y65" i="5"/>
  <c r="Y66" i="5"/>
  <c r="Y67" i="5"/>
  <c r="Y56" i="5"/>
  <c r="Y45" i="5"/>
  <c r="Y46" i="5"/>
  <c r="Y47" i="5"/>
  <c r="Y48" i="5"/>
  <c r="Y49" i="5"/>
  <c r="Y50" i="5"/>
  <c r="Y51" i="5"/>
  <c r="Y52" i="5"/>
  <c r="Y53" i="5"/>
  <c r="Y54" i="5"/>
  <c r="Y55" i="5"/>
  <c r="Y44" i="5"/>
  <c r="Y33" i="5"/>
  <c r="Y34" i="5"/>
  <c r="Y35" i="5"/>
  <c r="Y36" i="5"/>
  <c r="Y37" i="5"/>
  <c r="Y38" i="5"/>
  <c r="Y39" i="5"/>
  <c r="Y40" i="5"/>
  <c r="Y41" i="5"/>
  <c r="Y42" i="5"/>
  <c r="Y43" i="5"/>
  <c r="Y32" i="5"/>
  <c r="X62" i="5"/>
  <c r="X63" i="5"/>
  <c r="X64" i="5"/>
  <c r="X65" i="5"/>
  <c r="X66" i="5"/>
  <c r="X67" i="5"/>
  <c r="X68" i="5"/>
  <c r="X69" i="5"/>
  <c r="X70" i="5"/>
  <c r="X71" i="5"/>
  <c r="X72" i="5"/>
  <c r="X61" i="5"/>
  <c r="X50" i="5"/>
  <c r="X51" i="5"/>
  <c r="X52" i="5"/>
  <c r="X53" i="5"/>
  <c r="X54" i="5"/>
  <c r="X55" i="5"/>
  <c r="X56" i="5"/>
  <c r="X57" i="5"/>
  <c r="X58" i="5"/>
  <c r="X59" i="5"/>
  <c r="X60" i="5"/>
  <c r="X49" i="5"/>
  <c r="X38" i="5"/>
  <c r="X39" i="5"/>
  <c r="X40" i="5"/>
  <c r="X41" i="5"/>
  <c r="X42" i="5"/>
  <c r="X43" i="5"/>
  <c r="X44" i="5"/>
  <c r="X45" i="5"/>
  <c r="X46" i="5"/>
  <c r="X47" i="5"/>
  <c r="X48" i="5"/>
  <c r="X37" i="5"/>
  <c r="X26" i="5"/>
  <c r="X27" i="5"/>
  <c r="X28" i="5"/>
  <c r="X29" i="5"/>
  <c r="X30" i="5"/>
  <c r="X31" i="5"/>
  <c r="X32" i="5"/>
  <c r="X33" i="5"/>
  <c r="X34" i="5"/>
  <c r="X35" i="5"/>
  <c r="X36" i="5"/>
  <c r="X25" i="5"/>
  <c r="U69" i="5"/>
  <c r="U70" i="5"/>
  <c r="U71" i="5"/>
  <c r="U72" i="5"/>
  <c r="U73" i="5"/>
  <c r="U74" i="5"/>
  <c r="U75" i="5"/>
  <c r="U76" i="5"/>
  <c r="U77" i="5"/>
  <c r="U78" i="5"/>
  <c r="U79" i="5"/>
  <c r="U68" i="5"/>
  <c r="U57" i="5"/>
  <c r="U58" i="5"/>
  <c r="U59" i="5"/>
  <c r="U60" i="5"/>
  <c r="U61" i="5"/>
  <c r="U62" i="5"/>
  <c r="U63" i="5"/>
  <c r="U64" i="5"/>
  <c r="U65" i="5"/>
  <c r="U66" i="5"/>
  <c r="U67" i="5"/>
  <c r="U56" i="5"/>
  <c r="U33" i="5"/>
  <c r="U34" i="5"/>
  <c r="U7" i="5" s="1"/>
  <c r="U35" i="5"/>
  <c r="U36" i="5"/>
  <c r="U9" i="5" s="1"/>
  <c r="U37" i="5"/>
  <c r="U38" i="5"/>
  <c r="U11" i="5" s="1"/>
  <c r="U39" i="5"/>
  <c r="U12" i="5" s="1"/>
  <c r="U40" i="5"/>
  <c r="U13" i="5" s="1"/>
  <c r="U41" i="5"/>
  <c r="U14" i="5" s="1"/>
  <c r="U42" i="5"/>
  <c r="U15" i="5" s="1"/>
  <c r="U32" i="5"/>
  <c r="T62" i="5"/>
  <c r="T63" i="5"/>
  <c r="T64" i="5"/>
  <c r="T65" i="5"/>
  <c r="T66" i="5"/>
  <c r="T67" i="5"/>
  <c r="T68" i="5"/>
  <c r="T69" i="5"/>
  <c r="T70" i="5"/>
  <c r="T71" i="5"/>
  <c r="T72" i="5"/>
  <c r="T61" i="5"/>
  <c r="T50" i="5"/>
  <c r="T51" i="5"/>
  <c r="T52" i="5"/>
  <c r="T53" i="5"/>
  <c r="T54" i="5"/>
  <c r="T55" i="5"/>
  <c r="T56" i="5"/>
  <c r="T57" i="5"/>
  <c r="T58" i="5"/>
  <c r="T59" i="5"/>
  <c r="T60" i="5"/>
  <c r="T49" i="5"/>
  <c r="T38" i="5"/>
  <c r="T39" i="5"/>
  <c r="T40" i="5"/>
  <c r="T41" i="5"/>
  <c r="T42" i="5"/>
  <c r="T43" i="5"/>
  <c r="T44" i="5"/>
  <c r="T45" i="5"/>
  <c r="T46" i="5"/>
  <c r="T47" i="5"/>
  <c r="T48" i="5"/>
  <c r="T37" i="5"/>
  <c r="T26" i="5"/>
  <c r="T27" i="5"/>
  <c r="T28" i="5"/>
  <c r="T29" i="5"/>
  <c r="T30" i="5"/>
  <c r="T31" i="5"/>
  <c r="T32" i="5"/>
  <c r="T33" i="5"/>
  <c r="T34" i="5"/>
  <c r="T35" i="5"/>
  <c r="T36" i="5"/>
  <c r="T25" i="5"/>
  <c r="W79" i="5"/>
  <c r="W72" i="5"/>
  <c r="W67" i="5"/>
  <c r="W60" i="5"/>
  <c r="W55" i="5"/>
  <c r="W48" i="5"/>
  <c r="W43" i="5"/>
  <c r="W36" i="5"/>
  <c r="S79" i="5"/>
  <c r="S72" i="5"/>
  <c r="S67" i="5"/>
  <c r="S60" i="5"/>
  <c r="S55" i="5"/>
  <c r="S48" i="5"/>
  <c r="S43" i="5"/>
  <c r="S36" i="5"/>
  <c r="P45" i="5"/>
  <c r="P46" i="5"/>
  <c r="P47" i="5"/>
  <c r="P48" i="5"/>
  <c r="P49" i="5"/>
  <c r="P50" i="5"/>
  <c r="P51" i="5"/>
  <c r="P52" i="5"/>
  <c r="P53" i="5"/>
  <c r="P54" i="5"/>
  <c r="P55" i="5"/>
  <c r="P44" i="5"/>
  <c r="P69" i="5"/>
  <c r="P70" i="5"/>
  <c r="P71" i="5"/>
  <c r="P72" i="5"/>
  <c r="P73" i="5"/>
  <c r="P74" i="5"/>
  <c r="P75" i="5"/>
  <c r="P76" i="5"/>
  <c r="P77" i="5"/>
  <c r="P78" i="5"/>
  <c r="P79" i="5"/>
  <c r="P68" i="5"/>
  <c r="P57" i="5"/>
  <c r="P58" i="5"/>
  <c r="P59" i="5"/>
  <c r="P60" i="5"/>
  <c r="P61" i="5"/>
  <c r="P62" i="5"/>
  <c r="P63" i="5"/>
  <c r="P64" i="5"/>
  <c r="P65" i="5"/>
  <c r="P66" i="5"/>
  <c r="P67" i="5"/>
  <c r="P56" i="5"/>
  <c r="O62" i="5"/>
  <c r="O63" i="5"/>
  <c r="O64" i="5"/>
  <c r="O65" i="5"/>
  <c r="O66" i="5"/>
  <c r="O67" i="5"/>
  <c r="O68" i="5"/>
  <c r="O69" i="5"/>
  <c r="O70" i="5"/>
  <c r="O71" i="5"/>
  <c r="O72" i="5"/>
  <c r="O61" i="5"/>
  <c r="O50" i="5"/>
  <c r="O51" i="5"/>
  <c r="O52" i="5"/>
  <c r="O53" i="5"/>
  <c r="O54" i="5"/>
  <c r="O55" i="5"/>
  <c r="O56" i="5"/>
  <c r="O57" i="5"/>
  <c r="O58" i="5"/>
  <c r="O59" i="5"/>
  <c r="O60" i="5"/>
  <c r="O49" i="5"/>
  <c r="O38" i="5"/>
  <c r="O39" i="5"/>
  <c r="O40" i="5"/>
  <c r="O41" i="5"/>
  <c r="O42" i="5"/>
  <c r="O43" i="5"/>
  <c r="O44" i="5"/>
  <c r="O45" i="5"/>
  <c r="O46" i="5"/>
  <c r="O47" i="5"/>
  <c r="O48" i="5"/>
  <c r="O37" i="5"/>
  <c r="P37" i="5"/>
  <c r="P38" i="5"/>
  <c r="P39" i="5"/>
  <c r="P40" i="5"/>
  <c r="P41" i="5"/>
  <c r="P42" i="5"/>
  <c r="P43" i="5"/>
  <c r="P33" i="5"/>
  <c r="P34" i="5"/>
  <c r="P35" i="5"/>
  <c r="P36" i="5"/>
  <c r="O32" i="5"/>
  <c r="O33" i="5"/>
  <c r="O34" i="5"/>
  <c r="O35" i="5"/>
  <c r="O36" i="5"/>
  <c r="P32" i="5"/>
  <c r="O26" i="5"/>
  <c r="O27" i="5"/>
  <c r="O28" i="5"/>
  <c r="O29" i="5"/>
  <c r="O30" i="5"/>
  <c r="O31" i="5"/>
  <c r="O25" i="5"/>
  <c r="N79" i="5"/>
  <c r="N67" i="5"/>
  <c r="N55" i="5"/>
  <c r="N43" i="5"/>
  <c r="N72" i="5"/>
  <c r="N60" i="5"/>
  <c r="N48" i="5"/>
  <c r="N36" i="5"/>
  <c r="E93" i="5"/>
  <c r="E94" i="5"/>
  <c r="AB94" i="5" s="1"/>
  <c r="E95" i="5"/>
  <c r="E96" i="5"/>
  <c r="AB96" i="5" s="1"/>
  <c r="E97" i="5"/>
  <c r="E98" i="5"/>
  <c r="AB98" i="5" s="1"/>
  <c r="E99" i="5"/>
  <c r="E100" i="5"/>
  <c r="AB100" i="5" s="1"/>
  <c r="E101" i="5"/>
  <c r="E102" i="5"/>
  <c r="AB102" i="5" s="1"/>
  <c r="E103" i="5"/>
  <c r="E92" i="5"/>
  <c r="AB92" i="5" s="1"/>
  <c r="E81" i="5"/>
  <c r="E82" i="5"/>
  <c r="AB82" i="5" s="1"/>
  <c r="E83" i="5"/>
  <c r="E84" i="5"/>
  <c r="AB84" i="5" s="1"/>
  <c r="E85" i="5"/>
  <c r="E86" i="5"/>
  <c r="AB86" i="5" s="1"/>
  <c r="E87" i="5"/>
  <c r="E88" i="5"/>
  <c r="AB88" i="5" s="1"/>
  <c r="E89" i="5"/>
  <c r="E90" i="5"/>
  <c r="AB90" i="5" s="1"/>
  <c r="E91" i="5"/>
  <c r="E80" i="5"/>
  <c r="AB80" i="5" s="1"/>
  <c r="E69" i="5"/>
  <c r="E70" i="5"/>
  <c r="AB70" i="5" s="1"/>
  <c r="E71" i="5"/>
  <c r="E72" i="5"/>
  <c r="AB72" i="5" s="1"/>
  <c r="E73" i="5"/>
  <c r="E74" i="5"/>
  <c r="AB74" i="5" s="1"/>
  <c r="E75" i="5"/>
  <c r="E76" i="5"/>
  <c r="AB76" i="5" s="1"/>
  <c r="E77" i="5"/>
  <c r="E78" i="5"/>
  <c r="AB78" i="5" s="1"/>
  <c r="E79" i="5"/>
  <c r="E68" i="5"/>
  <c r="AB68" i="5" s="1"/>
  <c r="E57" i="5"/>
  <c r="E58" i="5"/>
  <c r="AB58" i="5" s="1"/>
  <c r="E59" i="5"/>
  <c r="E60" i="5"/>
  <c r="AB60" i="5" s="1"/>
  <c r="E61" i="5"/>
  <c r="E62" i="5"/>
  <c r="AB62" i="5" s="1"/>
  <c r="E63" i="5"/>
  <c r="E64" i="5"/>
  <c r="AB64" i="5" s="1"/>
  <c r="E65" i="5"/>
  <c r="E66" i="5"/>
  <c r="AB66" i="5" s="1"/>
  <c r="E67" i="5"/>
  <c r="E56" i="5"/>
  <c r="AB56" i="5" s="1"/>
  <c r="E45" i="5"/>
  <c r="E46" i="5"/>
  <c r="AB46" i="5" s="1"/>
  <c r="E47" i="5"/>
  <c r="E48" i="5"/>
  <c r="AB48" i="5" s="1"/>
  <c r="E49" i="5"/>
  <c r="E50" i="5"/>
  <c r="AB50" i="5" s="1"/>
  <c r="E51" i="5"/>
  <c r="E52" i="5"/>
  <c r="AB52" i="5" s="1"/>
  <c r="E53" i="5"/>
  <c r="E54" i="5"/>
  <c r="AB54" i="5" s="1"/>
  <c r="E55" i="5"/>
  <c r="E44" i="5"/>
  <c r="AB44" i="5" s="1"/>
  <c r="E33" i="5"/>
  <c r="E34" i="5"/>
  <c r="AB34" i="5" s="1"/>
  <c r="E35" i="5"/>
  <c r="E36" i="5"/>
  <c r="AB36" i="5" s="1"/>
  <c r="E37" i="5"/>
  <c r="E38" i="5"/>
  <c r="AB38" i="5" s="1"/>
  <c r="E39" i="5"/>
  <c r="E40" i="5"/>
  <c r="AB40" i="5" s="1"/>
  <c r="E41" i="5"/>
  <c r="E42" i="5"/>
  <c r="AB42" i="5" s="1"/>
  <c r="E43" i="5"/>
  <c r="E32" i="5"/>
  <c r="AB32" i="5" s="1"/>
  <c r="E21" i="5"/>
  <c r="E22" i="5"/>
  <c r="E23" i="5"/>
  <c r="E24" i="5"/>
  <c r="E25" i="5"/>
  <c r="E26" i="5"/>
  <c r="AB26" i="5" s="1"/>
  <c r="E27" i="5"/>
  <c r="E28" i="5"/>
  <c r="AB28" i="5" s="1"/>
  <c r="E29" i="5"/>
  <c r="E30" i="5"/>
  <c r="AB30" i="5" s="1"/>
  <c r="E31" i="5"/>
  <c r="E20" i="5"/>
  <c r="D103" i="5"/>
  <c r="D91" i="5"/>
  <c r="D79" i="5"/>
  <c r="D67" i="5"/>
  <c r="D55" i="5"/>
  <c r="D43" i="5"/>
  <c r="D31" i="5"/>
  <c r="AB31" i="5" l="1"/>
  <c r="AB29" i="5"/>
  <c r="AB27" i="5"/>
  <c r="AB25" i="5"/>
  <c r="AB43" i="5"/>
  <c r="AB41" i="5"/>
  <c r="AB39" i="5"/>
  <c r="AB37" i="5"/>
  <c r="AB35" i="5"/>
  <c r="AB33" i="5"/>
  <c r="AB55" i="5"/>
  <c r="AB53" i="5"/>
  <c r="AB51" i="5"/>
  <c r="AB49" i="5"/>
  <c r="AB47" i="5"/>
  <c r="AB45" i="5"/>
  <c r="AB67" i="5"/>
  <c r="AB65" i="5"/>
  <c r="AB63" i="5"/>
  <c r="AB61" i="5"/>
  <c r="AB59" i="5"/>
  <c r="AB57" i="5"/>
  <c r="AB79" i="5"/>
  <c r="AB77" i="5"/>
  <c r="AB75" i="5"/>
  <c r="AB73" i="5"/>
  <c r="AB71" i="5"/>
  <c r="AB69" i="5"/>
  <c r="AB91" i="5"/>
  <c r="AB89" i="5"/>
  <c r="V89" i="5" s="1"/>
  <c r="AB87" i="5"/>
  <c r="AB85" i="5"/>
  <c r="V85" i="5" s="1"/>
  <c r="AB83" i="5"/>
  <c r="AB81" i="5"/>
  <c r="V81" i="5" s="1"/>
  <c r="AB103" i="5"/>
  <c r="AB101" i="5"/>
  <c r="AB14" i="5" s="1"/>
  <c r="AB99" i="5"/>
  <c r="AB97" i="5"/>
  <c r="AB10" i="5" s="1"/>
  <c r="AB95" i="5"/>
  <c r="AB93" i="5"/>
  <c r="AB6" i="5" s="1"/>
  <c r="H6" i="5"/>
  <c r="V91" i="5"/>
  <c r="R91" i="5"/>
  <c r="M91" i="5"/>
  <c r="R89" i="5"/>
  <c r="V87" i="5"/>
  <c r="R87" i="5"/>
  <c r="M87" i="5"/>
  <c r="R85" i="5"/>
  <c r="V83" i="5"/>
  <c r="R83" i="5"/>
  <c r="M83" i="5"/>
  <c r="R81" i="5"/>
  <c r="AB16" i="5"/>
  <c r="AB12" i="5"/>
  <c r="AB8" i="5"/>
  <c r="V80" i="5"/>
  <c r="R80" i="5"/>
  <c r="M80" i="5"/>
  <c r="V90" i="5"/>
  <c r="R90" i="5"/>
  <c r="M90" i="5"/>
  <c r="V88" i="5"/>
  <c r="R88" i="5"/>
  <c r="M88" i="5"/>
  <c r="V86" i="5"/>
  <c r="R86" i="5"/>
  <c r="M86" i="5"/>
  <c r="V84" i="5"/>
  <c r="R84" i="5"/>
  <c r="M84" i="5"/>
  <c r="V82" i="5"/>
  <c r="R82" i="5"/>
  <c r="M82" i="5"/>
  <c r="AB5" i="5"/>
  <c r="AB15" i="5"/>
  <c r="AB13" i="5"/>
  <c r="AB11" i="5"/>
  <c r="AB9" i="5"/>
  <c r="AB7" i="5"/>
  <c r="H5" i="5"/>
  <c r="H15" i="5"/>
  <c r="H13" i="5"/>
  <c r="H11" i="5"/>
  <c r="H9" i="5"/>
  <c r="H7" i="5"/>
  <c r="E16" i="5"/>
  <c r="E14" i="5"/>
  <c r="E12" i="5"/>
  <c r="E10" i="5"/>
  <c r="E8" i="5"/>
  <c r="E6" i="5"/>
  <c r="O9" i="5"/>
  <c r="O7" i="5"/>
  <c r="O5" i="5"/>
  <c r="O17" i="5" s="1"/>
  <c r="O15" i="5"/>
  <c r="O13" i="5"/>
  <c r="O11" i="5"/>
  <c r="P16" i="5"/>
  <c r="P14" i="5"/>
  <c r="P12" i="5"/>
  <c r="P10" i="5"/>
  <c r="P8" i="5"/>
  <c r="P6" i="5"/>
  <c r="T9" i="5"/>
  <c r="T7" i="5"/>
  <c r="T5" i="5"/>
  <c r="T15" i="5"/>
  <c r="T13" i="5"/>
  <c r="T11" i="5"/>
  <c r="U5" i="5"/>
  <c r="X10" i="5"/>
  <c r="X8" i="5"/>
  <c r="X6" i="5"/>
  <c r="X16" i="5"/>
  <c r="X14" i="5"/>
  <c r="X12" i="5"/>
  <c r="Y5" i="5"/>
  <c r="Y15" i="5"/>
  <c r="Y13" i="5"/>
  <c r="Y11" i="5"/>
  <c r="Y9" i="5"/>
  <c r="Y7" i="5"/>
  <c r="E5" i="5"/>
  <c r="E15" i="5"/>
  <c r="E13" i="5"/>
  <c r="E11" i="5"/>
  <c r="E9" i="5"/>
  <c r="E7" i="5"/>
  <c r="O10" i="5"/>
  <c r="O8" i="5"/>
  <c r="O6" i="5"/>
  <c r="O16" i="5"/>
  <c r="O14" i="5"/>
  <c r="O12" i="5"/>
  <c r="P5" i="5"/>
  <c r="P15" i="5"/>
  <c r="P13" i="5"/>
  <c r="P11" i="5"/>
  <c r="P9" i="5"/>
  <c r="P7" i="5"/>
  <c r="T10" i="5"/>
  <c r="T8" i="5"/>
  <c r="T6" i="5"/>
  <c r="T16" i="5"/>
  <c r="T14" i="5"/>
  <c r="T12" i="5"/>
  <c r="X9" i="5"/>
  <c r="X7" i="5"/>
  <c r="X5" i="5"/>
  <c r="X15" i="5"/>
  <c r="X13" i="5"/>
  <c r="X11" i="5"/>
  <c r="Y16" i="5"/>
  <c r="Y14" i="5"/>
  <c r="Y12" i="5"/>
  <c r="Y10" i="5"/>
  <c r="Y8" i="5"/>
  <c r="Y6" i="5"/>
  <c r="U10" i="5"/>
  <c r="U8" i="5"/>
  <c r="U6" i="5"/>
  <c r="E17" i="5"/>
  <c r="P17" i="5"/>
  <c r="U16" i="5"/>
  <c r="H17" i="5"/>
  <c r="M81" i="5" l="1"/>
  <c r="M85" i="5"/>
  <c r="J85" i="5" s="1"/>
  <c r="M89" i="5"/>
  <c r="X17" i="5"/>
  <c r="T17" i="5"/>
  <c r="J12" i="5"/>
  <c r="J16" i="5"/>
  <c r="J8" i="5"/>
  <c r="J13" i="5"/>
  <c r="J5" i="5"/>
  <c r="J9" i="5"/>
  <c r="J14" i="5"/>
  <c r="J6" i="5"/>
  <c r="J10" i="5"/>
  <c r="J11" i="5"/>
  <c r="J15" i="5"/>
  <c r="J7" i="5"/>
  <c r="J82" i="5"/>
  <c r="J86" i="5"/>
  <c r="J90" i="5"/>
  <c r="J81" i="5"/>
  <c r="J89" i="5"/>
  <c r="AB17" i="5"/>
  <c r="J84" i="5"/>
  <c r="J88" i="5"/>
  <c r="J80" i="5"/>
  <c r="J83" i="5"/>
  <c r="J87" i="5"/>
  <c r="J91" i="5"/>
  <c r="Y17" i="5"/>
  <c r="U17" i="5"/>
  <c r="L53" i="1" l="1"/>
  <c r="J17" i="5"/>
</calcChain>
</file>

<file path=xl/sharedStrings.xml><?xml version="1.0" encoding="utf-8"?>
<sst xmlns="http://schemas.openxmlformats.org/spreadsheetml/2006/main" count="3305" uniqueCount="700">
  <si>
    <t>ぱいじん(飛灰)</t>
  </si>
  <si>
    <t>Cs134</t>
  </si>
  <si>
    <t>Cs137</t>
  </si>
  <si>
    <t>焼却灰(主灰)※</t>
    <phoneticPr fontId="6"/>
  </si>
  <si>
    <t>年度</t>
    <rPh sb="0" eb="2">
      <t>ネンド</t>
    </rPh>
    <phoneticPr fontId="10"/>
  </si>
  <si>
    <t>年度
(H17以降)</t>
    <rPh sb="0" eb="2">
      <t>ネンド</t>
    </rPh>
    <phoneticPr fontId="6"/>
  </si>
  <si>
    <t>市町村コード</t>
    <rPh sb="0" eb="3">
      <t>シチョウソン</t>
    </rPh>
    <phoneticPr fontId="6"/>
  </si>
  <si>
    <t>市町村</t>
    <rPh sb="0" eb="3">
      <t>シチョウソン</t>
    </rPh>
    <phoneticPr fontId="6"/>
  </si>
  <si>
    <t>総人口
A</t>
    <rPh sb="0" eb="3">
      <t>ソウジンコウ</t>
    </rPh>
    <phoneticPr fontId="6"/>
  </si>
  <si>
    <t>計画収集人口
Ｂ</t>
    <rPh sb="0" eb="2">
      <t>ケイカク</t>
    </rPh>
    <rPh sb="2" eb="4">
      <t>シュウシュウ</t>
    </rPh>
    <rPh sb="4" eb="6">
      <t>ジンコウ</t>
    </rPh>
    <phoneticPr fontId="6"/>
  </si>
  <si>
    <t>計画収集量  D</t>
    <rPh sb="0" eb="2">
      <t>ケイカク</t>
    </rPh>
    <rPh sb="2" eb="4">
      <t>シュウシュウ</t>
    </rPh>
    <rPh sb="4" eb="5">
      <t>リョウ</t>
    </rPh>
    <phoneticPr fontId="6"/>
  </si>
  <si>
    <t>焼却以外の中間処理量 H</t>
    <rPh sb="0" eb="2">
      <t>ショウキャク</t>
    </rPh>
    <rPh sb="2" eb="4">
      <t>イガイ</t>
    </rPh>
    <rPh sb="5" eb="7">
      <t>チュウカン</t>
    </rPh>
    <rPh sb="7" eb="9">
      <t>ショリ</t>
    </rPh>
    <rPh sb="9" eb="10">
      <t>リョウ</t>
    </rPh>
    <phoneticPr fontId="6"/>
  </si>
  <si>
    <t>直接資源化量  I</t>
    <rPh sb="0" eb="2">
      <t>チョクセツ</t>
    </rPh>
    <rPh sb="2" eb="4">
      <t>シゲン</t>
    </rPh>
    <rPh sb="4" eb="5">
      <t>カ</t>
    </rPh>
    <rPh sb="5" eb="6">
      <t>リョウ</t>
    </rPh>
    <phoneticPr fontId="6"/>
  </si>
  <si>
    <t>ごみ処理量 X=F+G+H+I</t>
    <rPh sb="2" eb="4">
      <t>ショリ</t>
    </rPh>
    <rPh sb="4" eb="5">
      <t>リョウ</t>
    </rPh>
    <phoneticPr fontId="6"/>
  </si>
  <si>
    <t>減量処理率 N=(F+H+I)/X</t>
    <rPh sb="0" eb="2">
      <t>ショリ</t>
    </rPh>
    <rPh sb="2" eb="3">
      <t>リツ</t>
    </rPh>
    <phoneticPr fontId="6"/>
  </si>
  <si>
    <t>リサイクル率 R=(I+J+E)/(X+E)</t>
    <rPh sb="3" eb="4">
      <t>リツ</t>
    </rPh>
    <phoneticPr fontId="6"/>
  </si>
  <si>
    <t>焼却残渣量 K</t>
    <rPh sb="0" eb="2">
      <t>ショウキャク</t>
    </rPh>
    <rPh sb="2" eb="4">
      <t>ザンサ</t>
    </rPh>
    <rPh sb="4" eb="5">
      <t>リョウ</t>
    </rPh>
    <phoneticPr fontId="6"/>
  </si>
  <si>
    <t>処理残渣量 L</t>
    <rPh sb="0" eb="2">
      <t>ショリ</t>
    </rPh>
    <rPh sb="2" eb="4">
      <t>ザンサ</t>
    </rPh>
    <rPh sb="4" eb="5">
      <t>リョウ</t>
    </rPh>
    <phoneticPr fontId="6"/>
  </si>
  <si>
    <t>最終処分量 M=G+K+L</t>
    <rPh sb="0" eb="2">
      <t>サイシュウ</t>
    </rPh>
    <rPh sb="2" eb="4">
      <t>ショブン</t>
    </rPh>
    <rPh sb="4" eb="5">
      <t>リョウ</t>
    </rPh>
    <phoneticPr fontId="6"/>
  </si>
  <si>
    <t>備考</t>
    <rPh sb="0" eb="2">
      <t>ビコウ</t>
    </rPh>
    <phoneticPr fontId="6"/>
  </si>
  <si>
    <t>平成10年度</t>
  </si>
  <si>
    <t>平成11年度</t>
  </si>
  <si>
    <t>平成12年度</t>
  </si>
  <si>
    <t>平成13年度</t>
  </si>
  <si>
    <t>平成14年度</t>
  </si>
  <si>
    <t>平成15年度</t>
  </si>
  <si>
    <t>平成16年度</t>
  </si>
  <si>
    <t>平成17年度</t>
  </si>
  <si>
    <t>平成18年度</t>
  </si>
  <si>
    <t>平成19年度</t>
  </si>
  <si>
    <t>平成20年度</t>
  </si>
  <si>
    <t>平成21年度</t>
  </si>
  <si>
    <t>平成22年度</t>
  </si>
  <si>
    <t>平成23年度</t>
  </si>
  <si>
    <t>平成26年度</t>
  </si>
  <si>
    <t>平成27年度</t>
  </si>
  <si>
    <t>平成28年度</t>
  </si>
  <si>
    <t>ごみ総排出量  C=D+直接搬入量+E</t>
    <rPh sb="2" eb="3">
      <t>ソウ</t>
    </rPh>
    <rPh sb="3" eb="5">
      <t>ハイシュツ</t>
    </rPh>
    <rPh sb="5" eb="6">
      <t>リョウ</t>
    </rPh>
    <rPh sb="12" eb="14">
      <t>チョクセツ</t>
    </rPh>
    <rPh sb="14" eb="16">
      <t>ハンニュウ</t>
    </rPh>
    <rPh sb="16" eb="17">
      <t>リョウ</t>
    </rPh>
    <phoneticPr fontId="6"/>
  </si>
  <si>
    <t>230(115tx2炉〉</t>
  </si>
  <si>
    <t>宮城東部</t>
    <rPh sb="0" eb="2">
      <t>ミヤギ</t>
    </rPh>
    <rPh sb="2" eb="4">
      <t>トウブ</t>
    </rPh>
    <phoneticPr fontId="6"/>
  </si>
  <si>
    <t>180(90tx2炉〉</t>
  </si>
  <si>
    <t>今泉</t>
    <rPh sb="0" eb="2">
      <t>イマイズミ</t>
    </rPh>
    <phoneticPr fontId="6"/>
  </si>
  <si>
    <t>葛岡</t>
    <rPh sb="0" eb="2">
      <t>クズオカ</t>
    </rPh>
    <phoneticPr fontId="6"/>
  </si>
  <si>
    <t>松森</t>
    <rPh sb="0" eb="2">
      <t>マツモリ</t>
    </rPh>
    <phoneticPr fontId="6"/>
  </si>
  <si>
    <t>600(200tx3炉)</t>
  </si>
  <si>
    <t>600(300tx2炉〉</t>
  </si>
  <si>
    <t>600(200tx3炉〉</t>
  </si>
  <si>
    <t>石巻広域クリセ</t>
    <rPh sb="0" eb="2">
      <t>イシノマキ</t>
    </rPh>
    <rPh sb="2" eb="4">
      <t>コウイキ</t>
    </rPh>
    <phoneticPr fontId="13"/>
  </si>
  <si>
    <t>年間</t>
    <rPh sb="0" eb="2">
      <t>ネンカン</t>
    </rPh>
    <phoneticPr fontId="6"/>
  </si>
  <si>
    <t>割合</t>
    <rPh sb="0" eb="2">
      <t>ワリアイ</t>
    </rPh>
    <phoneticPr fontId="6"/>
  </si>
  <si>
    <t>4月</t>
    <rPh sb="1" eb="2">
      <t>ガツ</t>
    </rPh>
    <phoneticPr fontId="6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</si>
  <si>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</si>
  <si>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</si>
  <si>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</si>
  <si>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</si>
  <si>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</si>
  <si>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</si>
  <si>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</si>
  <si>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</si>
  <si>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</si>
  <si>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</si>
  <si>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</si>
  <si>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計</t>
    <rPh sb="0" eb="1">
      <t>ケイ</t>
    </rPh>
    <phoneticPr fontId="6"/>
  </si>
  <si>
    <t>年間焼却量を月別に割り当てる係数</t>
    <rPh sb="0" eb="2">
      <t>ネンカン</t>
    </rPh>
    <rPh sb="2" eb="5">
      <t>ショウキャクリョウ</t>
    </rPh>
    <rPh sb="6" eb="8">
      <t>ツキベツ</t>
    </rPh>
    <rPh sb="9" eb="10">
      <t>ワ</t>
    </rPh>
    <rPh sb="11" eb="12">
      <t>ア</t>
    </rPh>
    <rPh sb="14" eb="16">
      <t>ケイスウ</t>
    </rPh>
    <phoneticPr fontId="6"/>
  </si>
  <si>
    <t>年間計</t>
    <rPh sb="0" eb="2">
      <t>ネンカン</t>
    </rPh>
    <rPh sb="2" eb="3">
      <t>ケイ</t>
    </rPh>
    <phoneticPr fontId="6"/>
  </si>
  <si>
    <t>一般廃棄物処理事業実態調査(環境省)</t>
    <rPh sb="0" eb="2">
      <t>イッパン</t>
    </rPh>
    <rPh sb="2" eb="5">
      <t>ハイキブツ</t>
    </rPh>
    <rPh sb="5" eb="7">
      <t>ショリ</t>
    </rPh>
    <rPh sb="7" eb="9">
      <t>ジギョウ</t>
    </rPh>
    <rPh sb="9" eb="11">
      <t>ジッタイ</t>
    </rPh>
    <rPh sb="11" eb="13">
      <t>チョウサ</t>
    </rPh>
    <rPh sb="14" eb="17">
      <t>カンキョウショウ</t>
    </rPh>
    <phoneticPr fontId="6"/>
  </si>
  <si>
    <t>焼却残さ量</t>
    <rPh sb="4" eb="5">
      <t>リョウ</t>
    </rPh>
    <phoneticPr fontId="3"/>
  </si>
  <si>
    <t>：淡緑色セルは計算式含む</t>
    <rPh sb="1" eb="2">
      <t>タン</t>
    </rPh>
    <rPh sb="7" eb="10">
      <t>ケイサンシキ</t>
    </rPh>
    <rPh sb="10" eb="11">
      <t>フク</t>
    </rPh>
    <phoneticPr fontId="13"/>
  </si>
  <si>
    <t>年月日</t>
    <rPh sb="0" eb="3">
      <t>ネンガッピ</t>
    </rPh>
    <phoneticPr fontId="3"/>
  </si>
  <si>
    <t>←半減期(年)</t>
    <rPh sb="1" eb="4">
      <t>ハンゲンキ</t>
    </rPh>
    <rPh sb="5" eb="6">
      <t>ネン</t>
    </rPh>
    <phoneticPr fontId="13"/>
  </si>
  <si>
    <t>I-131当日1から減衰</t>
    <rPh sb="5" eb="7">
      <t>トウジツ</t>
    </rPh>
    <rPh sb="10" eb="12">
      <t>ゲンスイ</t>
    </rPh>
    <phoneticPr fontId="3"/>
  </si>
  <si>
    <r>
      <rPr>
        <sz val="6.5"/>
        <color theme="1"/>
        <rFont val="Meiryo UI"/>
        <family val="3"/>
        <charset val="128"/>
      </rPr>
      <t>Cs134</t>
    </r>
    <r>
      <rPr>
        <sz val="8"/>
        <color theme="1"/>
        <rFont val="Meiryo UI"/>
        <family val="3"/>
        <charset val="128"/>
      </rPr>
      <t>当日1から減衰</t>
    </r>
    <phoneticPr fontId="3"/>
  </si>
  <si>
    <r>
      <rPr>
        <sz val="6.5"/>
        <color theme="1"/>
        <rFont val="Meiryo UI"/>
        <family val="3"/>
        <charset val="128"/>
      </rPr>
      <t>Cs137</t>
    </r>
    <r>
      <rPr>
        <sz val="8"/>
        <color theme="1"/>
        <rFont val="Meiryo UI"/>
        <family val="3"/>
        <charset val="128"/>
      </rPr>
      <t>当日1から減衰</t>
    </r>
    <phoneticPr fontId="3"/>
  </si>
  <si>
    <t xml:space="preserve">両Cs当日各1から減衰  </t>
    <rPh sb="0" eb="1">
      <t>リョウ</t>
    </rPh>
    <rPh sb="3" eb="5">
      <t>トウジツ</t>
    </rPh>
    <rPh sb="5" eb="6">
      <t>カク</t>
    </rPh>
    <rPh sb="9" eb="11">
      <t>ゲンスイ</t>
    </rPh>
    <phoneticPr fontId="3"/>
  </si>
  <si>
    <t>両Cs 1万から理論減衰</t>
    <rPh sb="0" eb="1">
      <t>リョウ</t>
    </rPh>
    <rPh sb="5" eb="6">
      <t>マン</t>
    </rPh>
    <rPh sb="8" eb="10">
      <t>リロン</t>
    </rPh>
    <rPh sb="10" eb="12">
      <t>ゲンスイ</t>
    </rPh>
    <phoneticPr fontId="3"/>
  </si>
  <si>
    <r>
      <rPr>
        <sz val="6.5"/>
        <color theme="1"/>
        <rFont val="Meiryo UI"/>
        <family val="3"/>
        <charset val="128"/>
      </rPr>
      <t>Cs134</t>
    </r>
    <r>
      <rPr>
        <sz val="8"/>
        <color theme="1"/>
        <rFont val="Meiryo UI"/>
        <family val="3"/>
        <charset val="128"/>
      </rPr>
      <t>当日500から減衰</t>
    </r>
    <rPh sb="5" eb="7">
      <t>トウジツ</t>
    </rPh>
    <rPh sb="12" eb="14">
      <t>ゲンスイ</t>
    </rPh>
    <phoneticPr fontId="3"/>
  </si>
  <si>
    <r>
      <rPr>
        <sz val="6.5"/>
        <color theme="1"/>
        <rFont val="Meiryo UI"/>
        <family val="3"/>
        <charset val="128"/>
      </rPr>
      <t>Cs137</t>
    </r>
    <r>
      <rPr>
        <sz val="8"/>
        <color theme="1"/>
        <rFont val="Meiryo UI"/>
        <family val="3"/>
        <charset val="128"/>
      </rPr>
      <t>当日500から減衰</t>
    </r>
    <rPh sb="5" eb="7">
      <t>トウジツ</t>
    </rPh>
    <rPh sb="12" eb="14">
      <t>ゲンスイ</t>
    </rPh>
    <phoneticPr fontId="3"/>
  </si>
  <si>
    <t>Cs月間量MBq(飛灰)</t>
    <rPh sb="2" eb="4">
      <t>ゲッカン</t>
    </rPh>
    <rPh sb="4" eb="5">
      <t>リョウ</t>
    </rPh>
    <rPh sb="9" eb="11">
      <t>ヒバイ</t>
    </rPh>
    <phoneticPr fontId="3"/>
  </si>
  <si>
    <t>Cs月間量MBq(主灰)</t>
    <rPh sb="2" eb="4">
      <t>ゲッカン</t>
    </rPh>
    <rPh sb="4" eb="5">
      <t>リョウ</t>
    </rPh>
    <rPh sb="9" eb="10">
      <t>シュ</t>
    </rPh>
    <rPh sb="10" eb="11">
      <t>ハイ</t>
    </rPh>
    <phoneticPr fontId="3"/>
  </si>
  <si>
    <t>主灰と飛灰中の月間Cs集積量(MBq)</t>
    <rPh sb="0" eb="1">
      <t>シュ</t>
    </rPh>
    <rPh sb="1" eb="2">
      <t>ハイ</t>
    </rPh>
    <rPh sb="3" eb="5">
      <t>ヒバイ</t>
    </rPh>
    <rPh sb="5" eb="6">
      <t>チュウ</t>
    </rPh>
    <rPh sb="7" eb="9">
      <t>ゲッカン</t>
    </rPh>
    <rPh sb="11" eb="13">
      <t>シュウセキ</t>
    </rPh>
    <rPh sb="13" eb="14">
      <t>リョウ</t>
    </rPh>
    <phoneticPr fontId="3"/>
  </si>
  <si>
    <t>ごみ焼却量 (t/月)</t>
    <rPh sb="2" eb="5">
      <t>ショウキャクリョウ</t>
    </rPh>
    <rPh sb="9" eb="10">
      <t>ツキ</t>
    </rPh>
    <phoneticPr fontId="3"/>
  </si>
  <si>
    <t>両Cs濃度 (Bq/kg)</t>
    <rPh sb="0" eb="1">
      <t>リョウ</t>
    </rPh>
    <rPh sb="3" eb="5">
      <t>ノウド</t>
    </rPh>
    <phoneticPr fontId="3"/>
  </si>
  <si>
    <t>最終処分場での両Cs現在ストック量(MBq)</t>
    <rPh sb="0" eb="2">
      <t>サイシュウ</t>
    </rPh>
    <rPh sb="2" eb="5">
      <t>ショブンジョウ</t>
    </rPh>
    <rPh sb="10" eb="12">
      <t>ゲンザイ</t>
    </rPh>
    <rPh sb="16" eb="17">
      <t>リョウ</t>
    </rPh>
    <phoneticPr fontId="3"/>
  </si>
  <si>
    <t>GBq</t>
    <phoneticPr fontId="3"/>
  </si>
  <si>
    <t>(一般廃棄物と震災がれきの焼却に由来する分で､直接埋立や瓦礫分別土砂などは含まない)</t>
    <rPh sb="1" eb="3">
      <t>イッパン</t>
    </rPh>
    <rPh sb="3" eb="6">
      <t>ハイキブツ</t>
    </rPh>
    <rPh sb="7" eb="9">
      <t>シンサイ</t>
    </rPh>
    <rPh sb="13" eb="15">
      <t>ショウキャク</t>
    </rPh>
    <rPh sb="16" eb="18">
      <t>ユライ</t>
    </rPh>
    <rPh sb="20" eb="21">
      <t>ブン</t>
    </rPh>
    <rPh sb="23" eb="25">
      <t>チョクセツ</t>
    </rPh>
    <rPh sb="25" eb="27">
      <t>ウメタテ</t>
    </rPh>
    <rPh sb="28" eb="30">
      <t>ガレキ</t>
    </rPh>
    <rPh sb="30" eb="32">
      <t>ブンベツ</t>
    </rPh>
    <rPh sb="32" eb="34">
      <t>ドシャ</t>
    </rPh>
    <rPh sb="37" eb="38">
      <t>フク</t>
    </rPh>
    <phoneticPr fontId="3"/>
  </si>
  <si>
    <t>←　最終処分場での両Cs現在ストック量(MBq)</t>
    <phoneticPr fontId="3"/>
  </si>
  <si>
    <t>H30年度末まで最終処分された放射性セシウムの総量は今日現在､</t>
    <rPh sb="3" eb="6">
      <t>ネンドマツ</t>
    </rPh>
    <rPh sb="8" eb="10">
      <t>サイシュウ</t>
    </rPh>
    <rPh sb="10" eb="12">
      <t>ショブン</t>
    </rPh>
    <rPh sb="15" eb="18">
      <t>ホウシャセイ</t>
    </rPh>
    <rPh sb="23" eb="25">
      <t>ソウリョウ</t>
    </rPh>
    <phoneticPr fontId="3"/>
  </si>
  <si>
    <t>上表の宮城東部採用↓</t>
    <rPh sb="0" eb="2">
      <t>ジョウヒョウ</t>
    </rPh>
    <rPh sb="3" eb="5">
      <t>ミヤギ</t>
    </rPh>
    <rPh sb="5" eb="7">
      <t>トウブ</t>
    </rPh>
    <rPh sb="7" eb="9">
      <t>サイヨウ</t>
    </rPh>
    <phoneticPr fontId="3"/>
  </si>
  <si>
    <t>↓上表23列の比率採用</t>
    <rPh sb="1" eb="3">
      <t>ジョウヒョウ</t>
    </rPh>
    <rPh sb="5" eb="6">
      <t>レツ</t>
    </rPh>
    <rPh sb="7" eb="9">
      <t>ヒリツ</t>
    </rPh>
    <rPh sb="9" eb="11">
      <t>サイヨウ</t>
    </rPh>
    <phoneticPr fontId="3"/>
  </si>
  <si>
    <t>◇ 焼却灰中放射性Csの月間集積量推移と最終処分場での現存量</t>
    <rPh sb="2" eb="4">
      <t>ショウキャク</t>
    </rPh>
    <rPh sb="4" eb="5">
      <t>ハイ</t>
    </rPh>
    <rPh sb="5" eb="6">
      <t>チュウ</t>
    </rPh>
    <rPh sb="6" eb="9">
      <t>ホウシャセイ</t>
    </rPh>
    <rPh sb="12" eb="14">
      <t>ゲッカン</t>
    </rPh>
    <rPh sb="14" eb="16">
      <t>シュウセキ</t>
    </rPh>
    <rPh sb="16" eb="17">
      <t>リョウ</t>
    </rPh>
    <rPh sb="17" eb="19">
      <t>スイイ</t>
    </rPh>
    <rPh sb="20" eb="22">
      <t>サイシュウ</t>
    </rPh>
    <rPh sb="22" eb="25">
      <t>ショブンジョウ</t>
    </rPh>
    <rPh sb="27" eb="29">
      <t>ゲンゾン</t>
    </rPh>
    <rPh sb="29" eb="30">
      <t>リョウ</t>
    </rPh>
    <phoneticPr fontId="13"/>
  </si>
  <si>
    <t>昭和58年度</t>
  </si>
  <si>
    <t>分類なし</t>
  </si>
  <si>
    <t>昭和59年度</t>
  </si>
  <si>
    <t>昭和60年度</t>
  </si>
  <si>
    <t>昭和61年度</t>
  </si>
  <si>
    <t>昭和62年度</t>
  </si>
  <si>
    <t>昭和63年度</t>
  </si>
  <si>
    <t>平成01年度</t>
  </si>
  <si>
    <t>平成02年度</t>
  </si>
  <si>
    <t>平成03年度</t>
  </si>
  <si>
    <t>平成04年度</t>
  </si>
  <si>
    <t>平成05年度</t>
  </si>
  <si>
    <t>平成06年度</t>
  </si>
  <si>
    <t>平成07年度</t>
  </si>
  <si>
    <t>平成08年度</t>
  </si>
  <si>
    <t>平成09年度</t>
  </si>
  <si>
    <t>平成24年度</t>
  </si>
  <si>
    <t>平成25年度</t>
  </si>
  <si>
    <t>H10以降？集団回収量が新設されたが､ごみ総排出量に含まない､自家処理量はごみ総排出量に含む､ごみ総排出量 &lt; &gt; ごみ処理量</t>
    <rPh sb="3" eb="5">
      <t>イコウ</t>
    </rPh>
    <phoneticPr fontId="5"/>
  </si>
  <si>
    <t>H17以降：集団回収量が､ごみ総排出量に含む､自家処理量はごみ総排出量に含まない､単位：(人)､(t)､(％)､環境省の元値X,N,R,M欄</t>
    <rPh sb="3" eb="5">
      <t>イコウ</t>
    </rPh>
    <phoneticPr fontId="5"/>
  </si>
  <si>
    <t>不検出</t>
  </si>
  <si>
    <t>仙台市合計</t>
    <rPh sb="0" eb="3">
      <t>センダイシ</t>
    </rPh>
    <rPh sb="3" eb="5">
      <t>ゴウケイ</t>
    </rPh>
    <phoneticPr fontId="6"/>
  </si>
  <si>
    <t>1800(200*6+300*2)</t>
  </si>
  <si>
    <t>1800(200*6+300*2)</t>
    <phoneticPr fontId="6"/>
  </si>
  <si>
    <t>3事業体平均</t>
    <rPh sb="1" eb="4">
      <t>ジギョウタイ</t>
    </rPh>
    <rPh sb="4" eb="6">
      <t>ヘイキン</t>
    </rPh>
    <phoneticPr fontId="6"/>
  </si>
  <si>
    <t>仙台市平均</t>
    <rPh sb="0" eb="3">
      <t>センダイシ</t>
    </rPh>
    <rPh sb="3" eb="5">
      <t>ヘイキン</t>
    </rPh>
    <phoneticPr fontId="6"/>
  </si>
  <si>
    <t>月別割合※</t>
    <rPh sb="0" eb="2">
      <t>ツキベツ</t>
    </rPh>
    <rPh sb="2" eb="4">
      <t>ワリアイ</t>
    </rPh>
    <phoneticPr fontId="13"/>
  </si>
  <si>
    <t>↓ シート"月値予測"から転記</t>
    <rPh sb="6" eb="7">
      <t>ツキ</t>
    </rPh>
    <rPh sb="7" eb="8">
      <t>チ</t>
    </rPh>
    <rPh sb="8" eb="10">
      <t>ヨソク</t>
    </rPh>
    <rPh sb="13" eb="15">
      <t>テンキ</t>
    </rPh>
    <phoneticPr fontId="3"/>
  </si>
  <si>
    <t>80(40tx2炉〉</t>
    <phoneticPr fontId="3"/>
  </si>
  <si>
    <t>焼却 t/年</t>
    <rPh sb="5" eb="6">
      <t>ネン</t>
    </rPh>
    <phoneticPr fontId="3"/>
  </si>
  <si>
    <t>平均</t>
    <rPh sb="0" eb="2">
      <t>ヘイキン</t>
    </rPh>
    <phoneticPr fontId="3"/>
  </si>
  <si>
    <t>月</t>
    <rPh sb="0" eb="1">
      <t>ツキ</t>
    </rPh>
    <phoneticPr fontId="3"/>
  </si>
  <si>
    <t>年度</t>
    <rPh sb="0" eb="2">
      <t>ネンド</t>
    </rPh>
    <phoneticPr fontId="3"/>
  </si>
  <si>
    <t>：飛灰発生率</t>
    <rPh sb="1" eb="2">
      <t>ヒ</t>
    </rPh>
    <rPh sb="2" eb="3">
      <t>バイ</t>
    </rPh>
    <rPh sb="3" eb="5">
      <t>ハッセイ</t>
    </rPh>
    <rPh sb="5" eb="6">
      <t>リツ</t>
    </rPh>
    <phoneticPr fontId="3"/>
  </si>
  <si>
    <t>：主灰発生率</t>
    <rPh sb="1" eb="2">
      <t>シュ</t>
    </rPh>
    <rPh sb="2" eb="3">
      <t>バイ</t>
    </rPh>
    <rPh sb="3" eb="5">
      <t>ハッセイ</t>
    </rPh>
    <rPh sb="5" eb="6">
      <t>リツ</t>
    </rPh>
    <phoneticPr fontId="3"/>
  </si>
  <si>
    <t>飛灰の量</t>
    <rPh sb="0" eb="2">
      <t>ヒバイ</t>
    </rPh>
    <rPh sb="3" eb="4">
      <t>リョウ</t>
    </rPh>
    <phoneticPr fontId="3"/>
  </si>
  <si>
    <t>濃度比(飛灰/主灰)</t>
    <rPh sb="0" eb="2">
      <t>ノウド</t>
    </rPh>
    <rPh sb="2" eb="3">
      <t>ヒ</t>
    </rPh>
    <rPh sb="4" eb="6">
      <t>ヒバイ</t>
    </rPh>
    <rPh sb="7" eb="8">
      <t>シュ</t>
    </rPh>
    <rPh sb="8" eb="9">
      <t>バイ</t>
    </rPh>
    <phoneticPr fontId="3"/>
  </si>
  <si>
    <t>宮城東部</t>
    <rPh sb="0" eb="2">
      <t>ミヤギ</t>
    </rPh>
    <rPh sb="2" eb="4">
      <t>トウブ</t>
    </rPh>
    <phoneticPr fontId="3"/>
  </si>
  <si>
    <t>黒川組</t>
    <rPh sb="0" eb="2">
      <t>クロカワ</t>
    </rPh>
    <rPh sb="2" eb="3">
      <t>クミ</t>
    </rPh>
    <phoneticPr fontId="3"/>
  </si>
  <si>
    <t>名取クリンセ</t>
    <rPh sb="0" eb="2">
      <t>ナトリ</t>
    </rPh>
    <phoneticPr fontId="3"/>
  </si>
  <si>
    <t>亘理清掃セ</t>
    <rPh sb="0" eb="2">
      <t>ワタリ</t>
    </rPh>
    <rPh sb="2" eb="4">
      <t>セイソウ</t>
    </rPh>
    <phoneticPr fontId="3"/>
  </si>
  <si>
    <t>気仙沼</t>
    <rPh sb="0" eb="3">
      <t>ケセンヌマ</t>
    </rPh>
    <phoneticPr fontId="3"/>
  </si>
  <si>
    <t>塩竃市</t>
    <rPh sb="0" eb="2">
      <t>シオガマ</t>
    </rPh>
    <rPh sb="2" eb="3">
      <t>シ</t>
    </rPh>
    <phoneticPr fontId="3"/>
  </si>
  <si>
    <t>ごみ焼却量 (10t/月)</t>
    <rPh sb="2" eb="5">
      <t>ショウキャクリョウ</t>
    </rPh>
    <rPh sb="11" eb="12">
      <t>ツキ</t>
    </rPh>
    <phoneticPr fontId="3"/>
  </si>
  <si>
    <t>※ 石巻広域､宮城東部､仙台3工場の月間焼却量の平均</t>
    <rPh sb="15" eb="17">
      <t>コウジョウ</t>
    </rPh>
    <phoneticPr fontId="3"/>
  </si>
  <si>
    <t>←飛灰/主灰の濃度比から推定</t>
    <rPh sb="1" eb="3">
      <t>ヒバイ</t>
    </rPh>
    <rPh sb="4" eb="5">
      <t>シュ</t>
    </rPh>
    <rPh sb="5" eb="6">
      <t>バイ</t>
    </rPh>
    <rPh sb="7" eb="9">
      <t>ノウド</t>
    </rPh>
    <rPh sb="9" eb="10">
      <t>ヒ</t>
    </rPh>
    <rPh sb="12" eb="14">
      <t>スイテイ</t>
    </rPh>
    <phoneticPr fontId="3"/>
  </si>
  <si>
    <t>←年度焼却量に月別割合を掛けて推定</t>
    <rPh sb="1" eb="3">
      <t>ネンド</t>
    </rPh>
    <rPh sb="3" eb="5">
      <t>ショウキャク</t>
    </rPh>
    <rPh sb="5" eb="6">
      <t>リョウ</t>
    </rPh>
    <rPh sb="7" eb="9">
      <t>ツキベツ</t>
    </rPh>
    <rPh sb="9" eb="11">
      <t>ワリアイ</t>
    </rPh>
    <rPh sb="12" eb="13">
      <t>カ</t>
    </rPh>
    <rPh sb="15" eb="17">
      <t>スイテイ</t>
    </rPh>
    <phoneticPr fontId="3"/>
  </si>
  <si>
    <t>←左欄の飛灰の量ｘ両Cs濃度</t>
    <rPh sb="1" eb="3">
      <t>サラン</t>
    </rPh>
    <rPh sb="4" eb="6">
      <t>ヒバイ</t>
    </rPh>
    <rPh sb="7" eb="8">
      <t>リョウ</t>
    </rPh>
    <rPh sb="9" eb="10">
      <t>リョウ</t>
    </rPh>
    <rPh sb="12" eb="14">
      <t>ノウド</t>
    </rPh>
    <phoneticPr fontId="3"/>
  </si>
  <si>
    <t>主灰の量</t>
    <rPh sb="0" eb="1">
      <t>シュ</t>
    </rPh>
    <rPh sb="1" eb="2">
      <t>バイ</t>
    </rPh>
    <rPh sb="3" eb="4">
      <t>リョウ</t>
    </rPh>
    <phoneticPr fontId="3"/>
  </si>
  <si>
    <t>←月間焼却量ｘ飛灰発生率</t>
    <rPh sb="1" eb="3">
      <t>ゲッカン</t>
    </rPh>
    <rPh sb="3" eb="5">
      <t>ショウキャク</t>
    </rPh>
    <rPh sb="5" eb="6">
      <t>リョウ</t>
    </rPh>
    <rPh sb="7" eb="9">
      <t>ヒバイ</t>
    </rPh>
    <rPh sb="9" eb="11">
      <t>ハッセイ</t>
    </rPh>
    <rPh sb="11" eb="12">
      <t>リツ</t>
    </rPh>
    <phoneticPr fontId="3"/>
  </si>
  <si>
    <t>←月間焼却量ｘ主灰発生率</t>
    <rPh sb="1" eb="3">
      <t>ゲッカン</t>
    </rPh>
    <rPh sb="3" eb="5">
      <t>ショウキャク</t>
    </rPh>
    <rPh sb="5" eb="6">
      <t>リョウ</t>
    </rPh>
    <rPh sb="7" eb="8">
      <t>シュ</t>
    </rPh>
    <rPh sb="8" eb="9">
      <t>バイ</t>
    </rPh>
    <rPh sb="9" eb="11">
      <t>ハッセイ</t>
    </rPh>
    <rPh sb="11" eb="12">
      <t>リツ</t>
    </rPh>
    <phoneticPr fontId="3"/>
  </si>
  <si>
    <t>焼却量に対する灰の生成割合</t>
    <rPh sb="0" eb="2">
      <t>ショウキャク</t>
    </rPh>
    <rPh sb="2" eb="3">
      <t>リョウ</t>
    </rPh>
    <rPh sb="4" eb="5">
      <t>タイ</t>
    </rPh>
    <rPh sb="7" eb="8">
      <t>ハイ</t>
    </rPh>
    <rPh sb="9" eb="11">
      <t>セイセイ</t>
    </rPh>
    <rPh sb="11" eb="13">
      <t>ワリアイ</t>
    </rPh>
    <phoneticPr fontId="3"/>
  </si>
  <si>
    <t>年度別焼却量</t>
    <rPh sb="0" eb="2">
      <t>ネンド</t>
    </rPh>
    <rPh sb="2" eb="3">
      <t>ベツ</t>
    </rPh>
    <rPh sb="3" eb="5">
      <t>ショウキャク</t>
    </rPh>
    <rPh sb="5" eb="6">
      <t>リョウ</t>
    </rPh>
    <phoneticPr fontId="3"/>
  </si>
  <si>
    <t>=Cs134Av*2.71828^(-0.69315/半Cs134*(RC[-1]-採取日1)/365.25)</t>
    <phoneticPr fontId="3"/>
  </si>
  <si>
    <t>=事故日の濃度1*2.71828^(-0.69315/半1*(RC[-8]-事故日)/365.25)</t>
    <phoneticPr fontId="3"/>
  </si>
  <si>
    <t>=下駄1-(RC[-8]-40999)/除数11</t>
    <phoneticPr fontId="3"/>
  </si>
  <si>
    <t>=Cs137Av*2.71828^(-0.69315/半Cs134*(RC[-2]-採取日1)/365.25)</t>
    <phoneticPr fontId="3"/>
  </si>
  <si>
    <t>←石巻広域の回帰式：Cs-134</t>
    <rPh sb="1" eb="3">
      <t>イシノマキ</t>
    </rPh>
    <rPh sb="3" eb="5">
      <t>コウイキ</t>
    </rPh>
    <rPh sb="6" eb="8">
      <t>カイキ</t>
    </rPh>
    <rPh sb="8" eb="9">
      <t>シキ</t>
    </rPh>
    <phoneticPr fontId="3"/>
  </si>
  <si>
    <t>←石巻広域の回帰式：Cs-137</t>
    <rPh sb="1" eb="3">
      <t>イシノマキ</t>
    </rPh>
    <rPh sb="3" eb="5">
      <t>コウイキ</t>
    </rPh>
    <rPh sb="6" eb="8">
      <t>カイキ</t>
    </rPh>
    <rPh sb="8" eb="9">
      <t>シキ</t>
    </rPh>
    <phoneticPr fontId="3"/>
  </si>
  <si>
    <t>平均</t>
    <rPh sb="0" eb="2">
      <t>ヘイキン</t>
    </rPh>
    <phoneticPr fontId="3"/>
  </si>
  <si>
    <t>ファイル"ごみ灰Cs_石巻広域.xlsx"のシート”濃度回帰”参照</t>
    <rPh sb="7" eb="8">
      <t>ハイ</t>
    </rPh>
    <rPh sb="11" eb="13">
      <t>イシノマキ</t>
    </rPh>
    <rPh sb="13" eb="15">
      <t>コウイキ</t>
    </rPh>
    <rPh sb="26" eb="28">
      <t>ノウド</t>
    </rPh>
    <rPh sb="28" eb="30">
      <t>カイキ</t>
    </rPh>
    <rPh sb="31" eb="33">
      <t>サンショウ</t>
    </rPh>
    <phoneticPr fontId="3"/>
  </si>
  <si>
    <t>5･6月をピークとする周期変動していると判断し､回帰式から推定した｡</t>
    <rPh sb="20" eb="22">
      <t>ハンダン</t>
    </rPh>
    <rPh sb="24" eb="26">
      <t>カイキ</t>
    </rPh>
    <rPh sb="26" eb="27">
      <t>シキ</t>
    </rPh>
    <rPh sb="29" eb="31">
      <t>スイテイ</t>
    </rPh>
    <phoneticPr fontId="3"/>
  </si>
  <si>
    <t>から求めた回帰式を用い､h29.12とh30.1の平均値から推算した</t>
    <rPh sb="2" eb="3">
      <t>モト</t>
    </rPh>
    <rPh sb="5" eb="7">
      <t>カイキ</t>
    </rPh>
    <rPh sb="7" eb="8">
      <t>シキ</t>
    </rPh>
    <rPh sb="9" eb="10">
      <t>モチ</t>
    </rPh>
    <rPh sb="25" eb="28">
      <t>ヘイキンチ</t>
    </rPh>
    <rPh sb="30" eb="32">
      <t>スイサン</t>
    </rPh>
    <phoneticPr fontId="3"/>
  </si>
  <si>
    <t>焼却量はシート”月値予測”の月毎割合を掛けた｡濃度は､石巻広域の実測値</t>
    <rPh sb="0" eb="2">
      <t>ショウキャク</t>
    </rPh>
    <rPh sb="2" eb="3">
      <t>リョウ</t>
    </rPh>
    <rPh sb="8" eb="9">
      <t>ツキ</t>
    </rPh>
    <rPh sb="9" eb="10">
      <t>チ</t>
    </rPh>
    <rPh sb="10" eb="12">
      <t>ヨソク</t>
    </rPh>
    <rPh sb="14" eb="16">
      <t>ツキゴト</t>
    </rPh>
    <rPh sb="16" eb="18">
      <t>ワリアイ</t>
    </rPh>
    <rPh sb="19" eb="20">
      <t>カ</t>
    </rPh>
    <rPh sb="23" eb="25">
      <t>ノウド</t>
    </rPh>
    <phoneticPr fontId="3"/>
  </si>
  <si>
    <t>Cs-134用</t>
    <rPh sb="6" eb="7">
      <t>ヨウ</t>
    </rPh>
    <phoneticPr fontId="13"/>
  </si>
  <si>
    <t>Cs-137用</t>
    <rPh sb="6" eb="7">
      <t>ヨウ</t>
    </rPh>
    <phoneticPr fontId="13"/>
  </si>
  <si>
    <t>任意の半減期1:</t>
    <rPh sb="0" eb="2">
      <t>ニンイ</t>
    </rPh>
    <rPh sb="3" eb="6">
      <t>ハンゲンキ</t>
    </rPh>
    <phoneticPr fontId="13"/>
  </si>
  <si>
    <t>15,19列の計算式=事故日の濃度1*2.71828^(-0.69315/半1*(RC[-8]-事故日)/365.25)</t>
    <rPh sb="4" eb="5">
      <t>レツ</t>
    </rPh>
    <rPh sb="6" eb="9">
      <t>ケイサンシキ</t>
    </rPh>
    <phoneticPr fontId="13"/>
  </si>
  <si>
    <t>除数11:</t>
    <rPh sb="0" eb="2">
      <t>ジョスウ</t>
    </rPh>
    <phoneticPr fontId="13"/>
  </si>
  <si>
    <t>16,20列の計算式=下駄1-(RC[-8]-40999)/除数11</t>
    <rPh sb="4" eb="5">
      <t>レツ</t>
    </rPh>
    <rPh sb="6" eb="9">
      <t>ケイサンシキ</t>
    </rPh>
    <phoneticPr fontId="13"/>
  </si>
  <si>
    <t>下駄1:</t>
    <rPh sb="0" eb="2">
      <t>ゲタ</t>
    </rPh>
    <phoneticPr fontId="13"/>
  </si>
  <si>
    <t>17,21列の計算式=(RC[-2]+RC[-1])*(1-RC[9]/除数12)</t>
    <rPh sb="4" eb="5">
      <t>レツ</t>
    </rPh>
    <rPh sb="6" eb="9">
      <t>ケイサンシキ</t>
    </rPh>
    <phoneticPr fontId="13"/>
  </si>
  <si>
    <t>事故日の濃度1:</t>
    <rPh sb="0" eb="2">
      <t>ジコ</t>
    </rPh>
    <rPh sb="2" eb="3">
      <t>ビ</t>
    </rPh>
    <rPh sb="4" eb="6">
      <t>ノウド</t>
    </rPh>
    <phoneticPr fontId="13"/>
  </si>
  <si>
    <t>除数12:</t>
    <rPh sb="0" eb="2">
      <t>ジョスウ</t>
    </rPh>
    <phoneticPr fontId="13"/>
  </si>
  <si>
    <t>放射性3物質の減衰曲線</t>
    <rPh sb="0" eb="3">
      <t>ホウシャセイ</t>
    </rPh>
    <rPh sb="4" eb="6">
      <t>ブッシツ</t>
    </rPh>
    <rPh sb="7" eb="9">
      <t>ゲンスイ</t>
    </rPh>
    <rPh sb="9" eb="11">
      <t>キョクセン</t>
    </rPh>
    <phoneticPr fontId="13"/>
  </si>
  <si>
    <t>焼却灰中の濃度</t>
    <rPh sb="0" eb="2">
      <t>ショウキャク</t>
    </rPh>
    <rPh sb="2" eb="3">
      <t>ハイ</t>
    </rPh>
    <rPh sb="3" eb="4">
      <t>チュウ</t>
    </rPh>
    <rPh sb="5" eb="7">
      <t>ノウド</t>
    </rPh>
    <phoneticPr fontId="13"/>
  </si>
  <si>
    <t>熔融スラグ中の濃度</t>
    <rPh sb="0" eb="2">
      <t>ヨウユウ</t>
    </rPh>
    <rPh sb="5" eb="6">
      <t>チュウ</t>
    </rPh>
    <rPh sb="7" eb="9">
      <t>ノウド</t>
    </rPh>
    <phoneticPr fontId="13"/>
  </si>
  <si>
    <t>連番</t>
    <phoneticPr fontId="13"/>
  </si>
  <si>
    <t>事故日と採取日</t>
    <phoneticPr fontId="13"/>
  </si>
  <si>
    <t>ごみ焼却量 t/月</t>
    <phoneticPr fontId="13"/>
  </si>
  <si>
    <t>Cs-134</t>
    <phoneticPr fontId="13"/>
  </si>
  <si>
    <t>Cs-137</t>
    <phoneticPr fontId="13"/>
  </si>
  <si>
    <t>焼却灰中両Cs濃度</t>
    <rPh sb="4" eb="5">
      <t>リョウ</t>
    </rPh>
    <rPh sb="7" eb="9">
      <t>ノウド</t>
    </rPh>
    <phoneticPr fontId="13"/>
  </si>
  <si>
    <t>Cs-134</t>
    <phoneticPr fontId="13"/>
  </si>
  <si>
    <t>Cs-137</t>
    <phoneticPr fontId="13"/>
  </si>
  <si>
    <t>熔融スラグ中両Cs濃度</t>
    <rPh sb="6" eb="7">
      <t>リョウ</t>
    </rPh>
    <rPh sb="9" eb="11">
      <t>ノウド</t>
    </rPh>
    <phoneticPr fontId="13"/>
  </si>
  <si>
    <t>下駄+(採取日-40999)/除数11</t>
    <rPh sb="4" eb="6">
      <t>サイシュ</t>
    </rPh>
    <rPh sb="6" eb="7">
      <t>ビ</t>
    </rPh>
    <rPh sb="15" eb="16">
      <t>ジョ</t>
    </rPh>
    <phoneticPr fontId="13"/>
  </si>
  <si>
    <t>回帰式_Cs-134</t>
    <rPh sb="0" eb="2">
      <t>カイキ</t>
    </rPh>
    <rPh sb="2" eb="3">
      <t>シキ</t>
    </rPh>
    <phoneticPr fontId="13"/>
  </si>
  <si>
    <t>下駄+(採取日-41000)/除数1</t>
    <rPh sb="4" eb="6">
      <t>サイシュ</t>
    </rPh>
    <rPh sb="6" eb="7">
      <t>ビ</t>
    </rPh>
    <rPh sb="15" eb="16">
      <t>ジョ</t>
    </rPh>
    <phoneticPr fontId="13"/>
  </si>
  <si>
    <t>回帰式_Cs-137</t>
    <rPh sb="0" eb="2">
      <t>カイキ</t>
    </rPh>
    <rPh sb="2" eb="3">
      <t>シキ</t>
    </rPh>
    <phoneticPr fontId="13"/>
  </si>
  <si>
    <t>度(等間隔でないことに注意)</t>
    <rPh sb="0" eb="1">
      <t>ド</t>
    </rPh>
    <rPh sb="2" eb="5">
      <t>トウカンカク</t>
    </rPh>
    <rPh sb="11" eb="13">
      <t>チュウイ</t>
    </rPh>
    <phoneticPr fontId="13"/>
  </si>
  <si>
    <t>ラジアン</t>
    <phoneticPr fontId="13"/>
  </si>
  <si>
    <t>30°(360度/12ヶ月)等間隔</t>
    <rPh sb="7" eb="8">
      <t>ド</t>
    </rPh>
    <rPh sb="12" eb="13">
      <t>ゲツ</t>
    </rPh>
    <rPh sb="14" eb="17">
      <t>トウカンカク</t>
    </rPh>
    <phoneticPr fontId="13"/>
  </si>
  <si>
    <t>ラジアン</t>
    <phoneticPr fontId="13"/>
  </si>
  <si>
    <t>I-131当日1から減衰</t>
    <rPh sb="5" eb="7">
      <t>トウジツ</t>
    </rPh>
    <rPh sb="10" eb="12">
      <t>ゲンスイ</t>
    </rPh>
    <phoneticPr fontId="13"/>
  </si>
  <si>
    <r>
      <rPr>
        <sz val="6"/>
        <color theme="1"/>
        <rFont val="Meiryo UI"/>
        <family val="3"/>
        <charset val="128"/>
      </rPr>
      <t>Cs134</t>
    </r>
    <r>
      <rPr>
        <sz val="7"/>
        <color theme="1"/>
        <rFont val="Meiryo UI"/>
        <family val="3"/>
        <charset val="128"/>
      </rPr>
      <t>当日1から減衰</t>
    </r>
    <phoneticPr fontId="13"/>
  </si>
  <si>
    <r>
      <rPr>
        <sz val="6"/>
        <color theme="1"/>
        <rFont val="Meiryo UI"/>
        <family val="3"/>
        <charset val="128"/>
      </rPr>
      <t>Cs137</t>
    </r>
    <r>
      <rPr>
        <sz val="7"/>
        <color theme="1"/>
        <rFont val="Meiryo UI"/>
        <family val="3"/>
        <charset val="128"/>
      </rPr>
      <t>当日1から減衰</t>
    </r>
    <phoneticPr fontId="13"/>
  </si>
  <si>
    <t xml:space="preserve">両Cs当日各1から減衰  </t>
    <rPh sb="0" eb="1">
      <t>リョウ</t>
    </rPh>
    <rPh sb="3" eb="5">
      <t>トウジツ</t>
    </rPh>
    <rPh sb="5" eb="6">
      <t>カク</t>
    </rPh>
    <rPh sb="9" eb="11">
      <t>ゲンスイ</t>
    </rPh>
    <phoneticPr fontId="13"/>
  </si>
  <si>
    <t>両Cs1万から理論減衰</t>
    <rPh sb="0" eb="1">
      <t>リョウ</t>
    </rPh>
    <rPh sb="4" eb="5">
      <t>マン</t>
    </rPh>
    <rPh sb="7" eb="9">
      <t>リロン</t>
    </rPh>
    <rPh sb="9" eb="11">
      <t>ゲンスイ</t>
    </rPh>
    <phoneticPr fontId="13"/>
  </si>
  <si>
    <r>
      <rPr>
        <sz val="6"/>
        <color theme="1"/>
        <rFont val="Meiryo UI"/>
        <family val="3"/>
        <charset val="128"/>
      </rPr>
      <t>Cs134</t>
    </r>
    <r>
      <rPr>
        <sz val="7"/>
        <color theme="1"/>
        <rFont val="Meiryo UI"/>
        <family val="3"/>
        <charset val="128"/>
      </rPr>
      <t>当日500から減衰</t>
    </r>
    <rPh sb="5" eb="7">
      <t>トウジツ</t>
    </rPh>
    <rPh sb="12" eb="14">
      <t>ゲンスイ</t>
    </rPh>
    <phoneticPr fontId="13"/>
  </si>
  <si>
    <r>
      <rPr>
        <sz val="6"/>
        <color theme="1"/>
        <rFont val="Meiryo UI"/>
        <family val="3"/>
        <charset val="128"/>
      </rPr>
      <t>Cs137</t>
    </r>
    <r>
      <rPr>
        <sz val="7"/>
        <color theme="1"/>
        <rFont val="Meiryo UI"/>
        <family val="3"/>
        <charset val="128"/>
      </rPr>
      <t>当日500から減衰</t>
    </r>
    <rPh sb="5" eb="7">
      <t>トウジツ</t>
    </rPh>
    <rPh sb="12" eb="14">
      <t>ゲンスイ</t>
    </rPh>
    <phoneticPr fontId="13"/>
  </si>
  <si>
    <t>Bq/kg</t>
  </si>
  <si>
    <t>Bq/kg</t>
    <phoneticPr fontId="13"/>
  </si>
  <si>
    <t>Bq/kg</t>
    <phoneticPr fontId="13"/>
  </si>
  <si>
    <t>角度間隔ゆらぎCOS()</t>
    <rPh sb="0" eb="2">
      <t>カクド</t>
    </rPh>
    <rPh sb="2" eb="4">
      <t>カンカク</t>
    </rPh>
    <phoneticPr fontId="13"/>
  </si>
  <si>
    <t>30°等間隔COS()</t>
    <rPh sb="3" eb="4">
      <t>トウ</t>
    </rPh>
    <rPh sb="4" eb="6">
      <t>カンカク</t>
    </rPh>
    <phoneticPr fontId="13"/>
  </si>
  <si>
    <t>濃度データ推定法</t>
    <rPh sb="0" eb="2">
      <t>ノウド</t>
    </rPh>
    <rPh sb="5" eb="8">
      <t>スイテイホウ</t>
    </rPh>
    <phoneticPr fontId="6"/>
  </si>
  <si>
    <t>(毎月濃度データ不足の場合､減衰曲線と年間周期振動から推定)</t>
    <rPh sb="14" eb="16">
      <t>ゲンスイ</t>
    </rPh>
    <rPh sb="16" eb="18">
      <t>キョクセン</t>
    </rPh>
    <rPh sb="19" eb="21">
      <t>ネンカン</t>
    </rPh>
    <rPh sb="21" eb="23">
      <t>シュウキ</t>
    </rPh>
    <rPh sb="23" eb="25">
      <t>シンドウ</t>
    </rPh>
    <rPh sb="27" eb="29">
      <t>スイテイ</t>
    </rPh>
    <phoneticPr fontId="6"/>
  </si>
  <si>
    <t>年度
(H10以降？)</t>
    <rPh sb="0" eb="2">
      <t>ネンド</t>
    </rPh>
    <rPh sb="7" eb="9">
      <t>イコウ</t>
    </rPh>
    <phoneticPr fontId="6"/>
  </si>
  <si>
    <r>
      <t xml:space="preserve">ごみ総排出量
</t>
    </r>
    <r>
      <rPr>
        <sz val="7"/>
        <rFont val="Meiryo UI"/>
        <family val="3"/>
        <charset val="128"/>
      </rPr>
      <t>C=D+直接搬入量+Y</t>
    </r>
    <rPh sb="2" eb="3">
      <t>ソウ</t>
    </rPh>
    <rPh sb="3" eb="5">
      <t>ハイシュツ</t>
    </rPh>
    <rPh sb="5" eb="6">
      <t>リョウ</t>
    </rPh>
    <phoneticPr fontId="6"/>
  </si>
  <si>
    <t>計画収集量
D</t>
    <rPh sb="0" eb="2">
      <t>ケイカク</t>
    </rPh>
    <rPh sb="2" eb="4">
      <t>シュウシュウ</t>
    </rPh>
    <rPh sb="4" eb="5">
      <t>リョウ</t>
    </rPh>
    <phoneticPr fontId="6"/>
  </si>
  <si>
    <t>焼却以外の中間処理量
H</t>
    <rPh sb="0" eb="2">
      <t>ショウキャク</t>
    </rPh>
    <rPh sb="2" eb="4">
      <t>イガイ</t>
    </rPh>
    <rPh sb="5" eb="7">
      <t>チュウカン</t>
    </rPh>
    <rPh sb="7" eb="9">
      <t>ショリ</t>
    </rPh>
    <rPh sb="9" eb="10">
      <t>リョウ</t>
    </rPh>
    <phoneticPr fontId="6"/>
  </si>
  <si>
    <t>直接資源化量
I</t>
    <rPh sb="0" eb="2">
      <t>チョクセツ</t>
    </rPh>
    <rPh sb="2" eb="4">
      <t>シゲン</t>
    </rPh>
    <rPh sb="4" eb="5">
      <t>カ</t>
    </rPh>
    <rPh sb="5" eb="6">
      <t>リョウ</t>
    </rPh>
    <phoneticPr fontId="6"/>
  </si>
  <si>
    <t>減量処理率N=(F+H+I)/X</t>
    <rPh sb="0" eb="2">
      <t>ショリ</t>
    </rPh>
    <rPh sb="2" eb="3">
      <t>リツ</t>
    </rPh>
    <phoneticPr fontId="6"/>
  </si>
  <si>
    <t>焼却残渣量
K</t>
    <rPh sb="0" eb="2">
      <t>ショウキャク</t>
    </rPh>
    <rPh sb="2" eb="4">
      <t>ザンサ</t>
    </rPh>
    <rPh sb="4" eb="5">
      <t>リョウ</t>
    </rPh>
    <phoneticPr fontId="6"/>
  </si>
  <si>
    <t>処理残渣量
L</t>
    <rPh sb="0" eb="2">
      <t>ショリ</t>
    </rPh>
    <rPh sb="2" eb="4">
      <t>ザンサ</t>
    </rPh>
    <rPh sb="4" eb="5">
      <t>リョウ</t>
    </rPh>
    <phoneticPr fontId="6"/>
  </si>
  <si>
    <t>最終処分量
M=G+K+L</t>
    <rPh sb="0" eb="2">
      <t>サイシュウ</t>
    </rPh>
    <rPh sb="2" eb="4">
      <t>ショブン</t>
    </rPh>
    <rPh sb="4" eb="5">
      <t>リョウ</t>
    </rPh>
    <phoneticPr fontId="6"/>
  </si>
  <si>
    <t>H10以降？</t>
    <rPh sb="3" eb="5">
      <t>イコウ</t>
    </rPh>
    <phoneticPr fontId="6"/>
  </si>
  <si>
    <t>集団回収量が新設されたが､ごみ総排出量に含まない
自家処理量はごみ総排出量に含む
ごみ総排出量 &lt; &gt; ごみ処理量</t>
    <rPh sb="0" eb="2">
      <t>シュウダン</t>
    </rPh>
    <rPh sb="2" eb="4">
      <t>カイシュウ</t>
    </rPh>
    <rPh sb="4" eb="5">
      <t>リョウ</t>
    </rPh>
    <rPh sb="6" eb="8">
      <t>シンセツ</t>
    </rPh>
    <rPh sb="25" eb="27">
      <t>ジカ</t>
    </rPh>
    <rPh sb="27" eb="29">
      <t>ショリ</t>
    </rPh>
    <rPh sb="29" eb="30">
      <t>リョウ</t>
    </rPh>
    <rPh sb="33" eb="34">
      <t>ソウ</t>
    </rPh>
    <rPh sb="34" eb="36">
      <t>ハイシュツ</t>
    </rPh>
    <rPh sb="36" eb="37">
      <t>リョウ</t>
    </rPh>
    <rPh sb="38" eb="39">
      <t>フク</t>
    </rPh>
    <rPh sb="43" eb="44">
      <t>ソウ</t>
    </rPh>
    <rPh sb="44" eb="46">
      <t>ハイシュツ</t>
    </rPh>
    <rPh sb="46" eb="47">
      <t>リョウ</t>
    </rPh>
    <rPh sb="54" eb="56">
      <t>ショリ</t>
    </rPh>
    <rPh sb="56" eb="57">
      <t>リョウ</t>
    </rPh>
    <phoneticPr fontId="6"/>
  </si>
  <si>
    <t>計画収集人口 Ｂ</t>
    <rPh sb="0" eb="2">
      <t>ケイカク</t>
    </rPh>
    <rPh sb="2" eb="4">
      <t>シュウシュウ</t>
    </rPh>
    <rPh sb="4" eb="6">
      <t>ジンコウ</t>
    </rPh>
    <phoneticPr fontId="6"/>
  </si>
  <si>
    <t>H17以降</t>
    <rPh sb="3" eb="5">
      <t>イコウ</t>
    </rPh>
    <phoneticPr fontId="6"/>
  </si>
  <si>
    <t>集団回収量が､ごみ総排出量に含む
自家処理量はごみ総排出量に含まない
単位：(人)､(t)､(％)
環境省の元値X,N,R,M欄</t>
    <rPh sb="0" eb="2">
      <t>シュウダン</t>
    </rPh>
    <rPh sb="2" eb="4">
      <t>カイシュウ</t>
    </rPh>
    <rPh sb="4" eb="5">
      <t>リョウ</t>
    </rPh>
    <rPh sb="17" eb="19">
      <t>ジカ</t>
    </rPh>
    <rPh sb="19" eb="21">
      <t>ショリ</t>
    </rPh>
    <rPh sb="21" eb="22">
      <t>リョウ</t>
    </rPh>
    <rPh sb="25" eb="26">
      <t>ソウ</t>
    </rPh>
    <rPh sb="26" eb="28">
      <t>ハイシュツ</t>
    </rPh>
    <rPh sb="28" eb="29">
      <t>リョウ</t>
    </rPh>
    <rPh sb="35" eb="37">
      <t>タンイ</t>
    </rPh>
    <rPh sb="39" eb="40">
      <t>ニン</t>
    </rPh>
    <rPh sb="50" eb="53">
      <t>カンキョウショウ</t>
    </rPh>
    <rPh sb="54" eb="56">
      <t>モトネ</t>
    </rPh>
    <rPh sb="63" eb="64">
      <t>ラン</t>
    </rPh>
    <phoneticPr fontId="6"/>
  </si>
  <si>
    <t>直接搬入量</t>
  </si>
  <si>
    <t>毎月のデータが揃う石巻広域･宮城東部･仙台市･･から、焼却量と濃度が2･3月を底とし､</t>
    <rPh sb="0" eb="2">
      <t>マイツキ</t>
    </rPh>
    <rPh sb="7" eb="8">
      <t>ソロ</t>
    </rPh>
    <rPh sb="9" eb="11">
      <t>イシノマキ</t>
    </rPh>
    <rPh sb="11" eb="13">
      <t>コウイキ</t>
    </rPh>
    <rPh sb="14" eb="16">
      <t>ミヤギ</t>
    </rPh>
    <rPh sb="16" eb="18">
      <t>トウブ</t>
    </rPh>
    <rPh sb="19" eb="22">
      <t>センダイシ</t>
    </rPh>
    <rPh sb="27" eb="29">
      <t>ショウキャク</t>
    </rPh>
    <rPh sb="29" eb="30">
      <t>リョウ</t>
    </rPh>
    <rPh sb="31" eb="33">
      <t>ノウド</t>
    </rPh>
    <rPh sb="37" eb="38">
      <t>ガツ</t>
    </rPh>
    <rPh sb="39" eb="40">
      <t>ソコ</t>
    </rPh>
    <phoneticPr fontId="3"/>
  </si>
  <si>
    <t>←石巻広域と同じパターン変動するとして、H29実測値平均から推定</t>
    <rPh sb="23" eb="26">
      <t>ジッソクチ</t>
    </rPh>
    <rPh sb="26" eb="28">
      <t>ヘイキン</t>
    </rPh>
    <rPh sb="30" eb="32">
      <t>スイテイ</t>
    </rPh>
    <phoneticPr fontId="3"/>
  </si>
  <si>
    <t>2018/4/24作成</t>
    <rPh sb="9" eb="11">
      <t>サクセイ</t>
    </rPh>
    <phoneticPr fontId="6"/>
  </si>
  <si>
    <t>農林業系廃棄物試験焼却モニタリング結果一覧表</t>
    <rPh sb="19" eb="21">
      <t>イチラン</t>
    </rPh>
    <phoneticPr fontId="6"/>
  </si>
  <si>
    <t>基本項目</t>
  </si>
  <si>
    <t>←　受　入　期　間　　　　　　　→</t>
    <rPh sb="2" eb="3">
      <t>ウケ</t>
    </rPh>
    <rPh sb="4" eb="5">
      <t>イ</t>
    </rPh>
    <rPh sb="6" eb="7">
      <t>キ</t>
    </rPh>
    <rPh sb="8" eb="9">
      <t>アイダ</t>
    </rPh>
    <phoneticPr fontId="6"/>
  </si>
  <si>
    <t>測定項目</t>
  </si>
  <si>
    <t>←　混　焼　期　間　　　　　　　→</t>
    <rPh sb="2" eb="3">
      <t>コン</t>
    </rPh>
    <rPh sb="4" eb="5">
      <t>ヤキ</t>
    </rPh>
    <rPh sb="6" eb="7">
      <t>キ</t>
    </rPh>
    <rPh sb="8" eb="9">
      <t>アイダ</t>
    </rPh>
    <phoneticPr fontId="6"/>
  </si>
  <si>
    <t>搬入車両周辺空間線量(μSv/h)</t>
  </si>
  <si>
    <t>クール数</t>
    <rPh sb="3" eb="4">
      <t>スウ</t>
    </rPh>
    <phoneticPr fontId="6"/>
  </si>
  <si>
    <t>搬入市町</t>
  </si>
  <si>
    <t>搬入種類</t>
    <rPh sb="0" eb="2">
      <t>ハンニュウ</t>
    </rPh>
    <rPh sb="2" eb="4">
      <t>シュルイ</t>
    </rPh>
    <phoneticPr fontId="6"/>
  </si>
  <si>
    <t>搬入区分</t>
  </si>
  <si>
    <t>測定日</t>
    <phoneticPr fontId="6"/>
  </si>
  <si>
    <t>3月19日</t>
    <rPh sb="1" eb="2">
      <t>ガツ</t>
    </rPh>
    <rPh sb="4" eb="5">
      <t>ニチ</t>
    </rPh>
    <phoneticPr fontId="6"/>
  </si>
  <si>
    <t>3月20日</t>
    <rPh sb="1" eb="2">
      <t>ガツ</t>
    </rPh>
    <rPh sb="4" eb="5">
      <t>ニチ</t>
    </rPh>
    <phoneticPr fontId="6"/>
  </si>
  <si>
    <t>3月21日</t>
    <rPh sb="1" eb="2">
      <t>ガツ</t>
    </rPh>
    <rPh sb="4" eb="5">
      <t>ニチ</t>
    </rPh>
    <phoneticPr fontId="6"/>
  </si>
  <si>
    <t>3月22日</t>
    <rPh sb="1" eb="2">
      <t>ガツ</t>
    </rPh>
    <rPh sb="4" eb="5">
      <t>ニチ</t>
    </rPh>
    <phoneticPr fontId="6"/>
  </si>
  <si>
    <t>3月23日</t>
    <rPh sb="1" eb="2">
      <t>ガツ</t>
    </rPh>
    <rPh sb="4" eb="5">
      <t>ニチ</t>
    </rPh>
    <phoneticPr fontId="6"/>
  </si>
  <si>
    <t>3月24日</t>
    <rPh sb="1" eb="2">
      <t>ガツ</t>
    </rPh>
    <rPh sb="4" eb="5">
      <t>ニチ</t>
    </rPh>
    <phoneticPr fontId="6"/>
  </si>
  <si>
    <t>測定日</t>
  </si>
  <si>
    <t>月</t>
  </si>
  <si>
    <t>火</t>
  </si>
  <si>
    <t>水</t>
  </si>
  <si>
    <t>木</t>
  </si>
  <si>
    <t>金</t>
  </si>
  <si>
    <t>土</t>
  </si>
  <si>
    <t>月</t>
    <phoneticPr fontId="6"/>
  </si>
  <si>
    <t>火</t>
    <phoneticPr fontId="6"/>
  </si>
  <si>
    <t>水</t>
    <phoneticPr fontId="6"/>
  </si>
  <si>
    <t>木</t>
    <phoneticPr fontId="6"/>
  </si>
  <si>
    <t>金</t>
    <phoneticPr fontId="6"/>
  </si>
  <si>
    <t>第1クール</t>
    <phoneticPr fontId="6"/>
  </si>
  <si>
    <t>白石市</t>
  </si>
  <si>
    <t>ほだ木</t>
    <rPh sb="2" eb="3">
      <t>キ</t>
    </rPh>
    <phoneticPr fontId="6"/>
  </si>
  <si>
    <t>～100</t>
    <phoneticPr fontId="6"/>
  </si>
  <si>
    <t>濃度(Bq/kg)</t>
    <rPh sb="0" eb="2">
      <t>ノウド</t>
    </rPh>
    <phoneticPr fontId="6"/>
  </si>
  <si>
    <t>前面</t>
  </si>
  <si>
    <t>搬入量(kl)</t>
    <rPh sb="2" eb="3">
      <t>リョウ</t>
    </rPh>
    <phoneticPr fontId="6"/>
  </si>
  <si>
    <t>右側面</t>
  </si>
  <si>
    <t>左側面</t>
  </si>
  <si>
    <t>後面</t>
  </si>
  <si>
    <t>仙南クリーンセンター</t>
    <phoneticPr fontId="6"/>
  </si>
  <si>
    <t>基準値</t>
    <rPh sb="0" eb="2">
      <t>キジュン</t>
    </rPh>
    <phoneticPr fontId="6"/>
  </si>
  <si>
    <t>モニタリング回数</t>
    <phoneticPr fontId="6"/>
  </si>
  <si>
    <t>測定項目</t>
    <rPh sb="0" eb="2">
      <t>ソクテイ</t>
    </rPh>
    <phoneticPr fontId="6"/>
  </si>
  <si>
    <t>測定結果</t>
    <rPh sb="0" eb="2">
      <t>ソクテイ</t>
    </rPh>
    <rPh sb="2" eb="4">
      <t>ケッカ</t>
    </rPh>
    <phoneticPr fontId="6"/>
  </si>
  <si>
    <t>※参考　現状の測定結果</t>
    <rPh sb="4" eb="6">
      <t>ゲンジョウ</t>
    </rPh>
    <rPh sb="7" eb="9">
      <t>ソクテイ</t>
    </rPh>
    <rPh sb="9" eb="11">
      <t>ケッカ</t>
    </rPh>
    <phoneticPr fontId="6"/>
  </si>
  <si>
    <t>　　　試験焼却期間(1週目)</t>
  </si>
  <si>
    <t>２週目</t>
  </si>
  <si>
    <t>３週目</t>
    <phoneticPr fontId="6"/>
  </si>
  <si>
    <t>4週目</t>
  </si>
  <si>
    <t>検証期間</t>
    <rPh sb="0" eb="2">
      <t>ケンショウ</t>
    </rPh>
    <phoneticPr fontId="6"/>
  </si>
  <si>
    <t>空間線量測定</t>
    <phoneticPr fontId="6"/>
  </si>
  <si>
    <t>0.23μSv/h</t>
    <phoneticPr fontId="6"/>
  </si>
  <si>
    <t>5回/週(法定1回/週)</t>
  </si>
  <si>
    <t>測定日</t>
    <phoneticPr fontId="6"/>
  </si>
  <si>
    <t>3月26日</t>
  </si>
  <si>
    <t>3月27日</t>
  </si>
  <si>
    <t>3月28日</t>
  </si>
  <si>
    <t>3月29日</t>
  </si>
  <si>
    <t>3月30日</t>
  </si>
  <si>
    <t>4月2日</t>
    <phoneticPr fontId="6"/>
  </si>
  <si>
    <t>4月3日</t>
  </si>
  <si>
    <t>4月4日</t>
  </si>
  <si>
    <t>4月5日</t>
  </si>
  <si>
    <t>4月6日</t>
  </si>
  <si>
    <t>4月9日</t>
    <phoneticPr fontId="6"/>
  </si>
  <si>
    <t>4月10日</t>
  </si>
  <si>
    <t>4月11日</t>
  </si>
  <si>
    <t>4月12日</t>
  </si>
  <si>
    <t>4月13日</t>
  </si>
  <si>
    <t>測定月</t>
  </si>
  <si>
    <t>平成29年4月～平成30年1月</t>
  </si>
  <si>
    <t>(μSv/h)</t>
    <phoneticPr fontId="6"/>
  </si>
  <si>
    <t>測定時間</t>
    <rPh sb="0" eb="2">
      <t>ソクテイ</t>
    </rPh>
    <phoneticPr fontId="6"/>
  </si>
  <si>
    <t>13時～15時</t>
  </si>
  <si>
    <t>東</t>
    <phoneticPr fontId="6"/>
  </si>
  <si>
    <t>東</t>
  </si>
  <si>
    <t>0.0386～0.0884</t>
  </si>
  <si>
    <t>西</t>
    <phoneticPr fontId="6"/>
  </si>
  <si>
    <t>西</t>
  </si>
  <si>
    <t>0.0360～0.0956</t>
  </si>
  <si>
    <t>南</t>
    <phoneticPr fontId="6"/>
  </si>
  <si>
    <t>南</t>
  </si>
  <si>
    <t>0.0436～0.0616</t>
  </si>
  <si>
    <t>北</t>
    <phoneticPr fontId="6"/>
  </si>
  <si>
    <t>北</t>
  </si>
  <si>
    <t>0.0306～0.0494</t>
  </si>
  <si>
    <t>固化灰等の測定</t>
    <rPh sb="5" eb="7">
      <t>ソクテイ</t>
    </rPh>
    <phoneticPr fontId="6"/>
  </si>
  <si>
    <t>固化灰1,758Bq/kg以下</t>
  </si>
  <si>
    <t>1回/月(法定)＋</t>
    <phoneticPr fontId="6"/>
  </si>
  <si>
    <t>採取時間</t>
    <phoneticPr fontId="6"/>
  </si>
  <si>
    <t>9時～10時</t>
  </si>
  <si>
    <t>※各週1回の採取を行い、混合した上で1検体とし分析する。</t>
  </si>
  <si>
    <t>(Bq/kg)</t>
  </si>
  <si>
    <t>スラグ100Bq/kg以下</t>
  </si>
  <si>
    <t>1回/試験焼却各クール</t>
    <phoneticPr fontId="6"/>
  </si>
  <si>
    <t>固化灰</t>
    <phoneticPr fontId="6"/>
  </si>
  <si>
    <t>453Bq/kg</t>
  </si>
  <si>
    <t>367Bq/kg</t>
  </si>
  <si>
    <t>固化灰</t>
  </si>
  <si>
    <t>330～789</t>
  </si>
  <si>
    <t>スラグ</t>
    <phoneticPr fontId="6"/>
  </si>
  <si>
    <t>27Bq/kg</t>
  </si>
  <si>
    <t>スラグ</t>
  </si>
  <si>
    <t>13～81</t>
  </si>
  <si>
    <t>排ガス測定</t>
    <rPh sb="3" eb="5">
      <t>ソクテイ</t>
    </rPh>
    <phoneticPr fontId="6"/>
  </si>
  <si>
    <t>3ケ月の平均値が</t>
    <phoneticPr fontId="6"/>
  </si>
  <si>
    <t>1回/月(法定)+</t>
  </si>
  <si>
    <t>採取開始時閲(4時間吸引)</t>
  </si>
  <si>
    <t>1号炉9時20分～　2号炉13時40分～</t>
    <rPh sb="15" eb="16">
      <t>ジ</t>
    </rPh>
    <phoneticPr fontId="6"/>
  </si>
  <si>
    <t>1号炉平成30年4月13日10時30分～　　2号炉平成30年4月13日12時15分～</t>
  </si>
  <si>
    <t>(Bq/m3)</t>
  </si>
  <si>
    <t>次式を満足すること。</t>
  </si>
  <si>
    <t>1回/試験焼却各クール</t>
  </si>
  <si>
    <t>1号炉</t>
  </si>
  <si>
    <t>Cs-134濃度/20+</t>
  </si>
  <si>
    <t>Cs-137濃度/30≦1</t>
  </si>
  <si>
    <t>２号炉</t>
  </si>
  <si>
    <t>※ 空間線量測定機器：平成29年4月～12月 シンチレーション式PA-1000　平成30年3月19曰～ NaIシンチレーションサーベイメータTCS-172B</t>
    <rPh sb="2" eb="4">
      <t>クウカン</t>
    </rPh>
    <rPh sb="4" eb="6">
      <t>センリョウ</t>
    </rPh>
    <rPh sb="6" eb="8">
      <t>ソクテイ</t>
    </rPh>
    <rPh sb="8" eb="10">
      <t>キキ</t>
    </rPh>
    <rPh sb="11" eb="13">
      <t>ヘイセイ</t>
    </rPh>
    <rPh sb="40" eb="42">
      <t>ヘイセイ</t>
    </rPh>
    <phoneticPr fontId="6"/>
  </si>
  <si>
    <t>※ 排ガス中放射性物質濃度測定機器：ゲルマニウム半導体検出器 ORTEC社製 GEM25-76</t>
    <rPh sb="2" eb="3">
      <t>ハイ</t>
    </rPh>
    <rPh sb="5" eb="6">
      <t>チュウ</t>
    </rPh>
    <rPh sb="6" eb="9">
      <t>ホウシャセイ</t>
    </rPh>
    <rPh sb="9" eb="11">
      <t>ブッシツ</t>
    </rPh>
    <rPh sb="11" eb="13">
      <t>ノウド</t>
    </rPh>
    <rPh sb="13" eb="15">
      <t>ソクテイ</t>
    </rPh>
    <rPh sb="15" eb="17">
      <t>キキ</t>
    </rPh>
    <rPh sb="24" eb="27">
      <t>ハンドウタイ</t>
    </rPh>
    <rPh sb="27" eb="30">
      <t>ケンシュツキ</t>
    </rPh>
    <rPh sb="37" eb="38">
      <t>セイ</t>
    </rPh>
    <phoneticPr fontId="6"/>
  </si>
  <si>
    <t>※ 固化灰・スラグ測定機器中放射性物質測定機器：ゲルマニウム半導体検出器 ORTEC社製 GEM45-76</t>
    <rPh sb="2" eb="4">
      <t>コカ</t>
    </rPh>
    <rPh sb="4" eb="5">
      <t>バイ</t>
    </rPh>
    <rPh sb="11" eb="13">
      <t>キキ</t>
    </rPh>
    <rPh sb="13" eb="14">
      <t>チュウ</t>
    </rPh>
    <rPh sb="14" eb="17">
      <t>ホウシャセイ</t>
    </rPh>
    <rPh sb="17" eb="19">
      <t>ブッシツ</t>
    </rPh>
    <rPh sb="19" eb="21">
      <t>ソクテイ</t>
    </rPh>
    <rPh sb="21" eb="23">
      <t>キキ</t>
    </rPh>
    <rPh sb="30" eb="33">
      <t>ハンドウタイ</t>
    </rPh>
    <rPh sb="33" eb="35">
      <t>ケンシュツ</t>
    </rPh>
    <rPh sb="42" eb="43">
      <t>シャ</t>
    </rPh>
    <rPh sb="43" eb="44">
      <t>セイ</t>
    </rPh>
    <phoneticPr fontId="6"/>
  </si>
  <si>
    <t>試験焼却開始前</t>
  </si>
  <si>
    <t>第６クール終了後</t>
  </si>
  <si>
    <t>土壌測定</t>
    <rPh sb="0" eb="2">
      <t>ドジョウ</t>
    </rPh>
    <rPh sb="2" eb="4">
      <t>ソクテイ</t>
    </rPh>
    <phoneticPr fontId="6"/>
  </si>
  <si>
    <t>特措法に基づく</t>
    <rPh sb="0" eb="2">
      <t>トクソ</t>
    </rPh>
    <phoneticPr fontId="6"/>
  </si>
  <si>
    <t>試験焼却の</t>
    <phoneticPr fontId="6"/>
  </si>
  <si>
    <t>採取日</t>
  </si>
  <si>
    <t>平成29年10月26日</t>
    <rPh sb="0" eb="2">
      <t>ヘイセイ</t>
    </rPh>
    <rPh sb="4" eb="5">
      <t>ネン</t>
    </rPh>
    <rPh sb="7" eb="8">
      <t>ガツ</t>
    </rPh>
    <rPh sb="10" eb="11">
      <t>ニチ</t>
    </rPh>
    <phoneticPr fontId="6"/>
  </si>
  <si>
    <t>基準値はなし</t>
  </si>
  <si>
    <t>前後各1回</t>
  </si>
  <si>
    <t>仙南最終処分場</t>
    <rPh sb="0" eb="2">
      <t>センナン</t>
    </rPh>
    <rPh sb="2" eb="4">
      <t>サイシュウ</t>
    </rPh>
    <phoneticPr fontId="6"/>
  </si>
  <si>
    <t>モニタリング回数</t>
    <phoneticPr fontId="6"/>
  </si>
  <si>
    <t>３週目</t>
    <phoneticPr fontId="6"/>
  </si>
  <si>
    <t>空間線量</t>
    <phoneticPr fontId="6"/>
  </si>
  <si>
    <t>0.23μSv/h</t>
    <phoneticPr fontId="6"/>
  </si>
  <si>
    <t>5回/週</t>
    <phoneticPr fontId="6"/>
  </si>
  <si>
    <t>測定日</t>
    <phoneticPr fontId="6"/>
  </si>
  <si>
    <t>4月9日</t>
    <phoneticPr fontId="6"/>
  </si>
  <si>
    <t>測定(μSv/h)</t>
    <phoneticPr fontId="6"/>
  </si>
  <si>
    <t>(法定1回/週)</t>
  </si>
  <si>
    <t>10時～12時</t>
  </si>
  <si>
    <t>東</t>
    <phoneticPr fontId="6"/>
  </si>
  <si>
    <t>0.0830～0.1382</t>
  </si>
  <si>
    <t>0.0556～0.0904</t>
  </si>
  <si>
    <t>0.0528～0.0950</t>
  </si>
  <si>
    <t>0.0814～0.1254</t>
  </si>
  <si>
    <t>門扉前</t>
    <phoneticPr fontId="6"/>
  </si>
  <si>
    <t>門扉前</t>
  </si>
  <si>
    <t>0.0500～0.0600</t>
  </si>
  <si>
    <t>地下水測定</t>
    <phoneticPr fontId="6"/>
  </si>
  <si>
    <t>特措法に基づく</t>
    <phoneticPr fontId="6"/>
  </si>
  <si>
    <t>1回/月(法定)</t>
  </si>
  <si>
    <t>採取日</t>
    <phoneticPr fontId="6"/>
  </si>
  <si>
    <t>平成30年3月22日</t>
    <phoneticPr fontId="6"/>
  </si>
  <si>
    <t>(Bq/L)</t>
  </si>
  <si>
    <t>地下水</t>
    <phoneticPr fontId="6"/>
  </si>
  <si>
    <t>地下水</t>
  </si>
  <si>
    <t>※空間線量測定機器　平成29年4月～12月　シンチレーション式PA-1000　平成30年3月19日～　NalシンチレーションサーベイメータTCS-172B</t>
    <rPh sb="3" eb="5">
      <t>センリョウ</t>
    </rPh>
    <rPh sb="5" eb="7">
      <t>ソクテイ</t>
    </rPh>
    <rPh sb="7" eb="9">
      <t>キキ</t>
    </rPh>
    <phoneticPr fontId="6"/>
  </si>
  <si>
    <t>※地下水中放射性物質濃度測定機器：ゲルマニウム半導体検出器CANBERA社GC2018</t>
    <rPh sb="8" eb="10">
      <t>ブッシツ</t>
    </rPh>
    <rPh sb="10" eb="12">
      <t>ノウド</t>
    </rPh>
    <phoneticPr fontId="6"/>
  </si>
  <si>
    <t>2018/6/1作成</t>
  </si>
  <si>
    <t>農林業系廃棄物試験焼却モニタリング結果－覧表</t>
  </si>
  <si>
    <t>4月23日</t>
    <phoneticPr fontId="6"/>
  </si>
  <si>
    <t>4月24日</t>
    <phoneticPr fontId="6"/>
  </si>
  <si>
    <t>4月25日</t>
    <phoneticPr fontId="6"/>
  </si>
  <si>
    <t>4月26日</t>
    <phoneticPr fontId="6"/>
  </si>
  <si>
    <t>4月２７日</t>
    <phoneticPr fontId="6"/>
  </si>
  <si>
    <t>4月28日</t>
    <phoneticPr fontId="6"/>
  </si>
  <si>
    <t>4月27日</t>
    <phoneticPr fontId="6"/>
  </si>
  <si>
    <t>月</t>
    <phoneticPr fontId="6"/>
  </si>
  <si>
    <t>火</t>
    <phoneticPr fontId="6"/>
  </si>
  <si>
    <t>水</t>
    <phoneticPr fontId="6"/>
  </si>
  <si>
    <t>木</t>
    <phoneticPr fontId="6"/>
  </si>
  <si>
    <t>金</t>
    <phoneticPr fontId="6"/>
  </si>
  <si>
    <t>第２クール</t>
    <phoneticPr fontId="6"/>
  </si>
  <si>
    <t>角田市</t>
    <phoneticPr fontId="6"/>
  </si>
  <si>
    <t>堆肥</t>
    <phoneticPr fontId="6"/>
  </si>
  <si>
    <t>～400 Bq/kg</t>
  </si>
  <si>
    <t>犬</t>
  </si>
  <si>
    <t>仙南クリーンセンター</t>
    <phoneticPr fontId="6"/>
  </si>
  <si>
    <t>＼</t>
  </si>
  <si>
    <t>３週目</t>
  </si>
  <si>
    <t>4月23日</t>
  </si>
  <si>
    <t>4月24日</t>
  </si>
  <si>
    <t>4月25日</t>
  </si>
  <si>
    <t>4月26日</t>
  </si>
  <si>
    <t>4月２７日</t>
  </si>
  <si>
    <t>4月28日</t>
  </si>
  <si>
    <t>4月30日</t>
  </si>
  <si>
    <t>5月1日</t>
  </si>
  <si>
    <t>5月２曰</t>
  </si>
  <si>
    <t>5月3日</t>
  </si>
  <si>
    <t>5月４日</t>
  </si>
  <si>
    <t>5月７日</t>
  </si>
  <si>
    <t>5月8日</t>
  </si>
  <si>
    <t>5月９日</t>
  </si>
  <si>
    <t>5月10日</t>
  </si>
  <si>
    <t>5月11日</t>
  </si>
  <si>
    <t>5月14日</t>
  </si>
  <si>
    <t>5月15日</t>
  </si>
  <si>
    <t>5月16日</t>
  </si>
  <si>
    <t>5月17日</t>
  </si>
  <si>
    <t>5月18日</t>
  </si>
  <si>
    <t>(μSv/h)</t>
  </si>
  <si>
    <t>固化灰1,758Bq/kg以下</t>
    <phoneticPr fontId="6"/>
  </si>
  <si>
    <t>１回/月(法定)＋１回/試験焼却各クール</t>
  </si>
  <si>
    <t>採取時間</t>
  </si>
  <si>
    <t>ヘ</t>
  </si>
  <si>
    <t>※各週１回の採取を行い、混合した上で１検体とし分析する。</t>
  </si>
  <si>
    <t>586Bq/kg</t>
  </si>
  <si>
    <t>660Bq/kg</t>
  </si>
  <si>
    <t>47Bq/kg</t>
  </si>
  <si>
    <t>44Bq/kg</t>
  </si>
  <si>
    <t>3ケ月の平均値が</t>
    <phoneticPr fontId="6"/>
  </si>
  <si>
    <t>１回/月(法定)+１回/試験焼却各クール</t>
  </si>
  <si>
    <t>号炉吟40分～号炉４時～</t>
  </si>
  <si>
    <t>1号炉平成30年5月18日10時8分～2号炉平成30年5月30日10時3分～</t>
  </si>
  <si>
    <t>１号炉</t>
  </si>
  <si>
    <t>Cs-134濃度/20+</t>
    <phoneticPr fontId="6"/>
  </si>
  <si>
    <t>試験焼却の</t>
    <phoneticPr fontId="6"/>
  </si>
  <si>
    <t>平成29年10月26日</t>
  </si>
  <si>
    <t>前後各１回</t>
  </si>
  <si>
    <t>モニタリング回数</t>
  </si>
  <si>
    <t>３週目</t>
    <phoneticPr fontId="6"/>
  </si>
  <si>
    <t>空間線量</t>
    <phoneticPr fontId="6"/>
  </si>
  <si>
    <t>0.23μSv/h</t>
    <phoneticPr fontId="6"/>
  </si>
  <si>
    <t>5回/週</t>
    <phoneticPr fontId="6"/>
  </si>
  <si>
    <t>測定(μSv/h)</t>
  </si>
  <si>
    <t>１回/月(法定)</t>
  </si>
  <si>
    <t>平成30年4月２６日</t>
  </si>
  <si>
    <t>2018/8/24作成</t>
  </si>
  <si>
    <t>灘定項目</t>
  </si>
  <si>
    <t>クール撒</t>
  </si>
  <si>
    <t>搬入･皿類</t>
  </si>
  <si>
    <t>7月23日</t>
    <phoneticPr fontId="6"/>
  </si>
  <si>
    <t>7月24日</t>
    <phoneticPr fontId="6"/>
  </si>
  <si>
    <t>7月25日</t>
    <phoneticPr fontId="6"/>
  </si>
  <si>
    <t>7月26日</t>
    <phoneticPr fontId="6"/>
  </si>
  <si>
    <t>7月27日</t>
    <phoneticPr fontId="6"/>
  </si>
  <si>
    <t>7月28日</t>
    <phoneticPr fontId="6"/>
  </si>
  <si>
    <t>7月24日</t>
  </si>
  <si>
    <t>第３クール</t>
  </si>
  <si>
    <t>角田市</t>
  </si>
  <si>
    <t>牧草</t>
  </si>
  <si>
    <t>～1000</t>
    <phoneticPr fontId="6"/>
  </si>
  <si>
    <t>濃度(Bq/㎏)</t>
  </si>
  <si>
    <t>ベ</t>
  </si>
  <si>
    <t xml:space="preserve"> Bq/kg</t>
  </si>
  <si>
    <t>掘人里　(ka)</t>
  </si>
  <si>
    <t>空間線量測定</t>
    <phoneticPr fontId="6"/>
  </si>
  <si>
    <t>7月30日</t>
  </si>
  <si>
    <t>7月31日</t>
  </si>
  <si>
    <t>8月1日</t>
    <phoneticPr fontId="6"/>
  </si>
  <si>
    <t>8月2日</t>
  </si>
  <si>
    <t>8月3日</t>
  </si>
  <si>
    <t>8月6日</t>
    <phoneticPr fontId="6"/>
  </si>
  <si>
    <t>8月7日</t>
  </si>
  <si>
    <t>8月8日</t>
  </si>
  <si>
    <t>8月9日</t>
  </si>
  <si>
    <t>8月10日</t>
  </si>
  <si>
    <t>8月13日</t>
    <phoneticPr fontId="6"/>
  </si>
  <si>
    <t>8月14日</t>
  </si>
  <si>
    <t>8月15日</t>
  </si>
  <si>
    <t>8月16日</t>
  </si>
  <si>
    <t>8月17日</t>
  </si>
  <si>
    <t>月</t>
    <rPh sb="0" eb="1">
      <t>ゲツ</t>
    </rPh>
    <phoneticPr fontId="6"/>
  </si>
  <si>
    <t>東</t>
    <phoneticPr fontId="6"/>
  </si>
  <si>
    <t>西</t>
    <phoneticPr fontId="6"/>
  </si>
  <si>
    <t>南</t>
    <phoneticPr fontId="6"/>
  </si>
  <si>
    <t>北</t>
    <phoneticPr fontId="6"/>
  </si>
  <si>
    <t>1回/月(法定)＋</t>
    <phoneticPr fontId="6"/>
  </si>
  <si>
    <t>採取時間</t>
    <phoneticPr fontId="6"/>
  </si>
  <si>
    <t>1回/試験焼却各クール</t>
    <phoneticPr fontId="6"/>
  </si>
  <si>
    <t>固化灰</t>
    <phoneticPr fontId="6"/>
  </si>
  <si>
    <t>568Bq/kg</t>
  </si>
  <si>
    <t>604Bq/kg</t>
  </si>
  <si>
    <t>スラグ</t>
    <phoneticPr fontId="6"/>
  </si>
  <si>
    <t>45Bq/kg</t>
  </si>
  <si>
    <t>34Bq/kg</t>
  </si>
  <si>
    <t>3ケ月の平均値が</t>
    <phoneticPr fontId="6"/>
  </si>
  <si>
    <t>1号炉11時～　　2号炉13時45分～</t>
    <rPh sb="14" eb="15">
      <t>ジ</t>
    </rPh>
    <phoneticPr fontId="6"/>
  </si>
  <si>
    <t>1号炉平成30年8月10日11時30分～　　2号炉平成30年8月17日9時55分～</t>
    <phoneticPr fontId="6"/>
  </si>
  <si>
    <t>試験焼却の</t>
    <phoneticPr fontId="6"/>
  </si>
  <si>
    <t>モニタリング回数</t>
    <phoneticPr fontId="6"/>
  </si>
  <si>
    <t>３週目</t>
    <phoneticPr fontId="6"/>
  </si>
  <si>
    <t>空間線量</t>
    <phoneticPr fontId="6"/>
  </si>
  <si>
    <t>0.23μSv/h</t>
    <phoneticPr fontId="6"/>
  </si>
  <si>
    <t>5回/週</t>
    <phoneticPr fontId="6"/>
  </si>
  <si>
    <t>測定日</t>
    <phoneticPr fontId="6"/>
  </si>
  <si>
    <t>7月23日</t>
    <phoneticPr fontId="6"/>
  </si>
  <si>
    <t>7月24日</t>
    <phoneticPr fontId="6"/>
  </si>
  <si>
    <t>7月25日</t>
    <phoneticPr fontId="6"/>
  </si>
  <si>
    <t>7月26日</t>
    <phoneticPr fontId="6"/>
  </si>
  <si>
    <t>7月27日</t>
    <phoneticPr fontId="6"/>
  </si>
  <si>
    <t>7月28日</t>
    <phoneticPr fontId="6"/>
  </si>
  <si>
    <t>8月1日</t>
    <phoneticPr fontId="6"/>
  </si>
  <si>
    <t>8月6日</t>
    <phoneticPr fontId="6"/>
  </si>
  <si>
    <t>8月13日</t>
    <phoneticPr fontId="6"/>
  </si>
  <si>
    <t>測定(μSv/h)</t>
    <phoneticPr fontId="6"/>
  </si>
  <si>
    <t>門扉前</t>
    <phoneticPr fontId="6"/>
  </si>
  <si>
    <t>地下水測定</t>
    <phoneticPr fontId="6"/>
  </si>
  <si>
    <t>特措法に基づく</t>
    <phoneticPr fontId="6"/>
  </si>
  <si>
    <t>採取日</t>
    <phoneticPr fontId="6"/>
  </si>
  <si>
    <t>平成30年7月26日</t>
    <phoneticPr fontId="6"/>
  </si>
  <si>
    <t>澗U定月</t>
  </si>
  <si>
    <t>地下水</t>
    <phoneticPr fontId="6"/>
  </si>
  <si>
    <t>2018/9/28作成</t>
  </si>
  <si>
    <t>←ら｀｀、μ__　混喘間　二</t>
  </si>
  <si>
    <t>搬入車両周辺空間線量（1jSv/h）</t>
  </si>
  <si>
    <t>搬入市町</t>
    <phoneticPr fontId="6"/>
  </si>
  <si>
    <t>搬入種類</t>
    <rPh sb="2" eb="4">
      <t>シュルイ</t>
    </rPh>
    <phoneticPr fontId="6"/>
  </si>
  <si>
    <t>8月27日</t>
    <phoneticPr fontId="6"/>
  </si>
  <si>
    <t>8月28巳</t>
    <phoneticPr fontId="6"/>
  </si>
  <si>
    <t>8月29日</t>
    <phoneticPr fontId="6"/>
  </si>
  <si>
    <t>8月30日</t>
    <phoneticPr fontId="6"/>
  </si>
  <si>
    <t>8月31巳</t>
    <phoneticPr fontId="6"/>
  </si>
  <si>
    <t>9月1巳</t>
    <phoneticPr fontId="6"/>
  </si>
  <si>
    <t>8月27日18月28日</t>
    <phoneticPr fontId="6"/>
  </si>
  <si>
    <t>8月31日</t>
    <phoneticPr fontId="6"/>
  </si>
  <si>
    <t>月</t>
    <phoneticPr fontId="6"/>
  </si>
  <si>
    <t>火</t>
    <phoneticPr fontId="6"/>
  </si>
  <si>
    <t>水</t>
    <phoneticPr fontId="6"/>
  </si>
  <si>
    <t>木</t>
    <phoneticPr fontId="6"/>
  </si>
  <si>
    <t>金</t>
    <phoneticPr fontId="6"/>
  </si>
  <si>
    <t>第４クール</t>
  </si>
  <si>
    <t>薦王町</t>
  </si>
  <si>
    <t>～4000</t>
    <phoneticPr fontId="6"/>
  </si>
  <si>
    <t>仙南クリーンセンター</t>
    <phoneticPr fontId="6"/>
  </si>
  <si>
    <t>空間線量測定</t>
    <phoneticPr fontId="6"/>
  </si>
  <si>
    <t>8月28日</t>
    <phoneticPr fontId="6"/>
  </si>
  <si>
    <t>9月1日</t>
    <phoneticPr fontId="6"/>
  </si>
  <si>
    <t>9月３日</t>
  </si>
  <si>
    <t>9月４日</t>
  </si>
  <si>
    <t>9月５曰</t>
  </si>
  <si>
    <t>9月6日</t>
  </si>
  <si>
    <t>9月７日</t>
  </si>
  <si>
    <t>9月10日</t>
    <phoneticPr fontId="6"/>
  </si>
  <si>
    <t>9月11日</t>
  </si>
  <si>
    <t>9月12日</t>
  </si>
  <si>
    <t>9月13日</t>
  </si>
  <si>
    <t>9月14日</t>
  </si>
  <si>
    <t>9月17日</t>
    <phoneticPr fontId="6"/>
  </si>
  <si>
    <t>9月18日</t>
  </si>
  <si>
    <t>9月19日</t>
  </si>
  <si>
    <t>9月20日</t>
  </si>
  <si>
    <t>9月21日</t>
  </si>
  <si>
    <t>(μSv/h)</t>
    <phoneticPr fontId="6"/>
  </si>
  <si>
    <t>528Bq/kg</t>
  </si>
  <si>
    <t>561Bq/kg</t>
  </si>
  <si>
    <t>40Bq/kg</t>
  </si>
  <si>
    <t>38Bq/kg</t>
  </si>
  <si>
    <t>1号炉11時30分～　2号炉11時30分～</t>
    <rPh sb="12" eb="13">
      <t>ゴウ</t>
    </rPh>
    <phoneticPr fontId="6"/>
  </si>
  <si>
    <t>1号炉平成30年9月21日9時52分～2号炉平成30年9月21日11時30分～</t>
  </si>
  <si>
    <t>9月12巳</t>
  </si>
  <si>
    <t>平成30年8月30日</t>
  </si>
  <si>
    <t>2018/11/2作成</t>
  </si>
  <si>
    <t>10月1日</t>
    <phoneticPr fontId="6"/>
  </si>
  <si>
    <t>10月2日</t>
    <phoneticPr fontId="6"/>
  </si>
  <si>
    <t>10月3日</t>
    <phoneticPr fontId="6"/>
  </si>
  <si>
    <t>10月4日</t>
    <phoneticPr fontId="6"/>
  </si>
  <si>
    <t>10月5日</t>
    <phoneticPr fontId="6"/>
  </si>
  <si>
    <t>10月6日</t>
    <phoneticPr fontId="6"/>
  </si>
  <si>
    <t>第5クール</t>
    <phoneticPr fontId="6"/>
  </si>
  <si>
    <t>川崎町</t>
  </si>
  <si>
    <t>稲わら</t>
  </si>
  <si>
    <t>～8000</t>
    <phoneticPr fontId="6"/>
  </si>
  <si>
    <t>搬入量(kg)</t>
    <rPh sb="2" eb="3">
      <t>リョウ</t>
    </rPh>
    <phoneticPr fontId="6"/>
  </si>
  <si>
    <t>10月1日</t>
  </si>
  <si>
    <t>10月2日</t>
  </si>
  <si>
    <t>10月3日</t>
  </si>
  <si>
    <t>10月4日</t>
  </si>
  <si>
    <t>10月5日</t>
  </si>
  <si>
    <t>10月6日</t>
  </si>
  <si>
    <t>10月8日</t>
  </si>
  <si>
    <t>10月9日</t>
  </si>
  <si>
    <t>10月10日</t>
  </si>
  <si>
    <t>10月11日</t>
  </si>
  <si>
    <t>10月12日</t>
  </si>
  <si>
    <t>10月15日</t>
  </si>
  <si>
    <t>10月16日</t>
  </si>
  <si>
    <t>10月17日</t>
  </si>
  <si>
    <t>10月18日</t>
  </si>
  <si>
    <t>10月19日</t>
  </si>
  <si>
    <t>10月22日</t>
  </si>
  <si>
    <t>10月23日</t>
  </si>
  <si>
    <t>10月24日</t>
  </si>
  <si>
    <t>10月25日</t>
  </si>
  <si>
    <t>10月26日</t>
  </si>
  <si>
    <t>1回/月(法定)＋</t>
  </si>
  <si>
    <t>732Bq/kg</t>
  </si>
  <si>
    <t>73Bq/kg</t>
  </si>
  <si>
    <t>63Bq/kg</t>
  </si>
  <si>
    <t>1号炉11時45分～　2号炉11時45分</t>
    <rPh sb="5" eb="6">
      <t>ジ</t>
    </rPh>
    <phoneticPr fontId="6"/>
  </si>
  <si>
    <t>1号炉平成30年10月26日11時15分～　2号炉平成30年10月８日11時30分～</t>
  </si>
  <si>
    <t>2号炉</t>
    <phoneticPr fontId="6"/>
  </si>
  <si>
    <t>3週目</t>
    <phoneticPr fontId="6"/>
  </si>
  <si>
    <t>検証期間</t>
    <rPh sb="0" eb="2">
      <t>ケンショウ</t>
    </rPh>
    <rPh sb="2" eb="4">
      <t>キカン</t>
    </rPh>
    <phoneticPr fontId="6"/>
  </si>
  <si>
    <t>平成30年10月4日</t>
  </si>
  <si>
    <t>2018/11/30作成</t>
  </si>
  <si>
    <t>11月5日</t>
    <rPh sb="4" eb="5">
      <t>ニチ</t>
    </rPh>
    <phoneticPr fontId="6"/>
  </si>
  <si>
    <t>11月6日</t>
    <rPh sb="4" eb="5">
      <t>ニチ</t>
    </rPh>
    <phoneticPr fontId="6"/>
  </si>
  <si>
    <t>11月7日</t>
    <rPh sb="4" eb="5">
      <t>ニチ</t>
    </rPh>
    <phoneticPr fontId="6"/>
  </si>
  <si>
    <t>11月8日</t>
    <rPh sb="4" eb="5">
      <t>ニチ</t>
    </rPh>
    <phoneticPr fontId="6"/>
  </si>
  <si>
    <t>11月9日</t>
    <rPh sb="4" eb="5">
      <t>ニチ</t>
    </rPh>
    <phoneticPr fontId="6"/>
  </si>
  <si>
    <t>11月10日</t>
    <rPh sb="5" eb="6">
      <t>ニチ</t>
    </rPh>
    <phoneticPr fontId="6"/>
  </si>
  <si>
    <t>第6クール</t>
    <phoneticPr fontId="6"/>
  </si>
  <si>
    <t>ほだ木</t>
  </si>
  <si>
    <t>11月12日</t>
    <rPh sb="5" eb="6">
      <t>ニチ</t>
    </rPh>
    <phoneticPr fontId="6"/>
  </si>
  <si>
    <t>11月13日</t>
    <rPh sb="5" eb="6">
      <t>ニチ</t>
    </rPh>
    <phoneticPr fontId="6"/>
  </si>
  <si>
    <t>11月14日</t>
    <rPh sb="5" eb="6">
      <t>ニチ</t>
    </rPh>
    <phoneticPr fontId="6"/>
  </si>
  <si>
    <t>11月15日</t>
    <rPh sb="5" eb="6">
      <t>ニチ</t>
    </rPh>
    <phoneticPr fontId="6"/>
  </si>
  <si>
    <t>11月16日</t>
    <rPh sb="5" eb="6">
      <t>ニチ</t>
    </rPh>
    <phoneticPr fontId="6"/>
  </si>
  <si>
    <t>11月19日</t>
    <rPh sb="5" eb="6">
      <t>ニチ</t>
    </rPh>
    <phoneticPr fontId="6"/>
  </si>
  <si>
    <t>11月20日</t>
    <rPh sb="5" eb="6">
      <t>ニチ</t>
    </rPh>
    <phoneticPr fontId="6"/>
  </si>
  <si>
    <t>11月21日</t>
    <rPh sb="5" eb="6">
      <t>ニチ</t>
    </rPh>
    <phoneticPr fontId="6"/>
  </si>
  <si>
    <t>11月22日</t>
    <rPh sb="5" eb="6">
      <t>ニチ</t>
    </rPh>
    <phoneticPr fontId="6"/>
  </si>
  <si>
    <t>11月23日</t>
    <rPh sb="5" eb="6">
      <t>ニチ</t>
    </rPh>
    <phoneticPr fontId="6"/>
  </si>
  <si>
    <t>11月26日</t>
    <rPh sb="5" eb="6">
      <t>ニチ</t>
    </rPh>
    <phoneticPr fontId="6"/>
  </si>
  <si>
    <t>11月27日</t>
    <rPh sb="5" eb="6">
      <t>ニチ</t>
    </rPh>
    <phoneticPr fontId="6"/>
  </si>
  <si>
    <t>11月28日</t>
    <rPh sb="5" eb="6">
      <t>ニチ</t>
    </rPh>
    <phoneticPr fontId="6"/>
  </si>
  <si>
    <t>11月29日</t>
    <rPh sb="5" eb="6">
      <t>ニチ</t>
    </rPh>
    <phoneticPr fontId="6"/>
  </si>
  <si>
    <t>11月30日</t>
    <rPh sb="5" eb="6">
      <t>ニチ</t>
    </rPh>
    <phoneticPr fontId="6"/>
  </si>
  <si>
    <t>※毎日採取し、混合した上で1検体とし分析する。</t>
  </si>
  <si>
    <t>同上</t>
  </si>
  <si>
    <t>1号炉11時10分～　2号炉11時10分～</t>
    <rPh sb="12" eb="13">
      <t>ゴウ</t>
    </rPh>
    <phoneticPr fontId="6"/>
  </si>
  <si>
    <t>※排カスを4時間(3,000L)程度吸引し分析する。</t>
  </si>
  <si>
    <t>２号炉</t>
    <phoneticPr fontId="6"/>
  </si>
  <si>
    <t>平成29年4月～平成30年1月</t>
    <phoneticPr fontId="6"/>
  </si>
  <si>
    <t>平成30年11月8日</t>
    <rPh sb="0" eb="2">
      <t>ヘイセイ</t>
    </rPh>
    <rPh sb="4" eb="5">
      <t>ネン</t>
    </rPh>
    <rPh sb="7" eb="8">
      <t>ガツ</t>
    </rPh>
    <rPh sb="9" eb="10">
      <t>ニチ</t>
    </rPh>
    <phoneticPr fontId="6"/>
  </si>
  <si>
    <t>200(100tx2炉)</t>
  </si>
  <si>
    <t>←角田120(60tx2炉〉大河原100(50tx2炉)</t>
    <rPh sb="1" eb="3">
      <t>カクダ</t>
    </rPh>
    <rPh sb="14" eb="17">
      <t>オオガワラ</t>
    </rPh>
    <phoneticPr fontId="6"/>
  </si>
  <si>
    <t>搬入日</t>
    <rPh sb="0" eb="2">
      <t>ハンニュウ</t>
    </rPh>
    <rPh sb="2" eb="3">
      <t>ビ</t>
    </rPh>
    <phoneticPr fontId="6"/>
  </si>
  <si>
    <t>焼却日･採取日</t>
    <rPh sb="0" eb="2">
      <t>ショウキャク</t>
    </rPh>
    <rPh sb="2" eb="3">
      <t>ビ</t>
    </rPh>
    <rPh sb="4" eb="6">
      <t>サイシュ</t>
    </rPh>
    <rPh sb="6" eb="7">
      <t>ビ</t>
    </rPh>
    <phoneticPr fontId="6"/>
  </si>
  <si>
    <t>区分1</t>
    <rPh sb="0" eb="2">
      <t>クブン</t>
    </rPh>
    <phoneticPr fontId="6"/>
  </si>
  <si>
    <t>区分2</t>
    <rPh sb="0" eb="2">
      <t>クブン</t>
    </rPh>
    <phoneticPr fontId="6"/>
  </si>
  <si>
    <t>土壌</t>
    <rPh sb="0" eb="2">
      <t>ドジョウ</t>
    </rPh>
    <phoneticPr fontId="6"/>
  </si>
  <si>
    <t>第1クール</t>
  </si>
  <si>
    <t>堆肥</t>
  </si>
  <si>
    <t>第2クール</t>
  </si>
  <si>
    <t>第3クール</t>
  </si>
  <si>
    <t>固化灰</t>
    <phoneticPr fontId="6"/>
  </si>
  <si>
    <t>スラグ</t>
    <phoneticPr fontId="6"/>
  </si>
  <si>
    <t>蔵王町</t>
    <rPh sb="0" eb="2">
      <t>ザオウ</t>
    </rPh>
    <phoneticPr fontId="6"/>
  </si>
  <si>
    <t>第4クール</t>
  </si>
  <si>
    <t>第5クール</t>
  </si>
  <si>
    <t>第6クール</t>
  </si>
  <si>
    <t>未実施か？</t>
    <rPh sb="0" eb="3">
      <t>ミジッシ</t>
    </rPh>
    <phoneticPr fontId="6"/>
  </si>
  <si>
    <t>自家処理量
Y</t>
    <phoneticPr fontId="6"/>
  </si>
  <si>
    <t>集団回収量
E</t>
    <phoneticPr fontId="6"/>
  </si>
  <si>
    <t>直接焼却量
F</t>
    <phoneticPr fontId="6"/>
  </si>
  <si>
    <t>直接最終処分量
G</t>
    <phoneticPr fontId="6"/>
  </si>
  <si>
    <t>中間処理後再生利用量 J</t>
    <phoneticPr fontId="6"/>
  </si>
  <si>
    <t>自家処理量  Y</t>
    <phoneticPr fontId="6"/>
  </si>
  <si>
    <t>集団回収量  E</t>
    <phoneticPr fontId="6"/>
  </si>
  <si>
    <t>直接焼却量 F</t>
    <phoneticPr fontId="6"/>
  </si>
  <si>
    <t>直接最終処分量 G</t>
    <phoneticPr fontId="6"/>
  </si>
  <si>
    <t>中間処理後再生利用量 J</t>
    <phoneticPr fontId="6"/>
  </si>
  <si>
    <t>04206</t>
  </si>
  <si>
    <t>04208</t>
  </si>
  <si>
    <t>04301</t>
  </si>
  <si>
    <t>蔵王町</t>
  </si>
  <si>
    <t>04302</t>
  </si>
  <si>
    <t>七ヶ宿町</t>
  </si>
  <si>
    <t>04321</t>
  </si>
  <si>
    <t>大河原町</t>
  </si>
  <si>
    <t>04322</t>
  </si>
  <si>
    <t>村田町</t>
  </si>
  <si>
    <t>04323</t>
  </si>
  <si>
    <t>柴田町</t>
  </si>
  <si>
    <t>04324</t>
  </si>
  <si>
    <t>04341</t>
  </si>
  <si>
    <t>丸森町</t>
  </si>
  <si>
    <t>平成29年度</t>
    <rPh sb="0" eb="2">
      <t>ヘイセイ</t>
    </rPh>
    <rPh sb="4" eb="6">
      <t>ネンド</t>
    </rPh>
    <phoneticPr fontId="9"/>
  </si>
  <si>
    <t>仙南地域広域行政事務組合　仙南クリーンセンター</t>
    <phoneticPr fontId="44"/>
  </si>
  <si>
    <t>https://www.sennan-clean.com/</t>
    <phoneticPr fontId="3"/>
  </si>
  <si>
    <t>仙南クリーセンター</t>
    <rPh sb="0" eb="2">
      <t>センナン</t>
    </rPh>
    <phoneticPr fontId="3"/>
  </si>
  <si>
    <t>搬入量計</t>
    <rPh sb="0" eb="2">
      <t>ハンニュウ</t>
    </rPh>
    <rPh sb="2" eb="3">
      <t>リョウ</t>
    </rPh>
    <rPh sb="3" eb="4">
      <t>ケイ</t>
    </rPh>
    <phoneticPr fontId="6"/>
  </si>
  <si>
    <t>濃度平均</t>
    <rPh sb="0" eb="2">
      <t>ノウド</t>
    </rPh>
    <rPh sb="2" eb="4">
      <t>ヘイキン</t>
    </rPh>
    <phoneticPr fontId="6"/>
  </si>
  <si>
    <t>集積量(Bq)</t>
    <rPh sb="0" eb="2">
      <t>シュウセキ</t>
    </rPh>
    <rPh sb="2" eb="3">
      <t>リョウ</t>
    </rPh>
    <phoneticPr fontId="6"/>
  </si>
  <si>
    <t>各クール集積量計(kBq)</t>
    <rPh sb="0" eb="1">
      <t>カク</t>
    </rPh>
    <rPh sb="4" eb="6">
      <t>シュウセキ</t>
    </rPh>
    <rPh sb="6" eb="7">
      <t>リョウ</t>
    </rPh>
    <rPh sb="7" eb="8">
      <t>ケイ</t>
    </rPh>
    <phoneticPr fontId="6"/>
  </si>
  <si>
    <t>濃度(Bq/kg)</t>
    <phoneticPr fontId="6"/>
  </si>
  <si>
    <t>固化灰(Bq/kg)</t>
    <phoneticPr fontId="6"/>
  </si>
  <si>
    <t>スラグ(Bq/kg)</t>
    <phoneticPr fontId="6"/>
  </si>
  <si>
    <t>搬入量(kg)</t>
    <phoneticPr fontId="6"/>
  </si>
  <si>
    <t>年月</t>
    <rPh sb="0" eb="2">
      <t>ネンゲツ</t>
    </rPh>
    <phoneticPr fontId="6"/>
  </si>
  <si>
    <t>月別の焼却量推定</t>
    <rPh sb="0" eb="2">
      <t>ツキベツ</t>
    </rPh>
    <rPh sb="3" eb="5">
      <t>ショウキャク</t>
    </rPh>
    <rPh sb="5" eb="6">
      <t>リョウ</t>
    </rPh>
    <rPh sb="6" eb="8">
      <t>スイテイ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</si>
</sst>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_ "/>
    <numFmt numFmtId="177" formatCode="0.0_ "/>
    <numFmt numFmtId="178" formatCode="[$-411]ge\.m"/>
    <numFmt numFmtId="179" formatCode="0.000"/>
    <numFmt numFmtId="180" formatCode="0.0"/>
    <numFmt numFmtId="181" formatCode="0.E+00"/>
    <numFmt numFmtId="182" formatCode="[$-411]ge"/>
  </numFmts>
  <fonts count="47" x14ac:knownFonts="1">
    <font>
      <sz val="11"/>
      <name val="ＭＳ Ｐゴシック"/>
      <family val="3"/>
      <charset val="128"/>
    </font>
    <font>
      <sz val="9"/>
      <color theme="1"/>
      <name val="Meiryo UI"/>
      <family val="2"/>
      <charset val="128"/>
    </font>
    <font>
      <sz val="9"/>
      <color theme="1"/>
      <name val="Meiryo UI"/>
      <family val="2"/>
      <charset val="128"/>
    </font>
    <font>
      <sz val="10"/>
      <color indexed="40"/>
      <name val="ＭＳ ゴシック"/>
      <family val="3"/>
      <charset val="128"/>
    </font>
    <font>
      <sz val="9"/>
      <name val="Meiryo UI"/>
      <family val="3"/>
      <charset val="128"/>
    </font>
    <font>
      <sz val="9"/>
      <color indexed="40"/>
      <name val="Meiryo UI"/>
      <family val="3"/>
      <charset val="128"/>
    </font>
    <font>
      <sz val="6"/>
      <name val="ＭＳ Ｐゴシック"/>
      <family val="3"/>
      <charset val="128"/>
    </font>
    <font>
      <sz val="8"/>
      <color indexed="40"/>
      <name val="Meiryo UI"/>
      <family val="3"/>
      <charset val="128"/>
    </font>
    <font>
      <sz val="8"/>
      <name val="Meiryo UI"/>
      <family val="3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  <font>
      <sz val="7"/>
      <name val="Meiryo UI"/>
      <family val="3"/>
      <charset val="128"/>
    </font>
    <font>
      <sz val="9"/>
      <color theme="1"/>
      <name val="Meiryo UI"/>
      <family val="3"/>
      <charset val="128"/>
    </font>
    <font>
      <sz val="6"/>
      <name val="Meiryo UI"/>
      <family val="2"/>
      <charset val="128"/>
    </font>
    <font>
      <sz val="8"/>
      <color theme="1"/>
      <name val="Meiryo UI"/>
      <family val="3"/>
      <charset val="128"/>
    </font>
    <font>
      <sz val="9"/>
      <color rgb="FF333333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7.5"/>
      <name val="Meiryo UI"/>
      <family val="3"/>
      <charset val="128"/>
    </font>
    <font>
      <u/>
      <sz val="9"/>
      <color theme="10"/>
      <name val="Meiryo UI"/>
      <family val="2"/>
      <charset val="128"/>
    </font>
    <font>
      <sz val="7"/>
      <name val="ＭＳ Ｐゴシック"/>
      <family val="3"/>
      <charset val="128"/>
    </font>
    <font>
      <sz val="6"/>
      <name val="Meiryo UI"/>
      <family val="3"/>
      <charset val="128"/>
    </font>
    <font>
      <sz val="8.5"/>
      <color theme="1"/>
      <name val="Meiryo UI"/>
      <family val="3"/>
      <charset val="128"/>
    </font>
    <font>
      <sz val="6.5"/>
      <color theme="1"/>
      <name val="Meiryo UI"/>
      <family val="3"/>
      <charset val="128"/>
    </font>
    <font>
      <sz val="10"/>
      <name val="Meiryo UI"/>
      <family val="3"/>
      <charset val="128"/>
    </font>
    <font>
      <sz val="6.5"/>
      <name val="Meiryo UI"/>
      <family val="3"/>
      <charset val="128"/>
    </font>
    <font>
      <sz val="6.5"/>
      <name val="ＭＳ Ｐゴシック"/>
      <family val="3"/>
      <charset val="128"/>
    </font>
    <font>
      <sz val="14"/>
      <color theme="1"/>
      <name val="Meiryo UI"/>
      <family val="3"/>
      <charset val="128"/>
    </font>
    <font>
      <sz val="7.5"/>
      <color theme="1"/>
      <name val="Meiryo UI"/>
      <family val="3"/>
      <charset val="128"/>
    </font>
    <font>
      <u/>
      <sz val="11"/>
      <color theme="10"/>
      <name val="Meiryo UI"/>
      <family val="2"/>
      <charset val="128"/>
    </font>
    <font>
      <b/>
      <sz val="9"/>
      <color theme="9" tint="-0.249977111117893"/>
      <name val="Meiryo UI"/>
      <family val="3"/>
      <charset val="128"/>
    </font>
    <font>
      <sz val="7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color theme="1"/>
      <name val="Meiryo UI"/>
      <family val="3"/>
      <charset val="128"/>
    </font>
    <font>
      <sz val="9"/>
      <color rgb="FF000000"/>
      <name val="Meiryo UI"/>
      <family val="3"/>
      <charset val="128"/>
    </font>
    <font>
      <sz val="7.5"/>
      <color rgb="FF333333"/>
      <name val="Meiryo UI"/>
      <family val="3"/>
      <charset val="128"/>
    </font>
    <font>
      <sz val="14"/>
      <name val="Meiryo UI"/>
      <family val="3"/>
      <charset val="128"/>
    </font>
    <font>
      <sz val="7.5"/>
      <name val="ＭＳ Ｐゴシック"/>
      <family val="3"/>
      <charset val="128"/>
    </font>
    <font>
      <sz val="12"/>
      <name val="Meiryo UI"/>
      <family val="3"/>
      <charset val="128"/>
    </font>
    <font>
      <sz val="10"/>
      <color indexed="40"/>
      <name val="Meiryo UI"/>
      <family val="3"/>
      <charset val="128"/>
    </font>
    <font>
      <sz val="7.5"/>
      <color indexed="40"/>
      <name val="Meiryo UI"/>
      <family val="3"/>
      <charset val="128"/>
    </font>
    <font>
      <sz val="7"/>
      <color indexed="40"/>
      <name val="Meiryo UI"/>
      <family val="3"/>
      <charset val="128"/>
    </font>
    <font>
      <sz val="6"/>
      <color indexed="40"/>
      <name val="Meiryo UI"/>
      <family val="3"/>
      <charset val="128"/>
    </font>
    <font>
      <sz val="6.5"/>
      <color indexed="40"/>
      <name val="Meiryo UI"/>
      <family val="3"/>
      <charset val="128"/>
    </font>
    <font>
      <sz val="9"/>
      <color indexed="40"/>
      <name val="ＭＳ ゴシック"/>
      <family val="3"/>
      <charset val="128"/>
    </font>
    <font>
      <u/>
      <sz val="11"/>
      <color theme="10"/>
      <name val="Meiryo UI"/>
      <family val="3"/>
      <charset val="128"/>
    </font>
    <font>
      <sz val="10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6337778862885"/>
        <bgColor indexed="64"/>
      </patternFill>
    </fill>
  </fills>
  <borders count="9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 style="double">
        <color auto="1"/>
      </right>
      <top/>
      <bottom/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 diagonalDown="1"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 style="hair">
        <color indexed="8"/>
      </diagonal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Down="1">
      <left style="hair">
        <color indexed="8"/>
      </left>
      <right style="hair">
        <color indexed="8"/>
      </right>
      <top style="hair">
        <color indexed="8"/>
      </top>
      <bottom/>
      <diagonal style="hair">
        <color indexed="8"/>
      </diagonal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 diagonalDown="1">
      <left style="hair">
        <color indexed="8"/>
      </left>
      <right style="hair">
        <color indexed="8"/>
      </right>
      <top/>
      <bottom/>
      <diagonal style="hair">
        <color indexed="8"/>
      </diagonal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 diagonalDown="1">
      <left style="hair">
        <color indexed="8"/>
      </left>
      <right style="hair">
        <color indexed="8"/>
      </right>
      <top/>
      <bottom style="hair">
        <color indexed="8"/>
      </bottom>
      <diagonal style="hair">
        <color indexed="8"/>
      </diagonal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/>
      <top style="thin">
        <color indexed="9"/>
      </top>
      <bottom style="hair">
        <color indexed="8"/>
      </bottom>
      <diagonal/>
    </border>
    <border>
      <left/>
      <right style="thin">
        <color indexed="8"/>
      </right>
      <top style="thin">
        <color indexed="9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 diagonalDown="1">
      <left/>
      <right style="hair">
        <color indexed="8"/>
      </right>
      <top style="hair">
        <color indexed="8"/>
      </top>
      <bottom style="hair">
        <color indexed="8"/>
      </bottom>
      <diagonal style="hair">
        <color indexed="8"/>
      </diagonal>
    </border>
    <border diagonalDown="1"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 style="hair">
        <color indexed="8"/>
      </diagonal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64"/>
      </right>
      <top style="hair">
        <color indexed="8"/>
      </top>
      <bottom/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9"/>
      </top>
      <bottom style="thin">
        <color indexed="8"/>
      </bottom>
      <diagonal/>
    </border>
    <border>
      <left/>
      <right/>
      <top style="thin">
        <color indexed="9"/>
      </top>
      <bottom style="thin">
        <color indexed="8"/>
      </bottom>
      <diagonal/>
    </border>
    <border>
      <left/>
      <right style="thin">
        <color indexed="8"/>
      </right>
      <top style="thin">
        <color indexed="9"/>
      </top>
      <bottom style="thin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"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688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5" fillId="0" borderId="1" xfId="0" applyNumberFormat="1" applyFont="1" applyFill="1" applyBorder="1" applyAlignment="1">
      <alignment vertical="center"/>
    </xf>
    <xf numFmtId="0" fontId="5" fillId="0" borderId="2" xfId="0" applyNumberFormat="1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2" fontId="4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vertical="center"/>
    </xf>
    <xf numFmtId="2" fontId="4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0" fontId="4" fillId="0" borderId="1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57" fontId="4" fillId="0" borderId="0" xfId="0" applyNumberFormat="1" applyFont="1" applyFill="1" applyBorder="1" applyAlignment="1">
      <alignment vertical="center" shrinkToFit="1"/>
    </xf>
    <xf numFmtId="177" fontId="4" fillId="0" borderId="0" xfId="0" applyNumberFormat="1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57" fontId="4" fillId="5" borderId="11" xfId="0" applyNumberFormat="1" applyFont="1" applyFill="1" applyBorder="1" applyAlignment="1">
      <alignment vertical="center" shrinkToFit="1"/>
    </xf>
    <xf numFmtId="0" fontId="7" fillId="0" borderId="11" xfId="0" applyNumberFormat="1" applyFont="1" applyFill="1" applyBorder="1" applyAlignment="1">
      <alignment vertical="center"/>
    </xf>
    <xf numFmtId="57" fontId="4" fillId="5" borderId="12" xfId="0" applyNumberFormat="1" applyFont="1" applyFill="1" applyBorder="1" applyAlignment="1">
      <alignment horizontal="left" vertical="center" indent="1"/>
    </xf>
    <xf numFmtId="0" fontId="4" fillId="5" borderId="13" xfId="0" applyFont="1" applyFill="1" applyBorder="1" applyAlignment="1">
      <alignment horizontal="left" vertical="center" indent="1"/>
    </xf>
    <xf numFmtId="0" fontId="4" fillId="5" borderId="14" xfId="0" applyFont="1" applyFill="1" applyBorder="1" applyAlignment="1">
      <alignment horizontal="left" vertical="center" indent="1"/>
    </xf>
    <xf numFmtId="57" fontId="8" fillId="5" borderId="11" xfId="0" applyNumberFormat="1" applyFont="1" applyFill="1" applyBorder="1" applyAlignment="1">
      <alignment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0" fontId="4" fillId="0" borderId="11" xfId="0" applyFont="1" applyBorder="1" applyAlignment="1">
      <alignment vertical="center" shrinkToFit="1"/>
    </xf>
    <xf numFmtId="0" fontId="12" fillId="0" borderId="11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1" fontId="5" fillId="0" borderId="11" xfId="0" applyNumberFormat="1" applyFont="1" applyFill="1" applyBorder="1" applyAlignment="1">
      <alignment vertical="center" shrinkToFit="1"/>
    </xf>
    <xf numFmtId="1" fontId="4" fillId="0" borderId="11" xfId="0" applyNumberFormat="1" applyFont="1" applyFill="1" applyBorder="1" applyAlignment="1">
      <alignment vertical="center" shrinkToFit="1"/>
    </xf>
    <xf numFmtId="0" fontId="15" fillId="0" borderId="12" xfId="0" applyFont="1" applyFill="1" applyBorder="1" applyAlignment="1">
      <alignment vertical="center"/>
    </xf>
    <xf numFmtId="0" fontId="12" fillId="0" borderId="17" xfId="0" applyFont="1" applyFill="1" applyBorder="1" applyAlignment="1">
      <alignment vertical="center"/>
    </xf>
    <xf numFmtId="178" fontId="4" fillId="0" borderId="11" xfId="0" applyNumberFormat="1" applyFont="1" applyFill="1" applyBorder="1" applyAlignment="1">
      <alignment vertical="center" shrinkToFit="1"/>
    </xf>
    <xf numFmtId="176" fontId="4" fillId="0" borderId="18" xfId="0" applyNumberFormat="1" applyFont="1" applyFill="1" applyBorder="1" applyAlignment="1">
      <alignment vertical="center"/>
    </xf>
    <xf numFmtId="0" fontId="4" fillId="0" borderId="11" xfId="0" applyFont="1" applyFill="1" applyBorder="1" applyAlignment="1">
      <alignment vertical="center" shrinkToFit="1"/>
    </xf>
    <xf numFmtId="1" fontId="12" fillId="0" borderId="11" xfId="0" applyNumberFormat="1" applyFont="1" applyFill="1" applyBorder="1" applyAlignment="1">
      <alignment vertical="center" shrinkToFit="1"/>
    </xf>
    <xf numFmtId="57" fontId="15" fillId="0" borderId="0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1" fontId="12" fillId="2" borderId="11" xfId="0" applyNumberFormat="1" applyFont="1" applyFill="1" applyBorder="1" applyAlignment="1">
      <alignment vertical="center" shrinkToFit="1"/>
    </xf>
    <xf numFmtId="179" fontId="12" fillId="2" borderId="11" xfId="0" applyNumberFormat="1" applyFont="1" applyFill="1" applyBorder="1" applyAlignment="1">
      <alignment vertical="center" shrinkToFit="1"/>
    </xf>
    <xf numFmtId="0" fontId="12" fillId="0" borderId="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vertical="center"/>
    </xf>
    <xf numFmtId="176" fontId="4" fillId="0" borderId="11" xfId="0" applyNumberFormat="1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vertical="center"/>
    </xf>
    <xf numFmtId="179" fontId="12" fillId="2" borderId="19" xfId="0" applyNumberFormat="1" applyFont="1" applyFill="1" applyBorder="1" applyAlignment="1">
      <alignment vertical="center" shrinkToFit="1"/>
    </xf>
    <xf numFmtId="0" fontId="4" fillId="0" borderId="19" xfId="0" applyFont="1" applyFill="1" applyBorder="1" applyAlignment="1">
      <alignment vertical="center"/>
    </xf>
    <xf numFmtId="1" fontId="4" fillId="2" borderId="11" xfId="0" applyNumberFormat="1" applyFont="1" applyFill="1" applyBorder="1" applyAlignment="1">
      <alignment vertical="center" shrinkToFit="1"/>
    </xf>
    <xf numFmtId="0" fontId="17" fillId="0" borderId="0" xfId="0" applyFont="1">
      <alignment vertical="center"/>
    </xf>
    <xf numFmtId="0" fontId="14" fillId="0" borderId="0" xfId="0" applyFont="1" applyBorder="1" applyAlignment="1">
      <alignment horizontal="left" vertical="center" indent="1"/>
    </xf>
    <xf numFmtId="0" fontId="4" fillId="0" borderId="12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180" fontId="12" fillId="2" borderId="11" xfId="0" applyNumberFormat="1" applyFont="1" applyFill="1" applyBorder="1" applyAlignment="1">
      <alignment horizontal="center" shrinkToFit="1"/>
    </xf>
    <xf numFmtId="0" fontId="14" fillId="0" borderId="0" xfId="0" applyFont="1" applyBorder="1" applyAlignment="1"/>
    <xf numFmtId="178" fontId="4" fillId="5" borderId="11" xfId="0" applyNumberFormat="1" applyFont="1" applyFill="1" applyBorder="1" applyAlignment="1">
      <alignment vertical="center" shrinkToFit="1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/>
    <xf numFmtId="179" fontId="12" fillId="0" borderId="0" xfId="0" applyNumberFormat="1" applyFont="1" applyBorder="1" applyAlignment="1">
      <alignment vertical="center" shrinkToFit="1"/>
    </xf>
    <xf numFmtId="2" fontId="12" fillId="0" borderId="0" xfId="0" applyNumberFormat="1" applyFont="1" applyBorder="1" applyAlignment="1">
      <alignment vertical="center" shrinkToFit="1"/>
    </xf>
    <xf numFmtId="179" fontId="12" fillId="6" borderId="14" xfId="0" applyNumberFormat="1" applyFont="1" applyFill="1" applyBorder="1" applyAlignment="1">
      <alignment vertical="center" shrinkToFit="1"/>
    </xf>
    <xf numFmtId="179" fontId="12" fillId="6" borderId="11" xfId="0" applyNumberFormat="1" applyFont="1" applyFill="1" applyBorder="1" applyAlignment="1">
      <alignment vertical="center" shrinkToFit="1"/>
    </xf>
    <xf numFmtId="181" fontId="12" fillId="2" borderId="14" xfId="0" applyNumberFormat="1" applyFont="1" applyFill="1" applyBorder="1" applyAlignment="1">
      <alignment horizontal="center" vertical="center" shrinkToFit="1"/>
    </xf>
    <xf numFmtId="0" fontId="0" fillId="2" borderId="17" xfId="0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57" fontId="22" fillId="0" borderId="0" xfId="0" applyNumberFormat="1" applyFont="1" applyBorder="1" applyAlignment="1">
      <alignment horizontal="left" vertical="center" indent="1"/>
    </xf>
    <xf numFmtId="0" fontId="22" fillId="0" borderId="0" xfId="0" applyFont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14" fillId="0" borderId="0" xfId="0" applyFont="1" applyBorder="1" applyAlignment="1">
      <alignment horizontal="center" vertical="top"/>
    </xf>
    <xf numFmtId="1" fontId="12" fillId="6" borderId="11" xfId="0" applyNumberFormat="1" applyFont="1" applyFill="1" applyBorder="1" applyAlignment="1">
      <alignment vertical="center" shrinkToFit="1"/>
    </xf>
    <xf numFmtId="0" fontId="4" fillId="0" borderId="14" xfId="0" applyFont="1" applyFill="1" applyBorder="1" applyAlignment="1">
      <alignment vertical="center"/>
    </xf>
    <xf numFmtId="0" fontId="6" fillId="2" borderId="22" xfId="0" applyFont="1" applyFill="1" applyBorder="1" applyAlignment="1">
      <alignment horizontal="center" vertical="center" wrapText="1"/>
    </xf>
    <xf numFmtId="1" fontId="4" fillId="2" borderId="23" xfId="0" applyNumberFormat="1" applyFont="1" applyFill="1" applyBorder="1" applyAlignment="1">
      <alignment vertical="center" shrinkToFit="1"/>
    </xf>
    <xf numFmtId="0" fontId="4" fillId="0" borderId="24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indent="1"/>
    </xf>
    <xf numFmtId="0" fontId="8" fillId="0" borderId="0" xfId="0" applyFont="1" applyAlignment="1">
      <alignment vertical="center"/>
    </xf>
    <xf numFmtId="179" fontId="12" fillId="0" borderId="11" xfId="0" applyNumberFormat="1" applyFont="1" applyFill="1" applyBorder="1" applyAlignment="1">
      <alignment vertical="center" shrinkToFit="1"/>
    </xf>
    <xf numFmtId="0" fontId="11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5" fillId="0" borderId="18" xfId="0" applyNumberFormat="1" applyFont="1" applyFill="1" applyBorder="1" applyAlignment="1">
      <alignment vertical="center"/>
    </xf>
    <xf numFmtId="0" fontId="5" fillId="0" borderId="31" xfId="0" applyNumberFormat="1" applyFont="1" applyFill="1" applyBorder="1" applyAlignment="1">
      <alignment vertical="center"/>
    </xf>
    <xf numFmtId="0" fontId="5" fillId="0" borderId="30" xfId="0" applyNumberFormat="1" applyFont="1" applyFill="1" applyBorder="1" applyAlignment="1">
      <alignment vertical="center"/>
    </xf>
    <xf numFmtId="1" fontId="4" fillId="3" borderId="11" xfId="0" applyNumberFormat="1" applyFont="1" applyFill="1" applyBorder="1" applyAlignment="1">
      <alignment vertical="center" shrinkToFit="1"/>
    </xf>
    <xf numFmtId="1" fontId="4" fillId="7" borderId="11" xfId="0" applyNumberFormat="1" applyFont="1" applyFill="1" applyBorder="1" applyAlignment="1">
      <alignment vertical="center" shrinkToFit="1"/>
    </xf>
    <xf numFmtId="0" fontId="12" fillId="0" borderId="0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28" fillId="0" borderId="0" xfId="0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horizontal="center" vertical="top" wrapText="1"/>
    </xf>
    <xf numFmtId="0" fontId="18" fillId="0" borderId="0" xfId="0" applyFont="1" applyFill="1" applyAlignment="1">
      <alignment horizontal="center" vertical="top" wrapText="1"/>
    </xf>
    <xf numFmtId="0" fontId="19" fillId="0" borderId="0" xfId="1" applyFill="1" applyBorder="1" applyAlignment="1">
      <alignment vertical="center"/>
    </xf>
    <xf numFmtId="0" fontId="8" fillId="0" borderId="11" xfId="0" applyNumberFormat="1" applyFont="1" applyFill="1" applyBorder="1" applyAlignment="1">
      <alignment vertical="center"/>
    </xf>
    <xf numFmtId="0" fontId="8" fillId="0" borderId="0" xfId="0" applyFont="1" applyAlignment="1"/>
    <xf numFmtId="57" fontId="4" fillId="0" borderId="11" xfId="0" applyNumberFormat="1" applyFont="1" applyBorder="1" applyAlignment="1">
      <alignment vertical="center" shrinkToFit="1"/>
    </xf>
    <xf numFmtId="2" fontId="4" fillId="0" borderId="11" xfId="0" applyNumberFormat="1" applyFont="1" applyFill="1" applyBorder="1" applyAlignment="1">
      <alignment vertical="center" shrinkToFit="1"/>
    </xf>
    <xf numFmtId="2" fontId="4" fillId="2" borderId="11" xfId="0" applyNumberFormat="1" applyFont="1" applyFill="1" applyBorder="1" applyAlignment="1">
      <alignment vertical="center" shrinkToFit="1"/>
    </xf>
    <xf numFmtId="180" fontId="5" fillId="2" borderId="11" xfId="0" applyNumberFormat="1" applyFont="1" applyFill="1" applyBorder="1" applyAlignment="1">
      <alignment vertical="center" shrinkToFit="1"/>
    </xf>
    <xf numFmtId="57" fontId="4" fillId="0" borderId="14" xfId="0" applyNumberFormat="1" applyFont="1" applyFill="1" applyBorder="1" applyAlignment="1">
      <alignment vertical="center" shrinkToFit="1"/>
    </xf>
    <xf numFmtId="0" fontId="4" fillId="2" borderId="14" xfId="0" applyFont="1" applyFill="1" applyBorder="1" applyAlignment="1">
      <alignment vertical="center"/>
    </xf>
    <xf numFmtId="57" fontId="4" fillId="0" borderId="0" xfId="0" applyNumberFormat="1" applyFont="1" applyFill="1" applyBorder="1" applyAlignment="1">
      <alignment vertical="center"/>
    </xf>
    <xf numFmtId="0" fontId="18" fillId="0" borderId="0" xfId="0" applyFont="1" applyFill="1" applyBorder="1" applyAlignment="1">
      <alignment horizontal="left" vertical="center"/>
    </xf>
    <xf numFmtId="176" fontId="24" fillId="0" borderId="0" xfId="0" applyNumberFormat="1" applyFont="1" applyFill="1" applyBorder="1" applyAlignment="1">
      <alignment vertical="center"/>
    </xf>
    <xf numFmtId="0" fontId="12" fillId="0" borderId="0" xfId="0" quotePrefix="1" applyFont="1" applyFill="1" applyBorder="1" applyAlignment="1">
      <alignment vertical="center"/>
    </xf>
    <xf numFmtId="2" fontId="12" fillId="3" borderId="11" xfId="0" applyNumberFormat="1" applyFont="1" applyFill="1" applyBorder="1" applyAlignment="1">
      <alignment vertical="center" shrinkToFit="1"/>
    </xf>
    <xf numFmtId="2" fontId="12" fillId="2" borderId="11" xfId="0" quotePrefix="1" applyNumberFormat="1" applyFont="1" applyFill="1" applyBorder="1" applyAlignment="1">
      <alignment vertical="center"/>
    </xf>
    <xf numFmtId="2" fontId="12" fillId="8" borderId="11" xfId="0" applyNumberFormat="1" applyFont="1" applyFill="1" applyBorder="1" applyAlignment="1">
      <alignment vertical="center" shrinkToFit="1"/>
    </xf>
    <xf numFmtId="0" fontId="4" fillId="3" borderId="11" xfId="0" applyFont="1" applyFill="1" applyBorder="1" applyAlignment="1">
      <alignment vertical="center"/>
    </xf>
    <xf numFmtId="2" fontId="12" fillId="2" borderId="17" xfId="0" quotePrefix="1" applyNumberFormat="1" applyFont="1" applyFill="1" applyBorder="1" applyAlignment="1">
      <alignment vertical="center"/>
    </xf>
    <xf numFmtId="0" fontId="12" fillId="0" borderId="0" xfId="2" applyFont="1" applyBorder="1" applyAlignment="1">
      <alignment vertical="center"/>
    </xf>
    <xf numFmtId="0" fontId="2" fillId="0" borderId="0" xfId="2">
      <alignment vertical="center"/>
    </xf>
    <xf numFmtId="0" fontId="14" fillId="0" borderId="0" xfId="2" applyFont="1" applyBorder="1" applyAlignment="1">
      <alignment vertical="center"/>
    </xf>
    <xf numFmtId="0" fontId="14" fillId="0" borderId="0" xfId="2" applyFont="1" applyFill="1" applyBorder="1" applyAlignment="1">
      <alignment vertical="center"/>
    </xf>
    <xf numFmtId="0" fontId="2" fillId="0" borderId="0" xfId="2" applyBorder="1">
      <alignment vertical="center"/>
    </xf>
    <xf numFmtId="0" fontId="12" fillId="0" borderId="0" xfId="2" quotePrefix="1" applyFont="1" applyFill="1" applyBorder="1" applyAlignment="1">
      <alignment vertical="center"/>
    </xf>
    <xf numFmtId="0" fontId="12" fillId="0" borderId="0" xfId="2" applyFont="1" applyBorder="1">
      <alignment vertical="center"/>
    </xf>
    <xf numFmtId="0" fontId="30" fillId="0" borderId="0" xfId="2" applyFont="1" applyFill="1" applyBorder="1" applyAlignment="1">
      <alignment vertical="center"/>
    </xf>
    <xf numFmtId="0" fontId="2" fillId="0" borderId="0" xfId="2" applyFill="1" applyBorder="1" applyAlignment="1">
      <alignment horizontal="distributed" vertical="center"/>
    </xf>
    <xf numFmtId="0" fontId="12" fillId="0" borderId="0" xfId="2" applyFont="1" applyFill="1" applyBorder="1" applyAlignment="1">
      <alignment horizontal="right" vertical="center"/>
    </xf>
    <xf numFmtId="0" fontId="12" fillId="0" borderId="0" xfId="2" applyFont="1" applyFill="1" applyBorder="1" applyAlignment="1">
      <alignment vertical="center"/>
    </xf>
    <xf numFmtId="0" fontId="12" fillId="0" borderId="0" xfId="2" applyFont="1" applyBorder="1" applyAlignment="1">
      <alignment horizontal="center" vertical="center"/>
    </xf>
    <xf numFmtId="0" fontId="2" fillId="0" borderId="0" xfId="2" applyBorder="1" applyAlignment="1">
      <alignment horizontal="distributed" vertical="center"/>
    </xf>
    <xf numFmtId="57" fontId="22" fillId="0" borderId="0" xfId="2" applyNumberFormat="1" applyFont="1" applyBorder="1" applyAlignment="1">
      <alignment horizontal="left" vertical="center" indent="1"/>
    </xf>
    <xf numFmtId="0" fontId="22" fillId="0" borderId="0" xfId="2" applyFont="1" applyFill="1" applyBorder="1" applyAlignment="1">
      <alignment vertical="center"/>
    </xf>
    <xf numFmtId="0" fontId="2" fillId="0" borderId="0" xfId="2" applyBorder="1" applyAlignment="1">
      <alignment horizontal="center" vertical="center"/>
    </xf>
    <xf numFmtId="0" fontId="22" fillId="0" borderId="0" xfId="2" applyFont="1" applyBorder="1" applyAlignment="1">
      <alignment vertical="center"/>
    </xf>
    <xf numFmtId="0" fontId="2" fillId="0" borderId="0" xfId="2" applyFont="1" applyBorder="1" applyAlignment="1">
      <alignment vertical="center"/>
    </xf>
    <xf numFmtId="179" fontId="12" fillId="0" borderId="0" xfId="2" applyNumberFormat="1" applyFont="1" applyBorder="1" applyAlignment="1">
      <alignment vertical="center" shrinkToFit="1"/>
    </xf>
    <xf numFmtId="2" fontId="12" fillId="0" borderId="0" xfId="2" applyNumberFormat="1" applyFont="1" applyBorder="1" applyAlignment="1">
      <alignment vertical="center" shrinkToFit="1"/>
    </xf>
    <xf numFmtId="180" fontId="12" fillId="2" borderId="11" xfId="2" applyNumberFormat="1" applyFont="1" applyFill="1" applyBorder="1" applyAlignment="1">
      <alignment horizontal="center" shrinkToFit="1"/>
    </xf>
    <xf numFmtId="0" fontId="14" fillId="0" borderId="36" xfId="2" applyFont="1" applyBorder="1" applyAlignment="1">
      <alignment horizontal="right" vertical="center"/>
    </xf>
    <xf numFmtId="0" fontId="14" fillId="0" borderId="0" xfId="2" applyFont="1" applyBorder="1" applyAlignment="1">
      <alignment horizontal="right" vertical="center"/>
    </xf>
    <xf numFmtId="179" fontId="2" fillId="0" borderId="29" xfId="2" applyNumberFormat="1" applyBorder="1" applyAlignment="1">
      <alignment vertical="center" shrinkToFit="1"/>
    </xf>
    <xf numFmtId="179" fontId="12" fillId="0" borderId="29" xfId="2" applyNumberFormat="1" applyFont="1" applyBorder="1" applyAlignment="1">
      <alignment vertical="center" shrinkToFit="1"/>
    </xf>
    <xf numFmtId="2" fontId="12" fillId="0" borderId="29" xfId="2" applyNumberFormat="1" applyFont="1" applyBorder="1" applyAlignment="1">
      <alignment vertical="center" shrinkToFit="1"/>
    </xf>
    <xf numFmtId="0" fontId="31" fillId="0" borderId="29" xfId="2" applyFont="1" applyBorder="1" applyAlignment="1">
      <alignment vertical="center"/>
    </xf>
    <xf numFmtId="0" fontId="22" fillId="0" borderId="38" xfId="2" applyFont="1" applyFill="1" applyBorder="1" applyAlignment="1">
      <alignment horizontal="center" vertical="center" wrapText="1"/>
    </xf>
    <xf numFmtId="0" fontId="22" fillId="0" borderId="42" xfId="2" applyFont="1" applyFill="1" applyBorder="1" applyAlignment="1">
      <alignment horizontal="center" vertical="center" wrapText="1"/>
    </xf>
    <xf numFmtId="0" fontId="22" fillId="0" borderId="44" xfId="2" applyFont="1" applyFill="1" applyBorder="1" applyAlignment="1">
      <alignment horizontal="center" vertical="center" wrapText="1"/>
    </xf>
    <xf numFmtId="0" fontId="2" fillId="0" borderId="16" xfId="2" applyBorder="1" applyAlignment="1">
      <alignment horizontal="center" vertical="center"/>
    </xf>
    <xf numFmtId="1" fontId="2" fillId="0" borderId="16" xfId="2" applyNumberFormat="1" applyBorder="1" applyAlignment="1">
      <alignment horizontal="center" vertical="center"/>
    </xf>
    <xf numFmtId="0" fontId="2" fillId="0" borderId="11" xfId="2" applyBorder="1">
      <alignment vertical="center"/>
    </xf>
    <xf numFmtId="0" fontId="2" fillId="0" borderId="46" xfId="2" applyBorder="1">
      <alignment vertical="center"/>
    </xf>
    <xf numFmtId="0" fontId="2" fillId="0" borderId="42" xfId="2" applyBorder="1" applyAlignment="1">
      <alignment horizontal="center" vertical="center"/>
    </xf>
    <xf numFmtId="0" fontId="14" fillId="0" borderId="16" xfId="2" applyFont="1" applyFill="1" applyBorder="1" applyAlignment="1">
      <alignment horizontal="center" vertical="center" shrinkToFit="1"/>
    </xf>
    <xf numFmtId="0" fontId="14" fillId="0" borderId="41" xfId="2" applyFont="1" applyFill="1" applyBorder="1" applyAlignment="1">
      <alignment horizontal="center" vertical="center" shrinkToFit="1"/>
    </xf>
    <xf numFmtId="0" fontId="14" fillId="0" borderId="42" xfId="2" applyFont="1" applyFill="1" applyBorder="1" applyAlignment="1">
      <alignment horizontal="center" vertical="center" shrinkToFit="1"/>
    </xf>
    <xf numFmtId="0" fontId="12" fillId="0" borderId="16" xfId="2" applyFont="1" applyBorder="1" applyAlignment="1">
      <alignment horizontal="center" vertical="center" shrinkToFit="1"/>
    </xf>
    <xf numFmtId="0" fontId="2" fillId="0" borderId="16" xfId="2" applyBorder="1">
      <alignment vertical="center"/>
    </xf>
    <xf numFmtId="0" fontId="2" fillId="0" borderId="41" xfId="2" applyBorder="1">
      <alignment vertical="center"/>
    </xf>
    <xf numFmtId="0" fontId="12" fillId="0" borderId="42" xfId="2" applyFont="1" applyBorder="1" applyAlignment="1">
      <alignment horizontal="center" vertical="center" shrinkToFit="1"/>
    </xf>
    <xf numFmtId="2" fontId="2" fillId="0" borderId="11" xfId="2" applyNumberFormat="1" applyBorder="1" applyAlignment="1">
      <alignment vertical="center" shrinkToFit="1"/>
    </xf>
    <xf numFmtId="2" fontId="2" fillId="0" borderId="46" xfId="2" applyNumberFormat="1" applyBorder="1" applyAlignment="1">
      <alignment vertical="center" shrinkToFit="1"/>
    </xf>
    <xf numFmtId="0" fontId="2" fillId="0" borderId="14" xfId="2" applyBorder="1">
      <alignment vertical="center"/>
    </xf>
    <xf numFmtId="0" fontId="14" fillId="0" borderId="16" xfId="2" applyFont="1" applyBorder="1" applyAlignment="1">
      <alignment horizontal="center" vertical="center" shrinkToFit="1"/>
    </xf>
    <xf numFmtId="0" fontId="2" fillId="0" borderId="17" xfId="2" applyBorder="1" applyAlignment="1">
      <alignment horizontal="center" vertical="center"/>
    </xf>
    <xf numFmtId="1" fontId="2" fillId="0" borderId="17" xfId="2" applyNumberFormat="1" applyBorder="1" applyAlignment="1">
      <alignment horizontal="center" vertical="center"/>
    </xf>
    <xf numFmtId="0" fontId="2" fillId="0" borderId="44" xfId="2" applyBorder="1" applyAlignment="1">
      <alignment horizontal="center" vertical="center"/>
    </xf>
    <xf numFmtId="0" fontId="14" fillId="0" borderId="17" xfId="2" applyFont="1" applyFill="1" applyBorder="1" applyAlignment="1">
      <alignment horizontal="center" vertical="center" shrinkToFit="1"/>
    </xf>
    <xf numFmtId="0" fontId="14" fillId="0" borderId="45" xfId="2" applyFont="1" applyFill="1" applyBorder="1" applyAlignment="1">
      <alignment horizontal="center" vertical="center" shrinkToFit="1"/>
    </xf>
    <xf numFmtId="0" fontId="14" fillId="0" borderId="44" xfId="2" applyFont="1" applyFill="1" applyBorder="1" applyAlignment="1">
      <alignment horizontal="center" vertical="center" shrinkToFit="1"/>
    </xf>
    <xf numFmtId="0" fontId="14" fillId="0" borderId="17" xfId="2" applyFont="1" applyFill="1" applyBorder="1" applyAlignment="1">
      <alignment vertical="center"/>
    </xf>
    <xf numFmtId="0" fontId="2" fillId="0" borderId="17" xfId="2" applyBorder="1">
      <alignment vertical="center"/>
    </xf>
    <xf numFmtId="0" fontId="14" fillId="0" borderId="45" xfId="2" applyFont="1" applyFill="1" applyBorder="1" applyAlignment="1">
      <alignment vertical="center"/>
    </xf>
    <xf numFmtId="0" fontId="2" fillId="0" borderId="44" xfId="2" applyFill="1" applyBorder="1" applyAlignment="1">
      <alignment horizontal="distributed" vertical="center"/>
    </xf>
    <xf numFmtId="0" fontId="2" fillId="0" borderId="17" xfId="2" applyFill="1" applyBorder="1" applyAlignment="1">
      <alignment horizontal="distributed" vertical="center"/>
    </xf>
    <xf numFmtId="0" fontId="2" fillId="5" borderId="11" xfId="2" applyFill="1" applyBorder="1" applyAlignment="1">
      <alignment vertical="center" shrinkToFit="1"/>
    </xf>
    <xf numFmtId="0" fontId="2" fillId="5" borderId="14" xfId="2" applyFill="1" applyBorder="1" applyAlignment="1">
      <alignment vertical="center" shrinkToFit="1"/>
    </xf>
    <xf numFmtId="0" fontId="12" fillId="0" borderId="17" xfId="2" applyFont="1" applyBorder="1" applyAlignment="1">
      <alignment horizontal="center" vertical="center" shrinkToFit="1"/>
    </xf>
    <xf numFmtId="0" fontId="14" fillId="0" borderId="17" xfId="2" applyFont="1" applyBorder="1" applyAlignment="1">
      <alignment horizontal="center" vertical="center" shrinkToFit="1"/>
    </xf>
    <xf numFmtId="0" fontId="12" fillId="6" borderId="11" xfId="2" applyFont="1" applyFill="1" applyBorder="1" applyAlignment="1">
      <alignment vertical="center" shrinkToFit="1"/>
    </xf>
    <xf numFmtId="57" fontId="12" fillId="6" borderId="11" xfId="2" applyNumberFormat="1" applyFont="1" applyFill="1" applyBorder="1" applyAlignment="1">
      <alignment vertical="center" shrinkToFit="1"/>
    </xf>
    <xf numFmtId="1" fontId="12" fillId="6" borderId="11" xfId="2" applyNumberFormat="1" applyFont="1" applyFill="1" applyBorder="1" applyAlignment="1">
      <alignment vertical="center" shrinkToFit="1"/>
    </xf>
    <xf numFmtId="0" fontId="2" fillId="0" borderId="11" xfId="2" applyBorder="1" applyAlignment="1">
      <alignment vertical="center" shrinkToFit="1"/>
    </xf>
    <xf numFmtId="0" fontId="2" fillId="0" borderId="46" xfId="2" applyBorder="1" applyAlignment="1">
      <alignment vertical="center" shrinkToFit="1"/>
    </xf>
    <xf numFmtId="57" fontId="12" fillId="6" borderId="14" xfId="2" applyNumberFormat="1" applyFont="1" applyFill="1" applyBorder="1" applyAlignment="1">
      <alignment vertical="center" shrinkToFit="1"/>
    </xf>
    <xf numFmtId="0" fontId="12" fillId="6" borderId="46" xfId="2" applyFont="1" applyFill="1" applyBorder="1" applyAlignment="1">
      <alignment vertical="center" shrinkToFit="1"/>
    </xf>
    <xf numFmtId="0" fontId="12" fillId="6" borderId="44" xfId="2" applyFont="1" applyFill="1" applyBorder="1" applyAlignment="1">
      <alignment vertical="center" shrinkToFit="1"/>
    </xf>
    <xf numFmtId="0" fontId="12" fillId="6" borderId="17" xfId="2" applyFont="1" applyFill="1" applyBorder="1" applyAlignment="1">
      <alignment vertical="center" shrinkToFit="1"/>
    </xf>
    <xf numFmtId="0" fontId="2" fillId="0" borderId="0" xfId="2" applyAlignment="1">
      <alignment vertical="center" shrinkToFit="1"/>
    </xf>
    <xf numFmtId="1" fontId="12" fillId="2" borderId="11" xfId="2" applyNumberFormat="1" applyFont="1" applyFill="1" applyBorder="1" applyAlignment="1">
      <alignment vertical="center" shrinkToFit="1"/>
    </xf>
    <xf numFmtId="179" fontId="12" fillId="6" borderId="11" xfId="2" applyNumberFormat="1" applyFont="1" applyFill="1" applyBorder="1" applyAlignment="1">
      <alignment vertical="center" shrinkToFit="1"/>
    </xf>
    <xf numFmtId="2" fontId="12" fillId="6" borderId="46" xfId="2" applyNumberFormat="1" applyFont="1" applyFill="1" applyBorder="1" applyAlignment="1">
      <alignment vertical="center" shrinkToFit="1"/>
    </xf>
    <xf numFmtId="1" fontId="12" fillId="2" borderId="14" xfId="2" applyNumberFormat="1" applyFont="1" applyFill="1" applyBorder="1" applyAlignment="1">
      <alignment vertical="center" shrinkToFit="1"/>
    </xf>
    <xf numFmtId="2" fontId="12" fillId="6" borderId="11" xfId="2" applyNumberFormat="1" applyFont="1" applyFill="1" applyBorder="1" applyAlignment="1">
      <alignment vertical="center" shrinkToFit="1"/>
    </xf>
    <xf numFmtId="1" fontId="12" fillId="6" borderId="17" xfId="2" applyNumberFormat="1" applyFont="1" applyFill="1" applyBorder="1" applyAlignment="1">
      <alignment vertical="center" shrinkToFit="1"/>
    </xf>
    <xf numFmtId="0" fontId="12" fillId="0" borderId="11" xfId="2" applyFont="1" applyBorder="1" applyAlignment="1">
      <alignment vertical="center" shrinkToFit="1"/>
    </xf>
    <xf numFmtId="57" fontId="12" fillId="0" borderId="11" xfId="2" applyNumberFormat="1" applyFont="1" applyBorder="1" applyAlignment="1">
      <alignment vertical="center" shrinkToFit="1"/>
    </xf>
    <xf numFmtId="1" fontId="12" fillId="0" borderId="11" xfId="2" applyNumberFormat="1" applyFont="1" applyBorder="1" applyAlignment="1">
      <alignment vertical="center" shrinkToFit="1"/>
    </xf>
    <xf numFmtId="57" fontId="12" fillId="0" borderId="14" xfId="2" applyNumberFormat="1" applyFont="1" applyBorder="1" applyAlignment="1">
      <alignment vertical="center" shrinkToFit="1"/>
    </xf>
    <xf numFmtId="1" fontId="12" fillId="2" borderId="46" xfId="2" applyNumberFormat="1" applyFont="1" applyFill="1" applyBorder="1" applyAlignment="1">
      <alignment vertical="center" shrinkToFit="1"/>
    </xf>
    <xf numFmtId="0" fontId="12" fillId="0" borderId="44" xfId="2" applyFont="1" applyBorder="1" applyAlignment="1">
      <alignment vertical="center" shrinkToFit="1"/>
    </xf>
    <xf numFmtId="0" fontId="12" fillId="0" borderId="17" xfId="2" applyFont="1" applyBorder="1" applyAlignment="1">
      <alignment vertical="center" shrinkToFit="1"/>
    </xf>
    <xf numFmtId="180" fontId="12" fillId="2" borderId="11" xfId="2" applyNumberFormat="1" applyFont="1" applyFill="1" applyBorder="1" applyAlignment="1">
      <alignment vertical="center" shrinkToFit="1"/>
    </xf>
    <xf numFmtId="0" fontId="2" fillId="3" borderId="11" xfId="2" applyFill="1" applyBorder="1" applyAlignment="1">
      <alignment vertical="center" shrinkToFit="1"/>
    </xf>
    <xf numFmtId="2" fontId="2" fillId="2" borderId="11" xfId="2" applyNumberFormat="1" applyFill="1" applyBorder="1" applyAlignment="1">
      <alignment vertical="center" shrinkToFit="1"/>
    </xf>
    <xf numFmtId="2" fontId="2" fillId="2" borderId="46" xfId="2" applyNumberFormat="1" applyFill="1" applyBorder="1" applyAlignment="1">
      <alignment vertical="center" shrinkToFit="1"/>
    </xf>
    <xf numFmtId="0" fontId="2" fillId="3" borderId="14" xfId="2" applyFill="1" applyBorder="1" applyAlignment="1">
      <alignment vertical="center" shrinkToFit="1"/>
    </xf>
    <xf numFmtId="181" fontId="12" fillId="2" borderId="11" xfId="2" applyNumberFormat="1" applyFont="1" applyFill="1" applyBorder="1" applyAlignment="1">
      <alignment horizontal="center" vertical="center" shrinkToFit="1"/>
    </xf>
    <xf numFmtId="179" fontId="12" fillId="2" borderId="11" xfId="2" applyNumberFormat="1" applyFont="1" applyFill="1" applyBorder="1" applyAlignment="1">
      <alignment vertical="center" shrinkToFit="1"/>
    </xf>
    <xf numFmtId="0" fontId="12" fillId="0" borderId="14" xfId="2" applyFont="1" applyBorder="1" applyAlignment="1">
      <alignment vertical="center" shrinkToFit="1"/>
    </xf>
    <xf numFmtId="0" fontId="12" fillId="2" borderId="14" xfId="2" applyFont="1" applyFill="1" applyBorder="1" applyAlignment="1">
      <alignment vertical="center" shrinkToFit="1"/>
    </xf>
    <xf numFmtId="0" fontId="12" fillId="2" borderId="11" xfId="2" applyFont="1" applyFill="1" applyBorder="1" applyAlignment="1">
      <alignment vertical="center" shrinkToFit="1"/>
    </xf>
    <xf numFmtId="180" fontId="12" fillId="2" borderId="14" xfId="2" applyNumberFormat="1" applyFont="1" applyFill="1" applyBorder="1" applyAlignment="1">
      <alignment vertical="center" shrinkToFit="1"/>
    </xf>
    <xf numFmtId="179" fontId="12" fillId="2" borderId="14" xfId="2" applyNumberFormat="1" applyFont="1" applyFill="1" applyBorder="1" applyAlignment="1">
      <alignment vertical="center" shrinkToFit="1"/>
    </xf>
    <xf numFmtId="57" fontId="15" fillId="0" borderId="11" xfId="2" applyNumberFormat="1" applyFont="1" applyBorder="1" applyAlignment="1">
      <alignment vertical="center" shrinkToFit="1"/>
    </xf>
    <xf numFmtId="1" fontId="15" fillId="0" borderId="11" xfId="2" applyNumberFormat="1" applyFont="1" applyBorder="1" applyAlignment="1">
      <alignment vertical="center" shrinkToFit="1"/>
    </xf>
    <xf numFmtId="0" fontId="15" fillId="0" borderId="11" xfId="2" applyFont="1" applyBorder="1" applyAlignment="1">
      <alignment vertical="center" shrinkToFit="1"/>
    </xf>
    <xf numFmtId="57" fontId="34" fillId="0" borderId="11" xfId="2" applyNumberFormat="1" applyFont="1" applyBorder="1" applyAlignment="1">
      <alignment vertical="center" shrinkToFit="1"/>
    </xf>
    <xf numFmtId="1" fontId="34" fillId="0" borderId="11" xfId="2" applyNumberFormat="1" applyFont="1" applyBorder="1" applyAlignment="1">
      <alignment vertical="center" shrinkToFit="1"/>
    </xf>
    <xf numFmtId="0" fontId="12" fillId="10" borderId="11" xfId="2" applyFont="1" applyFill="1" applyBorder="1" applyAlignment="1">
      <alignment vertical="center" shrinkToFit="1"/>
    </xf>
    <xf numFmtId="57" fontId="34" fillId="10" borderId="11" xfId="2" applyNumberFormat="1" applyFont="1" applyFill="1" applyBorder="1" applyAlignment="1">
      <alignment vertical="center" shrinkToFit="1"/>
    </xf>
    <xf numFmtId="1" fontId="34" fillId="10" borderId="11" xfId="2" applyNumberFormat="1" applyFont="1" applyFill="1" applyBorder="1" applyAlignment="1">
      <alignment vertical="center" shrinkToFit="1"/>
    </xf>
    <xf numFmtId="0" fontId="12" fillId="0" borderId="11" xfId="2" applyFont="1" applyFill="1" applyBorder="1" applyAlignment="1">
      <alignment vertical="center" shrinkToFit="1"/>
    </xf>
    <xf numFmtId="57" fontId="34" fillId="0" borderId="11" xfId="2" applyNumberFormat="1" applyFont="1" applyFill="1" applyBorder="1" applyAlignment="1">
      <alignment vertical="center" shrinkToFit="1"/>
    </xf>
    <xf numFmtId="57" fontId="34" fillId="0" borderId="14" xfId="2" applyNumberFormat="1" applyFont="1" applyFill="1" applyBorder="1" applyAlignment="1">
      <alignment vertical="center" shrinkToFit="1"/>
    </xf>
    <xf numFmtId="0" fontId="12" fillId="0" borderId="46" xfId="2" applyFont="1" applyFill="1" applyBorder="1" applyAlignment="1">
      <alignment vertical="center" shrinkToFit="1"/>
    </xf>
    <xf numFmtId="180" fontId="15" fillId="0" borderId="14" xfId="2" applyNumberFormat="1" applyFont="1" applyFill="1" applyBorder="1" applyAlignment="1">
      <alignment vertical="center" shrinkToFit="1"/>
    </xf>
    <xf numFmtId="180" fontId="12" fillId="0" borderId="11" xfId="2" applyNumberFormat="1" applyFont="1" applyFill="1" applyBorder="1" applyAlignment="1">
      <alignment vertical="center" shrinkToFit="1"/>
    </xf>
    <xf numFmtId="180" fontId="12" fillId="0" borderId="17" xfId="2" applyNumberFormat="1" applyFont="1" applyFill="1" applyBorder="1" applyAlignment="1">
      <alignment vertical="center" shrinkToFit="1"/>
    </xf>
    <xf numFmtId="179" fontId="12" fillId="0" borderId="11" xfId="2" applyNumberFormat="1" applyFont="1" applyFill="1" applyBorder="1" applyAlignment="1">
      <alignment vertical="center" shrinkToFit="1"/>
    </xf>
    <xf numFmtId="179" fontId="12" fillId="0" borderId="14" xfId="2" applyNumberFormat="1" applyFont="1" applyFill="1" applyBorder="1" applyAlignment="1">
      <alignment vertical="center" shrinkToFit="1"/>
    </xf>
    <xf numFmtId="1" fontId="12" fillId="0" borderId="11" xfId="2" applyNumberFormat="1" applyFont="1" applyFill="1" applyBorder="1" applyAlignment="1">
      <alignment vertical="center" shrinkToFit="1"/>
    </xf>
    <xf numFmtId="0" fontId="12" fillId="0" borderId="43" xfId="2" applyFont="1" applyFill="1" applyBorder="1" applyAlignment="1">
      <alignment vertical="center"/>
    </xf>
    <xf numFmtId="0" fontId="35" fillId="0" borderId="0" xfId="2" applyFont="1" applyBorder="1" applyAlignment="1">
      <alignment vertical="center" wrapText="1"/>
    </xf>
    <xf numFmtId="0" fontId="15" fillId="0" borderId="0" xfId="2" applyFont="1" applyFill="1" applyBorder="1" applyAlignment="1">
      <alignment vertical="center"/>
    </xf>
    <xf numFmtId="57" fontId="15" fillId="0" borderId="0" xfId="2" applyNumberFormat="1" applyFont="1" applyBorder="1" applyAlignment="1">
      <alignment vertical="center"/>
    </xf>
    <xf numFmtId="2" fontId="14" fillId="9" borderId="11" xfId="2" applyNumberFormat="1" applyFont="1" applyFill="1" applyBorder="1" applyAlignment="1">
      <alignment vertical="center" shrinkToFit="1"/>
    </xf>
    <xf numFmtId="0" fontId="2" fillId="9" borderId="11" xfId="2" applyFill="1" applyBorder="1" applyAlignment="1">
      <alignment vertical="center" shrinkToFit="1"/>
    </xf>
    <xf numFmtId="0" fontId="12" fillId="9" borderId="11" xfId="2" applyFont="1" applyFill="1" applyBorder="1" applyAlignment="1">
      <alignment horizontal="center" vertical="center" shrinkToFit="1"/>
    </xf>
    <xf numFmtId="0" fontId="2" fillId="9" borderId="11" xfId="2" applyFill="1" applyBorder="1">
      <alignment vertical="center"/>
    </xf>
    <xf numFmtId="0" fontId="36" fillId="0" borderId="0" xfId="2" applyFont="1" applyBorder="1" applyAlignment="1">
      <alignment vertical="center"/>
    </xf>
    <xf numFmtId="0" fontId="34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8" fillId="3" borderId="0" xfId="0" applyFont="1" applyFill="1" applyAlignment="1">
      <alignment vertical="center"/>
    </xf>
    <xf numFmtId="0" fontId="24" fillId="0" borderId="0" xfId="0" applyFont="1" applyAlignment="1">
      <alignment vertical="center"/>
    </xf>
    <xf numFmtId="0" fontId="4" fillId="0" borderId="40" xfId="0" applyFont="1" applyBorder="1" applyAlignment="1">
      <alignment vertical="center"/>
    </xf>
    <xf numFmtId="0" fontId="4" fillId="0" borderId="38" xfId="0" applyFont="1" applyBorder="1" applyAlignment="1">
      <alignment vertical="center"/>
    </xf>
    <xf numFmtId="0" fontId="24" fillId="0" borderId="39" xfId="0" applyFont="1" applyBorder="1" applyAlignment="1">
      <alignment vertical="center"/>
    </xf>
    <xf numFmtId="0" fontId="24" fillId="0" borderId="38" xfId="0" applyFont="1" applyBorder="1" applyAlignment="1">
      <alignment vertical="center"/>
    </xf>
    <xf numFmtId="0" fontId="7" fillId="0" borderId="47" xfId="0" applyNumberFormat="1" applyFont="1" applyFill="1" applyBorder="1" applyAlignment="1">
      <alignment horizontal="right" vertical="center"/>
    </xf>
    <xf numFmtId="0" fontId="4" fillId="0" borderId="29" xfId="0" applyFont="1" applyFill="1" applyBorder="1" applyAlignment="1">
      <alignment vertical="center"/>
    </xf>
    <xf numFmtId="0" fontId="5" fillId="0" borderId="29" xfId="0" applyNumberFormat="1" applyFont="1" applyFill="1" applyBorder="1" applyAlignment="1">
      <alignment vertical="center"/>
    </xf>
    <xf numFmtId="0" fontId="4" fillId="0" borderId="44" xfId="0" applyFont="1" applyFill="1" applyBorder="1" applyAlignment="1">
      <alignment vertical="center"/>
    </xf>
    <xf numFmtId="0" fontId="39" fillId="0" borderId="0" xfId="0" applyNumberFormat="1" applyFont="1" applyFill="1" applyBorder="1" applyAlignment="1">
      <alignment vertical="center"/>
    </xf>
    <xf numFmtId="0" fontId="24" fillId="0" borderId="0" xfId="0" applyFont="1" applyFill="1" applyBorder="1" applyAlignment="1">
      <alignment horizontal="center" vertical="center"/>
    </xf>
    <xf numFmtId="0" fontId="39" fillId="3" borderId="49" xfId="0" applyNumberFormat="1" applyFont="1" applyFill="1" applyBorder="1" applyAlignment="1">
      <alignment horizontal="center" vertical="center"/>
    </xf>
    <xf numFmtId="0" fontId="39" fillId="0" borderId="49" xfId="0" applyNumberFormat="1" applyFont="1" applyFill="1" applyBorder="1" applyAlignment="1">
      <alignment vertical="center"/>
    </xf>
    <xf numFmtId="0" fontId="39" fillId="0" borderId="50" xfId="0" applyNumberFormat="1" applyFont="1" applyFill="1" applyBorder="1" applyAlignment="1">
      <alignment vertical="center"/>
    </xf>
    <xf numFmtId="0" fontId="24" fillId="0" borderId="51" xfId="0" applyFont="1" applyFill="1" applyBorder="1" applyAlignment="1">
      <alignment horizontal="center" vertical="center"/>
    </xf>
    <xf numFmtId="0" fontId="7" fillId="0" borderId="15" xfId="0" applyNumberFormat="1" applyFont="1" applyFill="1" applyBorder="1" applyAlignment="1">
      <alignment horizontal="right" vertical="center"/>
    </xf>
    <xf numFmtId="56" fontId="40" fillId="0" borderId="52" xfId="0" quotePrefix="1" applyNumberFormat="1" applyFont="1" applyFill="1" applyBorder="1" applyAlignment="1">
      <alignment vertical="center"/>
    </xf>
    <xf numFmtId="0" fontId="24" fillId="3" borderId="52" xfId="0" applyFont="1" applyFill="1" applyBorder="1" applyAlignment="1">
      <alignment horizontal="center" vertical="center"/>
    </xf>
    <xf numFmtId="0" fontId="24" fillId="0" borderId="52" xfId="0" applyFont="1" applyFill="1" applyBorder="1" applyAlignment="1">
      <alignment horizontal="center" vertical="center"/>
    </xf>
    <xf numFmtId="0" fontId="24" fillId="0" borderId="43" xfId="0" applyFont="1" applyFill="1" applyBorder="1" applyAlignment="1">
      <alignment horizontal="center" vertical="center"/>
    </xf>
    <xf numFmtId="0" fontId="39" fillId="0" borderId="47" xfId="0" applyNumberFormat="1" applyFont="1" applyFill="1" applyBorder="1" applyAlignment="1">
      <alignment horizontal="center" vertical="center" wrapText="1"/>
    </xf>
    <xf numFmtId="0" fontId="24" fillId="0" borderId="33" xfId="0" applyFont="1" applyFill="1" applyBorder="1" applyAlignment="1">
      <alignment horizontal="center" vertical="center" wrapText="1"/>
    </xf>
    <xf numFmtId="0" fontId="39" fillId="0" borderId="30" xfId="0" applyNumberFormat="1" applyFont="1" applyFill="1" applyBorder="1" applyAlignment="1">
      <alignment horizontal="center" vertical="center"/>
    </xf>
    <xf numFmtId="0" fontId="39" fillId="3" borderId="53" xfId="0" applyNumberFormat="1" applyFont="1" applyFill="1" applyBorder="1" applyAlignment="1">
      <alignment horizontal="center" vertical="center"/>
    </xf>
    <xf numFmtId="0" fontId="39" fillId="0" borderId="53" xfId="0" applyNumberFormat="1" applyFont="1" applyFill="1" applyBorder="1" applyAlignment="1">
      <alignment horizontal="center" vertical="center"/>
    </xf>
    <xf numFmtId="0" fontId="39" fillId="0" borderId="54" xfId="0" applyNumberFormat="1" applyFont="1" applyFill="1" applyBorder="1" applyAlignment="1">
      <alignment horizontal="center" vertical="center"/>
    </xf>
    <xf numFmtId="0" fontId="7" fillId="0" borderId="54" xfId="0" applyNumberFormat="1" applyFont="1" applyFill="1" applyBorder="1" applyAlignment="1">
      <alignment vertical="center"/>
    </xf>
    <xf numFmtId="0" fontId="24" fillId="0" borderId="55" xfId="0" applyFont="1" applyFill="1" applyBorder="1" applyAlignment="1">
      <alignment horizontal="center" vertical="center"/>
    </xf>
    <xf numFmtId="0" fontId="41" fillId="0" borderId="53" xfId="0" applyNumberFormat="1" applyFont="1" applyFill="1" applyBorder="1" applyAlignment="1">
      <alignment horizontal="right" vertical="center"/>
    </xf>
    <xf numFmtId="180" fontId="39" fillId="0" borderId="47" xfId="0" applyNumberFormat="1" applyFont="1" applyFill="1" applyBorder="1" applyAlignment="1">
      <alignment vertical="center" shrinkToFit="1"/>
    </xf>
    <xf numFmtId="0" fontId="39" fillId="0" borderId="56" xfId="0" applyNumberFormat="1" applyFont="1" applyFill="1" applyBorder="1" applyAlignment="1">
      <alignment horizontal="center" vertical="center" wrapText="1"/>
    </xf>
    <xf numFmtId="0" fontId="39" fillId="0" borderId="30" xfId="0" applyNumberFormat="1" applyFont="1" applyFill="1" applyBorder="1" applyAlignment="1">
      <alignment horizontal="center" vertical="center" wrapText="1"/>
    </xf>
    <xf numFmtId="179" fontId="39" fillId="0" borderId="30" xfId="0" applyNumberFormat="1" applyFont="1" applyFill="1" applyBorder="1" applyAlignment="1">
      <alignment horizontal="center" vertical="center" shrinkToFit="1"/>
    </xf>
    <xf numFmtId="0" fontId="24" fillId="0" borderId="57" xfId="0" applyFont="1" applyFill="1" applyBorder="1" applyAlignment="1">
      <alignment horizontal="center" vertical="center"/>
    </xf>
    <xf numFmtId="0" fontId="8" fillId="0" borderId="57" xfId="0" applyFont="1" applyFill="1" applyBorder="1" applyAlignment="1">
      <alignment horizontal="center" vertical="center"/>
    </xf>
    <xf numFmtId="0" fontId="24" fillId="0" borderId="58" xfId="0" applyFont="1" applyFill="1" applyBorder="1" applyAlignment="1">
      <alignment horizontal="center" vertical="center"/>
    </xf>
    <xf numFmtId="0" fontId="41" fillId="0" borderId="52" xfId="0" applyNumberFormat="1" applyFont="1" applyFill="1" applyBorder="1" applyAlignment="1">
      <alignment horizontal="right" vertical="center"/>
    </xf>
    <xf numFmtId="176" fontId="39" fillId="0" borderId="47" xfId="0" applyNumberFormat="1" applyFont="1" applyFill="1" applyBorder="1" applyAlignment="1">
      <alignment vertical="center" shrinkToFit="1"/>
    </xf>
    <xf numFmtId="0" fontId="39" fillId="0" borderId="18" xfId="0" applyNumberFormat="1" applyFont="1" applyFill="1" applyBorder="1" applyAlignment="1">
      <alignment horizontal="center" vertical="center" wrapText="1"/>
    </xf>
    <xf numFmtId="0" fontId="5" fillId="0" borderId="18" xfId="0" applyNumberFormat="1" applyFont="1" applyFill="1" applyBorder="1" applyAlignment="1">
      <alignment vertical="center" wrapText="1"/>
    </xf>
    <xf numFmtId="0" fontId="39" fillId="0" borderId="60" xfId="0" applyNumberFormat="1" applyFont="1" applyFill="1" applyBorder="1" applyAlignment="1">
      <alignment vertical="center"/>
    </xf>
    <xf numFmtId="0" fontId="24" fillId="0" borderId="61" xfId="0" applyFont="1" applyFill="1" applyBorder="1" applyAlignment="1">
      <alignment horizontal="center" vertical="center"/>
    </xf>
    <xf numFmtId="0" fontId="24" fillId="0" borderId="62" xfId="0" applyFont="1" applyFill="1" applyBorder="1" applyAlignment="1">
      <alignment horizontal="center" vertical="center"/>
    </xf>
    <xf numFmtId="0" fontId="39" fillId="0" borderId="35" xfId="0" applyNumberFormat="1" applyFont="1" applyFill="1" applyBorder="1" applyAlignment="1">
      <alignment vertical="center"/>
    </xf>
    <xf numFmtId="0" fontId="24" fillId="0" borderId="35" xfId="0" applyFont="1" applyFill="1" applyBorder="1" applyAlignment="1">
      <alignment horizontal="center" vertical="center" wrapText="1"/>
    </xf>
    <xf numFmtId="0" fontId="24" fillId="0" borderId="35" xfId="0" applyFont="1" applyFill="1" applyBorder="1" applyAlignment="1">
      <alignment vertical="center"/>
    </xf>
    <xf numFmtId="0" fontId="24" fillId="0" borderId="63" xfId="0" applyFont="1" applyFill="1" applyBorder="1" applyAlignment="1">
      <alignment vertical="center"/>
    </xf>
    <xf numFmtId="0" fontId="5" fillId="0" borderId="61" xfId="0" applyNumberFormat="1" applyFont="1" applyFill="1" applyBorder="1" applyAlignment="1">
      <alignment vertical="center"/>
    </xf>
    <xf numFmtId="0" fontId="24" fillId="0" borderId="64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4" fillId="0" borderId="66" xfId="0" applyFont="1" applyFill="1" applyBorder="1" applyAlignment="1">
      <alignment horizontal="center" vertical="center" wrapText="1"/>
    </xf>
    <xf numFmtId="0" fontId="24" fillId="0" borderId="67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9" fillId="0" borderId="61" xfId="0" applyNumberFormat="1" applyFont="1" applyFill="1" applyBorder="1" applyAlignment="1">
      <alignment vertical="center"/>
    </xf>
    <xf numFmtId="0" fontId="24" fillId="0" borderId="61" xfId="0" applyFont="1" applyFill="1" applyBorder="1" applyAlignment="1">
      <alignment vertical="center"/>
    </xf>
    <xf numFmtId="0" fontId="24" fillId="0" borderId="62" xfId="0" applyFont="1" applyFill="1" applyBorder="1" applyAlignment="1">
      <alignment vertical="center"/>
    </xf>
    <xf numFmtId="0" fontId="24" fillId="0" borderId="68" xfId="0" applyFont="1" applyFill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10" xfId="0" applyFont="1" applyBorder="1" applyAlignment="1">
      <alignment vertical="center"/>
    </xf>
    <xf numFmtId="0" fontId="24" fillId="0" borderId="34" xfId="0" applyFont="1" applyFill="1" applyBorder="1" applyAlignment="1">
      <alignment horizontal="center" vertical="center"/>
    </xf>
    <xf numFmtId="0" fontId="24" fillId="0" borderId="70" xfId="0" applyFont="1" applyFill="1" applyBorder="1" applyAlignment="1">
      <alignment horizontal="center" vertical="center"/>
    </xf>
    <xf numFmtId="0" fontId="24" fillId="0" borderId="71" xfId="0" applyFont="1" applyFill="1" applyBorder="1" applyAlignment="1">
      <alignment horizontal="center" vertical="center"/>
    </xf>
    <xf numFmtId="0" fontId="39" fillId="0" borderId="72" xfId="0" applyNumberFormat="1" applyFont="1" applyFill="1" applyBorder="1" applyAlignment="1">
      <alignment vertical="center"/>
    </xf>
    <xf numFmtId="0" fontId="24" fillId="0" borderId="72" xfId="0" applyFont="1" applyFill="1" applyBorder="1" applyAlignment="1">
      <alignment vertical="center"/>
    </xf>
    <xf numFmtId="0" fontId="24" fillId="0" borderId="73" xfId="0" applyFont="1" applyFill="1" applyBorder="1" applyAlignment="1">
      <alignment vertical="center"/>
    </xf>
    <xf numFmtId="0" fontId="24" fillId="0" borderId="70" xfId="0" applyFont="1" applyFill="1" applyBorder="1" applyAlignment="1">
      <alignment vertical="center"/>
    </xf>
    <xf numFmtId="0" fontId="24" fillId="0" borderId="71" xfId="0" applyFont="1" applyFill="1" applyBorder="1" applyAlignment="1">
      <alignment vertical="center"/>
    </xf>
    <xf numFmtId="0" fontId="24" fillId="0" borderId="74" xfId="0" applyFont="1" applyFill="1" applyBorder="1" applyAlignment="1">
      <alignment vertical="center"/>
    </xf>
    <xf numFmtId="0" fontId="39" fillId="0" borderId="18" xfId="0" applyNumberFormat="1" applyFont="1" applyFill="1" applyBorder="1" applyAlignment="1">
      <alignment vertical="center"/>
    </xf>
    <xf numFmtId="56" fontId="40" fillId="0" borderId="75" xfId="0" quotePrefix="1" applyNumberFormat="1" applyFont="1" applyFill="1" applyBorder="1" applyAlignment="1">
      <alignment vertical="center"/>
    </xf>
    <xf numFmtId="0" fontId="40" fillId="0" borderId="32" xfId="0" applyNumberFormat="1" applyFont="1" applyFill="1" applyBorder="1" applyAlignment="1">
      <alignment vertical="center"/>
    </xf>
    <xf numFmtId="0" fontId="40" fillId="0" borderId="30" xfId="0" applyNumberFormat="1" applyFont="1" applyFill="1" applyBorder="1" applyAlignment="1">
      <alignment vertical="center"/>
    </xf>
    <xf numFmtId="0" fontId="40" fillId="0" borderId="76" xfId="0" applyNumberFormat="1" applyFont="1" applyFill="1" applyBorder="1" applyAlignment="1">
      <alignment vertical="center"/>
    </xf>
    <xf numFmtId="0" fontId="40" fillId="0" borderId="32" xfId="0" quotePrefix="1" applyNumberFormat="1" applyFont="1" applyFill="1" applyBorder="1" applyAlignment="1">
      <alignment vertical="center"/>
    </xf>
    <xf numFmtId="0" fontId="40" fillId="0" borderId="63" xfId="0" quotePrefix="1" applyNumberFormat="1" applyFont="1" applyFill="1" applyBorder="1" applyAlignment="1">
      <alignment vertical="center"/>
    </xf>
    <xf numFmtId="0" fontId="7" fillId="0" borderId="64" xfId="0" applyNumberFormat="1" applyFont="1" applyFill="1" applyBorder="1" applyAlignment="1">
      <alignment vertical="center"/>
    </xf>
    <xf numFmtId="0" fontId="7" fillId="0" borderId="18" xfId="0" applyNumberFormat="1" applyFont="1" applyFill="1" applyBorder="1" applyAlignment="1">
      <alignment vertical="center"/>
    </xf>
    <xf numFmtId="0" fontId="24" fillId="0" borderId="66" xfId="0" applyFont="1" applyFill="1" applyBorder="1" applyAlignment="1">
      <alignment vertical="center" wrapText="1"/>
    </xf>
    <xf numFmtId="0" fontId="39" fillId="0" borderId="32" xfId="0" applyNumberFormat="1" applyFont="1" applyFill="1" applyBorder="1" applyAlignment="1">
      <alignment horizontal="center" vertical="center" shrinkToFit="1"/>
    </xf>
    <xf numFmtId="0" fontId="39" fillId="0" borderId="30" xfId="0" applyNumberFormat="1" applyFont="1" applyFill="1" applyBorder="1" applyAlignment="1">
      <alignment horizontal="center" vertical="center" shrinkToFit="1"/>
    </xf>
    <xf numFmtId="0" fontId="39" fillId="0" borderId="76" xfId="0" applyNumberFormat="1" applyFont="1" applyFill="1" applyBorder="1" applyAlignment="1">
      <alignment horizontal="center" vertical="center" shrinkToFit="1"/>
    </xf>
    <xf numFmtId="0" fontId="24" fillId="0" borderId="66" xfId="0" applyFont="1" applyFill="1" applyBorder="1" applyAlignment="1">
      <alignment vertical="center"/>
    </xf>
    <xf numFmtId="0" fontId="24" fillId="0" borderId="35" xfId="0" applyFont="1" applyFill="1" applyBorder="1" applyAlignment="1">
      <alignment horizontal="center" vertical="center"/>
    </xf>
    <xf numFmtId="0" fontId="24" fillId="0" borderId="63" xfId="0" applyFont="1" applyFill="1" applyBorder="1" applyAlignment="1">
      <alignment horizontal="center" vertical="center"/>
    </xf>
    <xf numFmtId="0" fontId="24" fillId="0" borderId="33" xfId="0" applyFont="1" applyFill="1" applyBorder="1" applyAlignment="1">
      <alignment vertical="center"/>
    </xf>
    <xf numFmtId="179" fontId="39" fillId="0" borderId="74" xfId="0" applyNumberFormat="1" applyFont="1" applyFill="1" applyBorder="1" applyAlignment="1">
      <alignment horizontal="center" vertical="center" shrinkToFit="1"/>
    </xf>
    <xf numFmtId="179" fontId="39" fillId="0" borderId="33" xfId="0" applyNumberFormat="1" applyFont="1" applyFill="1" applyBorder="1" applyAlignment="1">
      <alignment horizontal="center" vertical="center" shrinkToFit="1"/>
    </xf>
    <xf numFmtId="179" fontId="39" fillId="0" borderId="77" xfId="0" applyNumberFormat="1" applyFont="1" applyFill="1" applyBorder="1" applyAlignment="1">
      <alignment horizontal="center" vertical="center" shrinkToFit="1"/>
    </xf>
    <xf numFmtId="179" fontId="39" fillId="0" borderId="70" xfId="0" applyNumberFormat="1" applyFont="1" applyFill="1" applyBorder="1" applyAlignment="1">
      <alignment horizontal="center" vertical="center" shrinkToFit="1"/>
    </xf>
    <xf numFmtId="179" fontId="5" fillId="0" borderId="30" xfId="0" applyNumberFormat="1" applyFont="1" applyFill="1" applyBorder="1" applyAlignment="1">
      <alignment vertical="center"/>
    </xf>
    <xf numFmtId="179" fontId="39" fillId="0" borderId="32" xfId="0" applyNumberFormat="1" applyFont="1" applyFill="1" applyBorder="1" applyAlignment="1">
      <alignment horizontal="center" vertical="center" shrinkToFit="1"/>
    </xf>
    <xf numFmtId="179" fontId="39" fillId="0" borderId="76" xfId="0" applyNumberFormat="1" applyFont="1" applyFill="1" applyBorder="1" applyAlignment="1">
      <alignment horizontal="center" vertical="center" shrinkToFit="1"/>
    </xf>
    <xf numFmtId="179" fontId="39" fillId="0" borderId="35" xfId="0" applyNumberFormat="1" applyFont="1" applyFill="1" applyBorder="1" applyAlignment="1">
      <alignment horizontal="center" vertical="center" shrinkToFit="1"/>
    </xf>
    <xf numFmtId="0" fontId="24" fillId="0" borderId="33" xfId="0" applyFont="1" applyFill="1" applyBorder="1" applyAlignment="1">
      <alignment vertical="center" wrapText="1"/>
    </xf>
    <xf numFmtId="0" fontId="5" fillId="4" borderId="18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 wrapText="1"/>
    </xf>
    <xf numFmtId="0" fontId="7" fillId="0" borderId="60" xfId="0" applyNumberFormat="1" applyFont="1" applyFill="1" applyBorder="1" applyAlignment="1">
      <alignment horizontal="center" vertical="center" wrapText="1"/>
    </xf>
    <xf numFmtId="0" fontId="39" fillId="0" borderId="78" xfId="0" applyNumberFormat="1" applyFont="1" applyFill="1" applyBorder="1" applyAlignment="1">
      <alignment horizontal="left" vertical="center" wrapText="1"/>
    </xf>
    <xf numFmtId="0" fontId="41" fillId="0" borderId="33" xfId="0" applyNumberFormat="1" applyFont="1" applyFill="1" applyBorder="1" applyAlignment="1">
      <alignment vertical="center"/>
    </xf>
    <xf numFmtId="0" fontId="41" fillId="0" borderId="30" xfId="0" applyNumberFormat="1" applyFont="1" applyFill="1" applyBorder="1" applyAlignment="1">
      <alignment vertical="center"/>
    </xf>
    <xf numFmtId="0" fontId="41" fillId="0" borderId="76" xfId="0" applyNumberFormat="1" applyFont="1" applyFill="1" applyBorder="1" applyAlignment="1">
      <alignment vertical="center"/>
    </xf>
    <xf numFmtId="0" fontId="5" fillId="0" borderId="35" xfId="0" applyNumberFormat="1" applyFont="1" applyFill="1" applyBorder="1" applyAlignment="1">
      <alignment vertical="center"/>
    </xf>
    <xf numFmtId="0" fontId="7" fillId="4" borderId="32" xfId="0" applyNumberFormat="1" applyFont="1" applyFill="1" applyBorder="1" applyAlignment="1">
      <alignment vertical="center"/>
    </xf>
    <xf numFmtId="179" fontId="5" fillId="4" borderId="33" xfId="0" applyNumberFormat="1" applyFont="1" applyFill="1" applyBorder="1" applyAlignment="1">
      <alignment vertical="center"/>
    </xf>
    <xf numFmtId="0" fontId="4" fillId="4" borderId="66" xfId="0" applyFont="1" applyFill="1" applyBorder="1" applyAlignment="1">
      <alignment vertical="center" wrapText="1"/>
    </xf>
    <xf numFmtId="0" fontId="8" fillId="0" borderId="18" xfId="0" applyFont="1" applyFill="1" applyBorder="1" applyAlignment="1">
      <alignment vertical="center" wrapText="1"/>
    </xf>
    <xf numFmtId="0" fontId="8" fillId="0" borderId="67" xfId="0" applyFont="1" applyFill="1" applyBorder="1" applyAlignment="1">
      <alignment horizontal="center" vertical="center" wrapText="1"/>
    </xf>
    <xf numFmtId="0" fontId="5" fillId="4" borderId="31" xfId="0" applyNumberFormat="1" applyFont="1" applyFill="1" applyBorder="1" applyAlignment="1">
      <alignment vertical="center"/>
    </xf>
    <xf numFmtId="0" fontId="39" fillId="4" borderId="35" xfId="0" applyNumberFormat="1" applyFont="1" applyFill="1" applyBorder="1" applyAlignment="1">
      <alignment vertical="center"/>
    </xf>
    <xf numFmtId="0" fontId="5" fillId="4" borderId="30" xfId="0" applyNumberFormat="1" applyFont="1" applyFill="1" applyBorder="1" applyAlignment="1">
      <alignment vertical="center"/>
    </xf>
    <xf numFmtId="0" fontId="4" fillId="0" borderId="33" xfId="0" applyFont="1" applyFill="1" applyBorder="1" applyAlignment="1">
      <alignment vertical="center" wrapText="1"/>
    </xf>
    <xf numFmtId="0" fontId="8" fillId="0" borderId="33" xfId="0" applyFont="1" applyFill="1" applyBorder="1" applyAlignment="1">
      <alignment vertical="center" wrapText="1"/>
    </xf>
    <xf numFmtId="0" fontId="5" fillId="4" borderId="60" xfId="0" applyNumberFormat="1" applyFont="1" applyFill="1" applyBorder="1" applyAlignment="1">
      <alignment vertical="center"/>
    </xf>
    <xf numFmtId="0" fontId="39" fillId="4" borderId="32" xfId="0" applyNumberFormat="1" applyFont="1" applyFill="1" applyBorder="1" applyAlignment="1">
      <alignment vertical="center"/>
    </xf>
    <xf numFmtId="0" fontId="5" fillId="0" borderId="18" xfId="0" applyNumberFormat="1" applyFont="1" applyFill="1" applyBorder="1" applyAlignment="1">
      <alignment horizontal="left" vertical="center" wrapText="1"/>
    </xf>
    <xf numFmtId="0" fontId="7" fillId="0" borderId="31" xfId="0" applyNumberFormat="1" applyFont="1" applyFill="1" applyBorder="1" applyAlignment="1">
      <alignment vertical="center"/>
    </xf>
    <xf numFmtId="0" fontId="39" fillId="0" borderId="79" xfId="0" applyNumberFormat="1" applyFont="1" applyFill="1" applyBorder="1" applyAlignment="1">
      <alignment vertical="center"/>
    </xf>
    <xf numFmtId="0" fontId="7" fillId="0" borderId="32" xfId="0" applyNumberFormat="1" applyFont="1" applyFill="1" applyBorder="1" applyAlignment="1">
      <alignment vertical="center"/>
    </xf>
    <xf numFmtId="0" fontId="4" fillId="0" borderId="33" xfId="0" applyFont="1" applyFill="1" applyBorder="1" applyAlignment="1">
      <alignment horizontal="left" vertical="center" wrapText="1"/>
    </xf>
    <xf numFmtId="0" fontId="39" fillId="0" borderId="60" xfId="0" applyNumberFormat="1" applyFont="1" applyFill="1" applyBorder="1" applyAlignment="1">
      <alignment horizontal="center" vertical="center"/>
    </xf>
    <xf numFmtId="0" fontId="24" fillId="0" borderId="61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vertical="center"/>
    </xf>
    <xf numFmtId="0" fontId="5" fillId="0" borderId="68" xfId="0" applyNumberFormat="1" applyFont="1" applyFill="1" applyBorder="1" applyAlignment="1">
      <alignment vertical="center"/>
    </xf>
    <xf numFmtId="0" fontId="5" fillId="0" borderId="66" xfId="0" applyNumberFormat="1" applyFont="1" applyFill="1" applyBorder="1" applyAlignment="1">
      <alignment vertical="center"/>
    </xf>
    <xf numFmtId="0" fontId="24" fillId="0" borderId="70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39" fillId="0" borderId="31" xfId="0" applyNumberFormat="1" applyFont="1" applyFill="1" applyBorder="1" applyAlignment="1">
      <alignment horizontal="center" vertical="center"/>
    </xf>
    <xf numFmtId="0" fontId="5" fillId="0" borderId="32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center" vertical="center" wrapText="1"/>
    </xf>
    <xf numFmtId="0" fontId="39" fillId="0" borderId="0" xfId="0" applyNumberFormat="1" applyFont="1" applyFill="1" applyBorder="1" applyAlignment="1">
      <alignment horizontal="center" vertical="center"/>
    </xf>
    <xf numFmtId="0" fontId="39" fillId="0" borderId="0" xfId="0" applyNumberFormat="1" applyFont="1" applyFill="1" applyBorder="1" applyAlignment="1">
      <alignment horizontal="center" vertical="center" wrapText="1"/>
    </xf>
    <xf numFmtId="0" fontId="39" fillId="4" borderId="18" xfId="0" applyNumberFormat="1" applyFont="1" applyFill="1" applyBorder="1" applyAlignment="1">
      <alignment vertical="center"/>
    </xf>
    <xf numFmtId="0" fontId="7" fillId="4" borderId="30" xfId="0" applyNumberFormat="1" applyFont="1" applyFill="1" applyBorder="1" applyAlignment="1">
      <alignment horizontal="center" vertical="center"/>
    </xf>
    <xf numFmtId="58" fontId="5" fillId="4" borderId="31" xfId="0" quotePrefix="1" applyNumberFormat="1" applyFont="1" applyFill="1" applyBorder="1" applyAlignment="1">
      <alignment vertical="center"/>
    </xf>
    <xf numFmtId="0" fontId="24" fillId="0" borderId="32" xfId="0" applyFont="1" applyFill="1" applyBorder="1" applyAlignment="1">
      <alignment horizontal="center" vertical="center"/>
    </xf>
    <xf numFmtId="0" fontId="7" fillId="0" borderId="30" xfId="0" applyNumberFormat="1" applyFont="1" applyFill="1" applyBorder="1" applyAlignment="1">
      <alignment vertical="center"/>
    </xf>
    <xf numFmtId="0" fontId="24" fillId="0" borderId="31" xfId="0" applyFont="1" applyFill="1" applyBorder="1" applyAlignment="1">
      <alignment horizontal="center" vertical="center"/>
    </xf>
    <xf numFmtId="0" fontId="24" fillId="4" borderId="66" xfId="0" applyFont="1" applyFill="1" applyBorder="1" applyAlignment="1">
      <alignment vertical="center"/>
    </xf>
    <xf numFmtId="0" fontId="4" fillId="0" borderId="66" xfId="0" applyFont="1" applyFill="1" applyBorder="1" applyAlignment="1">
      <alignment vertical="center"/>
    </xf>
    <xf numFmtId="0" fontId="39" fillId="4" borderId="30" xfId="0" applyNumberFormat="1" applyFont="1" applyFill="1" applyBorder="1" applyAlignment="1">
      <alignment horizontal="center" vertical="center"/>
    </xf>
    <xf numFmtId="180" fontId="39" fillId="4" borderId="31" xfId="0" applyNumberFormat="1" applyFont="1" applyFill="1" applyBorder="1" applyAlignment="1">
      <alignment horizontal="center" vertical="center" shrinkToFit="1"/>
    </xf>
    <xf numFmtId="2" fontId="24" fillId="0" borderId="32" xfId="0" applyNumberFormat="1" applyFont="1" applyFill="1" applyBorder="1" applyAlignment="1">
      <alignment horizontal="center" vertical="center"/>
    </xf>
    <xf numFmtId="0" fontId="24" fillId="0" borderId="31" xfId="0" applyFont="1" applyFill="1" applyBorder="1" applyAlignment="1">
      <alignment horizontal="center" vertical="center" wrapText="1"/>
    </xf>
    <xf numFmtId="0" fontId="24" fillId="0" borderId="32" xfId="0" applyFont="1" applyFill="1" applyBorder="1" applyAlignment="1">
      <alignment horizontal="center" vertical="center" wrapText="1"/>
    </xf>
    <xf numFmtId="2" fontId="39" fillId="0" borderId="0" xfId="0" applyNumberFormat="1" applyFont="1" applyFill="1" applyBorder="1" applyAlignment="1">
      <alignment horizontal="center" vertical="center" shrinkToFit="1"/>
    </xf>
    <xf numFmtId="2" fontId="24" fillId="0" borderId="0" xfId="0" applyNumberFormat="1" applyFont="1" applyFill="1" applyBorder="1" applyAlignment="1">
      <alignment horizontal="center" vertical="center"/>
    </xf>
    <xf numFmtId="0" fontId="5" fillId="0" borderId="64" xfId="0" applyNumberFormat="1" applyFont="1" applyFill="1" applyBorder="1" applyAlignment="1">
      <alignment vertical="center"/>
    </xf>
    <xf numFmtId="179" fontId="39" fillId="0" borderId="61" xfId="0" applyNumberFormat="1" applyFont="1" applyFill="1" applyBorder="1" applyAlignment="1">
      <alignment horizontal="center" vertical="center" shrinkToFit="1"/>
    </xf>
    <xf numFmtId="179" fontId="5" fillId="0" borderId="18" xfId="0" applyNumberFormat="1" applyFont="1" applyFill="1" applyBorder="1" applyAlignment="1">
      <alignment vertical="center"/>
    </xf>
    <xf numFmtId="179" fontId="39" fillId="0" borderId="64" xfId="0" applyNumberFormat="1" applyFont="1" applyFill="1" applyBorder="1" applyAlignment="1">
      <alignment horizontal="center" vertical="center" shrinkToFit="1"/>
    </xf>
    <xf numFmtId="179" fontId="39" fillId="0" borderId="18" xfId="0" applyNumberFormat="1" applyFont="1" applyFill="1" applyBorder="1" applyAlignment="1">
      <alignment horizontal="center" vertical="center" shrinkToFit="1"/>
    </xf>
    <xf numFmtId="179" fontId="39" fillId="0" borderId="80" xfId="0" applyNumberFormat="1" applyFont="1" applyFill="1" applyBorder="1" applyAlignment="1">
      <alignment horizontal="center" vertical="center" shrinkToFit="1"/>
    </xf>
    <xf numFmtId="179" fontId="39" fillId="0" borderId="81" xfId="0" applyNumberFormat="1" applyFont="1" applyFill="1" applyBorder="1" applyAlignment="1">
      <alignment horizontal="center" vertical="center" shrinkToFit="1"/>
    </xf>
    <xf numFmtId="0" fontId="39" fillId="0" borderId="30" xfId="0" applyNumberFormat="1" applyFont="1" applyFill="1" applyBorder="1" applyAlignment="1">
      <alignment vertical="center"/>
    </xf>
    <xf numFmtId="0" fontId="4" fillId="0" borderId="18" xfId="0" applyFont="1" applyFill="1" applyBorder="1" applyAlignment="1">
      <alignment vertical="center" wrapText="1"/>
    </xf>
    <xf numFmtId="0" fontId="39" fillId="0" borderId="35" xfId="0" quotePrefix="1" applyNumberFormat="1" applyFont="1" applyFill="1" applyBorder="1" applyAlignment="1">
      <alignment vertical="center"/>
    </xf>
    <xf numFmtId="0" fontId="24" fillId="0" borderId="82" xfId="0" applyFont="1" applyFill="1" applyBorder="1" applyAlignment="1">
      <alignment vertical="center"/>
    </xf>
    <xf numFmtId="0" fontId="4" fillId="0" borderId="83" xfId="0" applyFont="1" applyBorder="1" applyAlignment="1">
      <alignment vertical="center"/>
    </xf>
    <xf numFmtId="0" fontId="4" fillId="0" borderId="55" xfId="0" applyFont="1" applyBorder="1" applyAlignment="1">
      <alignment vertical="center"/>
    </xf>
    <xf numFmtId="0" fontId="24" fillId="0" borderId="54" xfId="0" applyFont="1" applyBorder="1" applyAlignment="1">
      <alignment vertical="center"/>
    </xf>
    <xf numFmtId="0" fontId="24" fillId="0" borderId="55" xfId="0" applyFont="1" applyBorder="1" applyAlignment="1">
      <alignment vertical="center"/>
    </xf>
    <xf numFmtId="0" fontId="4" fillId="0" borderId="84" xfId="0" applyFont="1" applyFill="1" applyBorder="1" applyAlignment="1">
      <alignment vertical="center"/>
    </xf>
    <xf numFmtId="0" fontId="5" fillId="0" borderId="84" xfId="0" applyNumberFormat="1" applyFont="1" applyFill="1" applyBorder="1" applyAlignment="1">
      <alignment vertical="center"/>
    </xf>
    <xf numFmtId="0" fontId="4" fillId="0" borderId="58" xfId="0" applyFont="1" applyFill="1" applyBorder="1" applyAlignment="1">
      <alignment vertical="center"/>
    </xf>
    <xf numFmtId="0" fontId="7" fillId="0" borderId="53" xfId="0" applyNumberFormat="1" applyFont="1" applyFill="1" applyBorder="1" applyAlignment="1">
      <alignment horizontal="right" vertical="center"/>
    </xf>
    <xf numFmtId="0" fontId="24" fillId="0" borderId="85" xfId="0" applyFont="1" applyFill="1" applyBorder="1" applyAlignment="1">
      <alignment horizontal="center" vertical="center"/>
    </xf>
    <xf numFmtId="0" fontId="39" fillId="0" borderId="1" xfId="0" applyNumberFormat="1" applyFont="1" applyFill="1" applyBorder="1" applyAlignment="1">
      <alignment vertical="center"/>
    </xf>
    <xf numFmtId="179" fontId="39" fillId="0" borderId="86" xfId="0" applyNumberFormat="1" applyFont="1" applyFill="1" applyBorder="1" applyAlignment="1">
      <alignment vertical="center" shrinkToFit="1"/>
    </xf>
    <xf numFmtId="179" fontId="24" fillId="0" borderId="87" xfId="0" applyNumberFormat="1" applyFont="1" applyFill="1" applyBorder="1" applyAlignment="1">
      <alignment vertical="center" shrinkToFit="1"/>
    </xf>
    <xf numFmtId="179" fontId="24" fillId="0" borderId="88" xfId="0" applyNumberFormat="1" applyFont="1" applyFill="1" applyBorder="1" applyAlignment="1">
      <alignment vertical="center" shrinkToFit="1"/>
    </xf>
    <xf numFmtId="0" fontId="39" fillId="0" borderId="6" xfId="0" applyNumberFormat="1" applyFont="1" applyFill="1" applyBorder="1" applyAlignment="1">
      <alignment vertical="center"/>
    </xf>
    <xf numFmtId="0" fontId="24" fillId="0" borderId="89" xfId="0" applyFont="1" applyFill="1" applyBorder="1" applyAlignment="1">
      <alignment horizontal="center" vertical="center"/>
    </xf>
    <xf numFmtId="0" fontId="24" fillId="0" borderId="90" xfId="0" applyFont="1" applyFill="1" applyBorder="1" applyAlignment="1">
      <alignment horizontal="center" vertical="center"/>
    </xf>
    <xf numFmtId="0" fontId="39" fillId="0" borderId="86" xfId="0" applyNumberFormat="1" applyFont="1" applyFill="1" applyBorder="1" applyAlignment="1">
      <alignment vertical="center"/>
    </xf>
    <xf numFmtId="0" fontId="24" fillId="0" borderId="87" xfId="0" applyFont="1" applyFill="1" applyBorder="1" applyAlignment="1">
      <alignment horizontal="center" vertical="center" wrapText="1"/>
    </xf>
    <xf numFmtId="0" fontId="24" fillId="0" borderId="87" xfId="0" applyFont="1" applyFill="1" applyBorder="1" applyAlignment="1">
      <alignment vertical="center"/>
    </xf>
    <xf numFmtId="0" fontId="24" fillId="0" borderId="88" xfId="0" applyFont="1" applyFill="1" applyBorder="1" applyAlignment="1">
      <alignment vertical="center"/>
    </xf>
    <xf numFmtId="0" fontId="24" fillId="0" borderId="90" xfId="0" applyFont="1" applyFill="1" applyBorder="1" applyAlignment="1">
      <alignment vertical="center"/>
    </xf>
    <xf numFmtId="0" fontId="24" fillId="0" borderId="9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89" xfId="0" applyFont="1" applyFill="1" applyBorder="1" applyAlignment="1">
      <alignment vertical="center"/>
    </xf>
    <xf numFmtId="0" fontId="24" fillId="0" borderId="9" xfId="0" applyFont="1" applyFill="1" applyBorder="1" applyAlignment="1">
      <alignment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39" fillId="0" borderId="91" xfId="0" applyNumberFormat="1" applyFont="1" applyFill="1" applyBorder="1" applyAlignment="1">
      <alignment vertical="center"/>
    </xf>
    <xf numFmtId="0" fontId="24" fillId="0" borderId="92" xfId="0" applyFont="1" applyFill="1" applyBorder="1" applyAlignment="1">
      <alignment vertical="center"/>
    </xf>
    <xf numFmtId="0" fontId="24" fillId="0" borderId="93" xfId="0" applyFont="1" applyFill="1" applyBorder="1" applyAlignment="1">
      <alignment vertical="center"/>
    </xf>
    <xf numFmtId="0" fontId="24" fillId="0" borderId="7" xfId="0" applyFont="1" applyFill="1" applyBorder="1" applyAlignment="1">
      <alignment vertical="center"/>
    </xf>
    <xf numFmtId="0" fontId="24" fillId="0" borderId="5" xfId="0" applyFont="1" applyFill="1" applyBorder="1" applyAlignment="1">
      <alignment vertical="center"/>
    </xf>
    <xf numFmtId="0" fontId="24" fillId="0" borderId="8" xfId="0" applyFont="1" applyFill="1" applyBorder="1" applyAlignment="1">
      <alignment vertical="center"/>
    </xf>
    <xf numFmtId="0" fontId="39" fillId="0" borderId="1" xfId="0" applyNumberFormat="1" applyFont="1" applyFill="1" applyBorder="1" applyAlignment="1">
      <alignment horizontal="center" vertical="center" shrinkToFit="1"/>
    </xf>
    <xf numFmtId="0" fontId="39" fillId="0" borderId="86" xfId="0" applyNumberFormat="1" applyFont="1" applyFill="1" applyBorder="1" applyAlignment="1">
      <alignment horizontal="center" vertical="center" shrinkToFit="1"/>
    </xf>
    <xf numFmtId="0" fontId="39" fillId="0" borderId="2" xfId="0" applyNumberFormat="1" applyFont="1" applyFill="1" applyBorder="1" applyAlignment="1">
      <alignment vertical="center"/>
    </xf>
    <xf numFmtId="0" fontId="39" fillId="0" borderId="1" xfId="0" applyNumberFormat="1" applyFont="1" applyFill="1" applyBorder="1" applyAlignment="1">
      <alignment horizontal="center" vertical="center" wrapText="1"/>
    </xf>
    <xf numFmtId="0" fontId="39" fillId="0" borderId="86" xfId="0" applyNumberFormat="1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vertical="center"/>
    </xf>
    <xf numFmtId="0" fontId="5" fillId="0" borderId="86" xfId="0" applyNumberFormat="1" applyFont="1" applyFill="1" applyBorder="1" applyAlignment="1">
      <alignment vertical="center"/>
    </xf>
    <xf numFmtId="0" fontId="24" fillId="0" borderId="87" xfId="0" applyFont="1" applyFill="1" applyBorder="1" applyAlignment="1">
      <alignment horizontal="center" vertical="center"/>
    </xf>
    <xf numFmtId="0" fontId="24" fillId="0" borderId="88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vertical="center"/>
    </xf>
    <xf numFmtId="179" fontId="39" fillId="0" borderId="1" xfId="0" applyNumberFormat="1" applyFont="1" applyFill="1" applyBorder="1" applyAlignment="1">
      <alignment horizontal="center" vertical="center" shrinkToFit="1"/>
    </xf>
    <xf numFmtId="179" fontId="39" fillId="0" borderId="86" xfId="0" applyNumberFormat="1" applyFont="1" applyFill="1" applyBorder="1" applyAlignment="1">
      <alignment horizontal="center" vertical="center" shrinkToFit="1"/>
    </xf>
    <xf numFmtId="179" fontId="39" fillId="0" borderId="1" xfId="0" applyNumberFormat="1" applyFont="1" applyFill="1" applyBorder="1" applyAlignment="1">
      <alignment vertical="center" shrinkToFit="1"/>
    </xf>
    <xf numFmtId="179" fontId="39" fillId="0" borderId="1" xfId="0" applyNumberFormat="1" applyFont="1" applyFill="1" applyBorder="1" applyAlignment="1">
      <alignment vertical="center"/>
    </xf>
    <xf numFmtId="0" fontId="5" fillId="4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39" fillId="0" borderId="1" xfId="0" applyNumberFormat="1" applyFont="1" applyFill="1" applyBorder="1" applyAlignment="1">
      <alignment vertical="center" shrinkToFit="1"/>
    </xf>
    <xf numFmtId="0" fontId="39" fillId="0" borderId="86" xfId="0" applyNumberFormat="1" applyFont="1" applyFill="1" applyBorder="1" applyAlignment="1">
      <alignment vertical="center" shrinkToFit="1"/>
    </xf>
    <xf numFmtId="0" fontId="7" fillId="0" borderId="1" xfId="0" applyNumberFormat="1" applyFont="1" applyFill="1" applyBorder="1" applyAlignment="1">
      <alignment vertical="center"/>
    </xf>
    <xf numFmtId="0" fontId="4" fillId="4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5" fillId="4" borderId="86" xfId="0" applyNumberFormat="1" applyFont="1" applyFill="1" applyBorder="1" applyAlignment="1">
      <alignment vertical="center"/>
    </xf>
    <xf numFmtId="0" fontId="39" fillId="4" borderId="86" xfId="0" applyNumberFormat="1" applyFont="1" applyFill="1" applyBorder="1" applyAlignment="1">
      <alignment horizontal="center" vertical="center" wrapText="1"/>
    </xf>
    <xf numFmtId="0" fontId="39" fillId="4" borderId="86" xfId="0" applyNumberFormat="1" applyFont="1" applyFill="1" applyBorder="1" applyAlignment="1">
      <alignment vertical="center"/>
    </xf>
    <xf numFmtId="0" fontId="7" fillId="4" borderId="1" xfId="0" applyNumberFormat="1" applyFont="1" applyFill="1" applyBorder="1" applyAlignment="1">
      <alignment vertical="center"/>
    </xf>
    <xf numFmtId="0" fontId="39" fillId="4" borderId="1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39" fillId="0" borderId="1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39" fillId="0" borderId="6" xfId="0" applyNumberFormat="1" applyFont="1" applyFill="1" applyBorder="1" applyAlignment="1">
      <alignment horizontal="center" vertical="center"/>
    </xf>
    <xf numFmtId="0" fontId="24" fillId="0" borderId="89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9" fillId="0" borderId="86" xfId="0" applyNumberFormat="1" applyFont="1" applyFill="1" applyBorder="1" applyAlignment="1">
      <alignment horizontal="center" vertical="center"/>
    </xf>
    <xf numFmtId="0" fontId="39" fillId="4" borderId="2" xfId="0" applyNumberFormat="1" applyFont="1" applyFill="1" applyBorder="1" applyAlignment="1">
      <alignment vertical="center"/>
    </xf>
    <xf numFmtId="0" fontId="7" fillId="0" borderId="2" xfId="0" applyNumberFormat="1" applyFont="1" applyFill="1" applyBorder="1" applyAlignment="1">
      <alignment vertical="center"/>
    </xf>
    <xf numFmtId="0" fontId="39" fillId="4" borderId="1" xfId="0" applyNumberFormat="1" applyFont="1" applyFill="1" applyBorder="1" applyAlignment="1">
      <alignment horizontal="center" vertical="center"/>
    </xf>
    <xf numFmtId="0" fontId="24" fillId="0" borderId="86" xfId="0" applyFont="1" applyFill="1" applyBorder="1" applyAlignment="1">
      <alignment horizontal="center" vertical="center"/>
    </xf>
    <xf numFmtId="0" fontId="4" fillId="0" borderId="88" xfId="0" applyFont="1" applyFill="1" applyBorder="1" applyAlignment="1">
      <alignment vertical="center"/>
    </xf>
    <xf numFmtId="0" fontId="24" fillId="4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2" fontId="39" fillId="4" borderId="86" xfId="0" applyNumberFormat="1" applyFont="1" applyFill="1" applyBorder="1" applyAlignment="1">
      <alignment horizontal="center" vertical="center" shrinkToFit="1"/>
    </xf>
    <xf numFmtId="2" fontId="24" fillId="0" borderId="88" xfId="0" applyNumberFormat="1" applyFont="1" applyFill="1" applyBorder="1" applyAlignment="1">
      <alignment horizontal="center" vertical="center"/>
    </xf>
    <xf numFmtId="0" fontId="39" fillId="4" borderId="2" xfId="0" applyNumberFormat="1" applyFont="1" applyFill="1" applyBorder="1" applyAlignment="1">
      <alignment horizontal="center" vertical="center"/>
    </xf>
    <xf numFmtId="2" fontId="39" fillId="4" borderId="6" xfId="0" applyNumberFormat="1" applyFont="1" applyFill="1" applyBorder="1" applyAlignment="1">
      <alignment horizontal="center" vertical="center" shrinkToFit="1"/>
    </xf>
    <xf numFmtId="2" fontId="24" fillId="0" borderId="90" xfId="0" applyNumberFormat="1" applyFont="1" applyFill="1" applyBorder="1" applyAlignment="1">
      <alignment horizontal="center" vertical="center"/>
    </xf>
    <xf numFmtId="0" fontId="24" fillId="0" borderId="86" xfId="0" applyFont="1" applyFill="1" applyBorder="1" applyAlignment="1">
      <alignment horizontal="center" vertical="center" wrapText="1"/>
    </xf>
    <xf numFmtId="0" fontId="24" fillId="0" borderId="88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24" fillId="0" borderId="90" xfId="0" applyFont="1" applyFill="1" applyBorder="1" applyAlignment="1">
      <alignment horizontal="center" vertical="center" wrapText="1"/>
    </xf>
    <xf numFmtId="0" fontId="4" fillId="0" borderId="90" xfId="0" applyFont="1" applyFill="1" applyBorder="1" applyAlignment="1">
      <alignment vertical="center"/>
    </xf>
    <xf numFmtId="0" fontId="39" fillId="0" borderId="2" xfId="0" applyNumberFormat="1" applyFont="1" applyFill="1" applyBorder="1" applyAlignment="1">
      <alignment horizontal="center" vertical="center" wrapText="1"/>
    </xf>
    <xf numFmtId="0" fontId="4" fillId="0" borderId="89" xfId="0" applyFont="1" applyFill="1" applyBorder="1" applyAlignment="1">
      <alignment vertical="center"/>
    </xf>
    <xf numFmtId="0" fontId="7" fillId="0" borderId="6" xfId="0" applyNumberFormat="1" applyFont="1" applyFill="1" applyBorder="1" applyAlignment="1">
      <alignment vertical="center"/>
    </xf>
    <xf numFmtId="0" fontId="24" fillId="0" borderId="3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0" fontId="24" fillId="0" borderId="4" xfId="0" applyFont="1" applyFill="1" applyBorder="1" applyAlignment="1">
      <alignment horizontal="center" vertical="center" wrapText="1"/>
    </xf>
    <xf numFmtId="0" fontId="39" fillId="0" borderId="2" xfId="0" applyNumberFormat="1" applyFont="1" applyFill="1" applyBorder="1" applyAlignment="1">
      <alignment horizontal="center" vertical="center"/>
    </xf>
    <xf numFmtId="0" fontId="43" fillId="0" borderId="1" xfId="0" applyNumberFormat="1" applyFont="1" applyFill="1" applyBorder="1" applyAlignment="1">
      <alignment vertical="center"/>
    </xf>
    <xf numFmtId="0" fontId="43" fillId="0" borderId="86" xfId="0" applyNumberFormat="1" applyFont="1" applyFill="1" applyBorder="1" applyAlignment="1">
      <alignment vertical="center"/>
    </xf>
    <xf numFmtId="0" fontId="24" fillId="0" borderId="3" xfId="0" applyFont="1" applyFill="1" applyBorder="1" applyAlignment="1">
      <alignment horizontal="center" vertical="center"/>
    </xf>
    <xf numFmtId="0" fontId="4" fillId="0" borderId="87" xfId="0" applyFont="1" applyFill="1" applyBorder="1" applyAlignment="1">
      <alignment vertical="center"/>
    </xf>
    <xf numFmtId="0" fontId="2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vertical="center"/>
    </xf>
    <xf numFmtId="0" fontId="4" fillId="0" borderId="0" xfId="0" applyNumberFormat="1" applyFont="1" applyAlignment="1">
      <alignment vertical="center"/>
    </xf>
    <xf numFmtId="0" fontId="40" fillId="0" borderId="30" xfId="0" quotePrefix="1" applyNumberFormat="1" applyFont="1" applyFill="1" applyBorder="1" applyAlignment="1">
      <alignment vertical="center"/>
    </xf>
    <xf numFmtId="0" fontId="40" fillId="0" borderId="76" xfId="0" quotePrefix="1" applyNumberFormat="1" applyFont="1" applyFill="1" applyBorder="1" applyAlignment="1">
      <alignment vertical="center"/>
    </xf>
    <xf numFmtId="0" fontId="24" fillId="4" borderId="35" xfId="0" applyFont="1" applyFill="1" applyBorder="1" applyAlignment="1">
      <alignment horizontal="center" vertical="center"/>
    </xf>
    <xf numFmtId="0" fontId="24" fillId="4" borderId="63" xfId="0" applyFont="1" applyFill="1" applyBorder="1" applyAlignment="1">
      <alignment horizontal="center" vertical="center"/>
    </xf>
    <xf numFmtId="0" fontId="39" fillId="4" borderId="78" xfId="0" applyNumberFormat="1" applyFont="1" applyFill="1" applyBorder="1" applyAlignment="1">
      <alignment horizontal="left" vertical="center" wrapText="1"/>
    </xf>
    <xf numFmtId="179" fontId="5" fillId="0" borderId="33" xfId="0" applyNumberFormat="1" applyFont="1" applyFill="1" applyBorder="1" applyAlignment="1">
      <alignment vertical="center"/>
    </xf>
    <xf numFmtId="0" fontId="24" fillId="4" borderId="61" xfId="0" applyFont="1" applyFill="1" applyBorder="1" applyAlignment="1">
      <alignment horizontal="center" vertical="center"/>
    </xf>
    <xf numFmtId="0" fontId="24" fillId="4" borderId="62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2" fontId="39" fillId="4" borderId="31" xfId="0" applyNumberFormat="1" applyFont="1" applyFill="1" applyBorder="1" applyAlignment="1">
      <alignment horizontal="center" vertical="center" shrinkToFit="1"/>
    </xf>
    <xf numFmtId="0" fontId="5" fillId="0" borderId="0" xfId="0" applyNumberFormat="1" applyFont="1" applyFill="1" applyBorder="1" applyAlignment="1">
      <alignment vertical="center"/>
    </xf>
    <xf numFmtId="0" fontId="4" fillId="0" borderId="66" xfId="0" applyFont="1" applyFill="1" applyBorder="1" applyAlignment="1">
      <alignment vertical="center" wrapText="1"/>
    </xf>
    <xf numFmtId="0" fontId="7" fillId="0" borderId="18" xfId="0" applyNumberFormat="1" applyFont="1" applyFill="1" applyBorder="1" applyAlignment="1">
      <alignment vertical="center" wrapText="1"/>
    </xf>
    <xf numFmtId="0" fontId="7" fillId="4" borderId="0" xfId="0" applyNumberFormat="1" applyFont="1" applyFill="1" applyBorder="1" applyAlignment="1">
      <alignment vertical="center" wrapText="1"/>
    </xf>
    <xf numFmtId="0" fontId="8" fillId="4" borderId="18" xfId="0" applyFont="1" applyFill="1" applyBorder="1" applyAlignment="1">
      <alignment vertical="center" wrapText="1"/>
    </xf>
    <xf numFmtId="0" fontId="7" fillId="0" borderId="18" xfId="0" applyNumberFormat="1" applyFont="1" applyFill="1" applyBorder="1" applyAlignment="1">
      <alignment horizontal="left" vertical="center"/>
    </xf>
    <xf numFmtId="179" fontId="5" fillId="0" borderId="30" xfId="0" applyNumberFormat="1" applyFont="1" applyFill="1" applyBorder="1" applyAlignment="1">
      <alignment vertical="center" wrapText="1"/>
    </xf>
    <xf numFmtId="0" fontId="8" fillId="0" borderId="33" xfId="0" applyFont="1" applyFill="1" applyBorder="1" applyAlignment="1">
      <alignment horizontal="left" vertical="center"/>
    </xf>
    <xf numFmtId="179" fontId="7" fillId="0" borderId="33" xfId="0" applyNumberFormat="1" applyFont="1" applyFill="1" applyBorder="1" applyAlignment="1">
      <alignment vertical="center"/>
    </xf>
    <xf numFmtId="0" fontId="4" fillId="4" borderId="33" xfId="0" applyFont="1" applyFill="1" applyBorder="1" applyAlignment="1">
      <alignment vertical="center" wrapText="1"/>
    </xf>
    <xf numFmtId="56" fontId="41" fillId="0" borderId="52" xfId="0" quotePrefix="1" applyNumberFormat="1" applyFont="1" applyFill="1" applyBorder="1" applyAlignment="1">
      <alignment vertical="center"/>
    </xf>
    <xf numFmtId="56" fontId="41" fillId="0" borderId="75" xfId="0" quotePrefix="1" applyNumberFormat="1" applyFont="1" applyFill="1" applyBorder="1" applyAlignment="1">
      <alignment vertical="center"/>
    </xf>
    <xf numFmtId="0" fontId="41" fillId="0" borderId="32" xfId="0" quotePrefix="1" applyNumberFormat="1" applyFont="1" applyFill="1" applyBorder="1" applyAlignment="1">
      <alignment vertical="center"/>
    </xf>
    <xf numFmtId="0" fontId="41" fillId="0" borderId="63" xfId="0" quotePrefix="1" applyNumberFormat="1" applyFont="1" applyFill="1" applyBorder="1" applyAlignment="1">
      <alignment vertical="center"/>
    </xf>
    <xf numFmtId="57" fontId="4" fillId="0" borderId="0" xfId="0" applyNumberFormat="1" applyFont="1" applyAlignment="1">
      <alignment vertical="center" shrinkToFit="1"/>
    </xf>
    <xf numFmtId="57" fontId="4" fillId="0" borderId="11" xfId="0" applyNumberFormat="1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5" fillId="4" borderId="11" xfId="0" applyNumberFormat="1" applyFont="1" applyFill="1" applyBorder="1" applyAlignment="1">
      <alignment vertical="center"/>
    </xf>
    <xf numFmtId="0" fontId="4" fillId="12" borderId="11" xfId="0" applyFont="1" applyFill="1" applyBorder="1" applyAlignment="1">
      <alignment vertical="center" shrinkToFit="1"/>
    </xf>
    <xf numFmtId="0" fontId="4" fillId="13" borderId="11" xfId="0" applyFont="1" applyFill="1" applyBorder="1" applyAlignment="1">
      <alignment vertical="center" shrinkToFit="1"/>
    </xf>
    <xf numFmtId="57" fontId="4" fillId="0" borderId="11" xfId="0" quotePrefix="1" applyNumberFormat="1" applyFont="1" applyBorder="1" applyAlignment="1">
      <alignment vertical="center" shrinkToFit="1"/>
    </xf>
    <xf numFmtId="57" fontId="4" fillId="0" borderId="11" xfId="0" applyNumberFormat="1" applyFont="1" applyFill="1" applyBorder="1" applyAlignment="1">
      <alignment horizontal="center" vertical="center" shrinkToFit="1"/>
    </xf>
    <xf numFmtId="0" fontId="4" fillId="0" borderId="11" xfId="0" quotePrefix="1" applyFont="1" applyBorder="1" applyAlignment="1">
      <alignment horizontal="center" vertical="top" wrapText="1"/>
    </xf>
    <xf numFmtId="0" fontId="4" fillId="0" borderId="11" xfId="0" quotePrefix="1" applyFont="1" applyBorder="1" applyAlignment="1">
      <alignment horizontal="left" vertical="top" wrapText="1"/>
    </xf>
    <xf numFmtId="0" fontId="4" fillId="6" borderId="11" xfId="0" quotePrefix="1" applyFont="1" applyFill="1" applyBorder="1" applyAlignment="1">
      <alignment horizontal="left" vertical="top" wrapText="1"/>
    </xf>
    <xf numFmtId="0" fontId="4" fillId="2" borderId="11" xfId="0" quotePrefix="1" applyFont="1" applyFill="1" applyBorder="1" applyAlignment="1">
      <alignment horizontal="left" vertical="top" wrapText="1"/>
    </xf>
    <xf numFmtId="0" fontId="8" fillId="2" borderId="11" xfId="0" quotePrefix="1" applyFont="1" applyFill="1" applyBorder="1" applyAlignment="1">
      <alignment horizontal="left" vertical="top" wrapText="1"/>
    </xf>
    <xf numFmtId="0" fontId="4" fillId="0" borderId="11" xfId="0" quotePrefix="1" applyFont="1" applyBorder="1" applyAlignment="1">
      <alignment horizontal="left" vertical="top"/>
    </xf>
    <xf numFmtId="0" fontId="4" fillId="0" borderId="11" xfId="0" applyFont="1" applyBorder="1" applyAlignment="1">
      <alignment vertical="top"/>
    </xf>
    <xf numFmtId="0" fontId="4" fillId="0" borderId="0" xfId="0" applyFont="1" applyAlignment="1">
      <alignment vertical="top"/>
    </xf>
    <xf numFmtId="0" fontId="8" fillId="0" borderId="11" xfId="0" quotePrefix="1" applyFont="1" applyBorder="1" applyAlignment="1">
      <alignment horizontal="left" vertical="top" wrapText="1"/>
    </xf>
    <xf numFmtId="0" fontId="25" fillId="0" borderId="11" xfId="0" quotePrefix="1" applyFont="1" applyBorder="1" applyAlignment="1">
      <alignment horizontal="left" vertical="top" wrapText="1"/>
    </xf>
    <xf numFmtId="0" fontId="11" fillId="6" borderId="11" xfId="0" quotePrefix="1" applyFont="1" applyFill="1" applyBorder="1" applyAlignment="1">
      <alignment horizontal="left" vertical="top" wrapText="1"/>
    </xf>
    <xf numFmtId="0" fontId="11" fillId="2" borderId="11" xfId="0" quotePrefix="1" applyFont="1" applyFill="1" applyBorder="1" applyAlignment="1">
      <alignment horizontal="left" vertical="top" wrapText="1"/>
    </xf>
    <xf numFmtId="0" fontId="25" fillId="2" borderId="11" xfId="0" quotePrefix="1" applyFont="1" applyFill="1" applyBorder="1" applyAlignment="1">
      <alignment horizontal="left" vertical="top" wrapText="1"/>
    </xf>
    <xf numFmtId="0" fontId="11" fillId="0" borderId="11" xfId="0" quotePrefix="1" applyFont="1" applyBorder="1" applyAlignment="1">
      <alignment horizontal="left" vertical="top" wrapText="1"/>
    </xf>
    <xf numFmtId="0" fontId="4" fillId="11" borderId="11" xfId="0" applyFont="1" applyFill="1" applyBorder="1" applyAlignment="1">
      <alignment vertical="top" wrapText="1"/>
    </xf>
    <xf numFmtId="0" fontId="4" fillId="0" borderId="11" xfId="0" applyFont="1" applyFill="1" applyBorder="1">
      <alignment vertical="center"/>
    </xf>
    <xf numFmtId="0" fontId="29" fillId="0" borderId="12" xfId="1" applyNumberFormat="1" applyFont="1" applyFill="1" applyBorder="1" applyAlignment="1">
      <alignment vertical="center"/>
    </xf>
    <xf numFmtId="0" fontId="45" fillId="0" borderId="0" xfId="1" applyFont="1" applyFill="1" applyBorder="1" applyAlignment="1">
      <alignment vertical="center"/>
    </xf>
    <xf numFmtId="57" fontId="45" fillId="0" borderId="0" xfId="1" applyNumberFormat="1" applyFont="1" applyFill="1" applyBorder="1" applyAlignment="1">
      <alignment vertical="center" shrinkToFit="1"/>
    </xf>
    <xf numFmtId="182" fontId="4" fillId="0" borderId="11" xfId="0" applyNumberFormat="1" applyFont="1" applyFill="1" applyBorder="1" applyAlignment="1">
      <alignment horizontal="center" vertical="center" shrinkToFit="1"/>
    </xf>
    <xf numFmtId="57" fontId="4" fillId="0" borderId="0" xfId="0" applyNumberFormat="1" applyFont="1" applyFill="1" applyBorder="1" applyAlignment="1">
      <alignment horizontal="center" vertical="center" shrinkToFit="1"/>
    </xf>
    <xf numFmtId="182" fontId="4" fillId="4" borderId="11" xfId="0" applyNumberFormat="1" applyFont="1" applyFill="1" applyBorder="1" applyAlignment="1">
      <alignment horizontal="center" vertical="center" shrinkToFit="1"/>
    </xf>
    <xf numFmtId="0" fontId="4" fillId="4" borderId="11" xfId="0" applyFont="1" applyFill="1" applyBorder="1" applyAlignment="1">
      <alignment horizontal="center" vertical="center"/>
    </xf>
    <xf numFmtId="0" fontId="4" fillId="4" borderId="11" xfId="0" applyFont="1" applyFill="1" applyBorder="1">
      <alignment vertical="center"/>
    </xf>
    <xf numFmtId="0" fontId="4" fillId="4" borderId="11" xfId="0" applyFont="1" applyFill="1" applyBorder="1" applyAlignment="1">
      <alignment vertical="center" shrinkToFit="1"/>
    </xf>
    <xf numFmtId="0" fontId="4" fillId="2" borderId="11" xfId="0" applyNumberFormat="1" applyFont="1" applyFill="1" applyBorder="1" applyAlignment="1">
      <alignment vertical="center" shrinkToFit="1"/>
    </xf>
    <xf numFmtId="0" fontId="8" fillId="0" borderId="11" xfId="0" applyNumberFormat="1" applyFont="1" applyFill="1" applyBorder="1" applyAlignment="1">
      <alignment vertical="center" shrinkToFit="1"/>
    </xf>
    <xf numFmtId="1" fontId="4" fillId="2" borderId="17" xfId="0" applyNumberFormat="1" applyFont="1" applyFill="1" applyBorder="1" applyAlignment="1">
      <alignment horizontal="center" vertical="center" shrinkToFit="1"/>
    </xf>
    <xf numFmtId="0" fontId="4" fillId="0" borderId="94" xfId="0" applyFont="1" applyBorder="1" applyAlignment="1">
      <alignment vertical="top" wrapText="1"/>
    </xf>
    <xf numFmtId="0" fontId="4" fillId="0" borderId="94" xfId="0" applyFont="1" applyBorder="1" applyAlignment="1">
      <alignment vertical="center"/>
    </xf>
    <xf numFmtId="0" fontId="4" fillId="2" borderId="94" xfId="0" applyFont="1" applyFill="1" applyBorder="1" applyAlignment="1">
      <alignment vertical="center"/>
    </xf>
    <xf numFmtId="0" fontId="4" fillId="0" borderId="94" xfId="0" applyFont="1" applyBorder="1" applyAlignment="1">
      <alignment vertical="center" shrinkToFit="1"/>
    </xf>
    <xf numFmtId="0" fontId="4" fillId="0" borderId="0" xfId="0" applyFont="1" applyBorder="1" applyAlignment="1">
      <alignment vertical="center" shrinkToFit="1"/>
    </xf>
    <xf numFmtId="0" fontId="4" fillId="2" borderId="94" xfId="0" applyFont="1" applyFill="1" applyBorder="1" applyAlignment="1">
      <alignment vertical="center" shrinkToFit="1"/>
    </xf>
    <xf numFmtId="1" fontId="4" fillId="2" borderId="94" xfId="0" applyNumberFormat="1" applyFont="1" applyFill="1" applyBorder="1" applyAlignment="1">
      <alignment vertical="center" shrinkToFit="1"/>
    </xf>
    <xf numFmtId="0" fontId="24" fillId="3" borderId="0" xfId="0" applyFont="1" applyFill="1" applyAlignment="1">
      <alignment vertical="center"/>
    </xf>
    <xf numFmtId="0" fontId="4" fillId="0" borderId="39" xfId="0" applyFont="1" applyBorder="1" applyAlignment="1">
      <alignment vertical="center"/>
    </xf>
    <xf numFmtId="0" fontId="24" fillId="3" borderId="15" xfId="0" applyFont="1" applyFill="1" applyBorder="1" applyAlignment="1">
      <alignment vertical="center"/>
    </xf>
    <xf numFmtId="0" fontId="24" fillId="0" borderId="15" xfId="0" applyFont="1" applyBorder="1" applyAlignment="1">
      <alignment vertical="center"/>
    </xf>
    <xf numFmtId="0" fontId="4" fillId="0" borderId="48" xfId="0" applyFont="1" applyBorder="1" applyAlignment="1">
      <alignment vertical="center"/>
    </xf>
    <xf numFmtId="0" fontId="8" fillId="0" borderId="33" xfId="0" applyFont="1" applyFill="1" applyBorder="1" applyAlignment="1">
      <alignment horizontal="right" vertical="center" wrapText="1"/>
    </xf>
    <xf numFmtId="0" fontId="24" fillId="0" borderId="0" xfId="0" applyFont="1" applyFill="1" applyBorder="1" applyAlignment="1">
      <alignment horizontal="right" vertical="center" wrapText="1"/>
    </xf>
    <xf numFmtId="0" fontId="4" fillId="0" borderId="54" xfId="0" applyFont="1" applyBorder="1" applyAlignment="1">
      <alignment vertical="center"/>
    </xf>
    <xf numFmtId="0" fontId="24" fillId="3" borderId="53" xfId="0" applyFont="1" applyFill="1" applyBorder="1" applyAlignment="1">
      <alignment vertical="center"/>
    </xf>
    <xf numFmtId="0" fontId="24" fillId="0" borderId="53" xfId="0" applyFont="1" applyBorder="1" applyAlignment="1">
      <alignment vertical="center"/>
    </xf>
    <xf numFmtId="0" fontId="4" fillId="0" borderId="57" xfId="0" applyFont="1" applyBorder="1" applyAlignment="1">
      <alignment vertical="center"/>
    </xf>
    <xf numFmtId="0" fontId="39" fillId="0" borderId="87" xfId="0" applyNumberFormat="1" applyFont="1" applyFill="1" applyBorder="1" applyAlignment="1">
      <alignment vertical="center"/>
    </xf>
    <xf numFmtId="0" fontId="39" fillId="0" borderId="89" xfId="0" applyNumberFormat="1" applyFont="1" applyFill="1" applyBorder="1" applyAlignment="1">
      <alignment vertical="center"/>
    </xf>
    <xf numFmtId="0" fontId="8" fillId="0" borderId="4" xfId="0" applyFont="1" applyFill="1" applyBorder="1" applyAlignment="1">
      <alignment horizontal="right" vertical="center" wrapText="1"/>
    </xf>
    <xf numFmtId="1" fontId="8" fillId="2" borderId="11" xfId="0" applyNumberFormat="1" applyFont="1" applyFill="1" applyBorder="1" applyAlignment="1">
      <alignment vertical="center" shrinkToFit="1"/>
    </xf>
    <xf numFmtId="0" fontId="25" fillId="0" borderId="11" xfId="0" applyFont="1" applyBorder="1" applyAlignment="1">
      <alignment vertical="top" wrapText="1"/>
    </xf>
    <xf numFmtId="180" fontId="4" fillId="2" borderId="94" xfId="0" applyNumberFormat="1" applyFont="1" applyFill="1" applyBorder="1" applyAlignment="1">
      <alignment vertical="center" shrinkToFit="1"/>
    </xf>
    <xf numFmtId="0" fontId="0" fillId="0" borderId="0" xfId="0" applyAlignment="1">
      <alignment vertical="top"/>
    </xf>
    <xf numFmtId="178" fontId="4" fillId="0" borderId="0" xfId="0" applyNumberFormat="1" applyFont="1" applyAlignment="1">
      <alignment vertical="center" shrinkToFit="1"/>
    </xf>
    <xf numFmtId="2" fontId="4" fillId="3" borderId="11" xfId="0" applyNumberFormat="1" applyFont="1" applyFill="1" applyBorder="1" applyAlignment="1">
      <alignment vertical="center" shrinkToFit="1"/>
    </xf>
    <xf numFmtId="180" fontId="12" fillId="8" borderId="11" xfId="0" applyNumberFormat="1" applyFont="1" applyFill="1" applyBorder="1" applyAlignment="1">
      <alignment vertical="center" shrinkToFit="1"/>
    </xf>
    <xf numFmtId="1" fontId="12" fillId="2" borderId="94" xfId="3" applyNumberFormat="1" applyFont="1" applyFill="1" applyBorder="1" applyAlignment="1">
      <alignment vertical="center" shrinkToFit="1"/>
    </xf>
    <xf numFmtId="1" fontId="12" fillId="2" borderId="14" xfId="3" applyNumberFormat="1" applyFont="1" applyFill="1" applyBorder="1" applyAlignment="1">
      <alignment vertical="center" shrinkToFit="1"/>
    </xf>
    <xf numFmtId="0" fontId="12" fillId="3" borderId="11" xfId="2" applyFont="1" applyFill="1" applyBorder="1" applyAlignment="1">
      <alignment vertical="center" shrinkToFit="1"/>
    </xf>
    <xf numFmtId="180" fontId="12" fillId="3" borderId="11" xfId="2" applyNumberFormat="1" applyFont="1" applyFill="1" applyBorder="1" applyAlignment="1">
      <alignment vertical="center" shrinkToFit="1"/>
    </xf>
    <xf numFmtId="1" fontId="12" fillId="3" borderId="46" xfId="2" applyNumberFormat="1" applyFont="1" applyFill="1" applyBorder="1" applyAlignment="1">
      <alignment vertical="center" shrinkToFit="1"/>
    </xf>
    <xf numFmtId="1" fontId="12" fillId="3" borderId="11" xfId="2" applyNumberFormat="1" applyFont="1" applyFill="1" applyBorder="1" applyAlignment="1">
      <alignment vertical="center" shrinkToFit="1"/>
    </xf>
    <xf numFmtId="0" fontId="4" fillId="0" borderId="0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center" vertical="center" textRotation="90" wrapText="1"/>
    </xf>
    <xf numFmtId="0" fontId="0" fillId="0" borderId="29" xfId="0" applyBorder="1" applyAlignment="1">
      <alignment horizontal="center" vertical="center" textRotation="90" wrapText="1"/>
    </xf>
    <xf numFmtId="0" fontId="21" fillId="2" borderId="1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21" fillId="2" borderId="16" xfId="0" applyFont="1" applyFill="1" applyBorder="1" applyAlignment="1">
      <alignment horizontal="center" vertical="center" wrapText="1"/>
    </xf>
    <xf numFmtId="0" fontId="21" fillId="2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5" fillId="0" borderId="15" xfId="0" applyFont="1" applyFill="1" applyBorder="1" applyAlignment="1">
      <alignment vertical="top" wrapText="1"/>
    </xf>
    <xf numFmtId="0" fontId="26" fillId="0" borderId="16" xfId="0" applyFont="1" applyBorder="1" applyAlignment="1">
      <alignment vertical="top" wrapText="1"/>
    </xf>
    <xf numFmtId="0" fontId="26" fillId="0" borderId="17" xfId="0" applyFont="1" applyBorder="1" applyAlignment="1">
      <alignment vertical="top" wrapText="1"/>
    </xf>
    <xf numFmtId="2" fontId="17" fillId="0" borderId="25" xfId="0" applyNumberFormat="1" applyFont="1" applyFill="1" applyBorder="1" applyAlignment="1">
      <alignment horizontal="center" vertical="center" shrinkToFit="1"/>
    </xf>
    <xf numFmtId="2" fontId="0" fillId="0" borderId="26" xfId="0" applyNumberFormat="1" applyFont="1" applyBorder="1" applyAlignment="1">
      <alignment horizontal="center" vertical="center" shrinkToFit="1"/>
    </xf>
    <xf numFmtId="2" fontId="0" fillId="0" borderId="27" xfId="0" applyNumberFormat="1" applyFont="1" applyBorder="1" applyAlignment="1">
      <alignment horizontal="center" vertical="center" shrinkToFit="1"/>
    </xf>
    <xf numFmtId="2" fontId="0" fillId="0" borderId="28" xfId="0" applyNumberFormat="1" applyFont="1" applyBorder="1" applyAlignment="1">
      <alignment horizontal="center" vertical="center" shrinkToFit="1"/>
    </xf>
    <xf numFmtId="0" fontId="11" fillId="2" borderId="14" xfId="0" applyFont="1" applyFill="1" applyBorder="1" applyAlignment="1">
      <alignment horizontal="center" vertical="center" wrapText="1"/>
    </xf>
    <xf numFmtId="0" fontId="20" fillId="2" borderId="14" xfId="0" applyFont="1" applyFill="1" applyBorder="1" applyAlignment="1">
      <alignment horizontal="center" vertical="center" wrapText="1"/>
    </xf>
    <xf numFmtId="0" fontId="21" fillId="2" borderId="20" xfId="0" applyFont="1" applyFill="1" applyBorder="1" applyAlignment="1">
      <alignment horizontal="center" vertical="center" wrapText="1"/>
    </xf>
    <xf numFmtId="0" fontId="21" fillId="2" borderId="21" xfId="0" applyFont="1" applyFill="1" applyBorder="1" applyAlignment="1">
      <alignment horizontal="center" vertical="center" wrapText="1"/>
    </xf>
    <xf numFmtId="0" fontId="21" fillId="2" borderId="22" xfId="0" applyFont="1" applyFill="1" applyBorder="1" applyAlignment="1">
      <alignment horizontal="center" vertical="center" wrapText="1"/>
    </xf>
    <xf numFmtId="57" fontId="18" fillId="0" borderId="0" xfId="0" applyNumberFormat="1" applyFont="1" applyFill="1" applyBorder="1" applyAlignment="1">
      <alignment textRotation="90" wrapText="1"/>
    </xf>
    <xf numFmtId="0" fontId="37" fillId="0" borderId="0" xfId="0" applyFont="1" applyAlignment="1">
      <alignment wrapText="1"/>
    </xf>
    <xf numFmtId="0" fontId="37" fillId="0" borderId="0" xfId="0" applyFont="1" applyAlignment="1">
      <alignment textRotation="90" wrapText="1"/>
    </xf>
    <xf numFmtId="0" fontId="37" fillId="0" borderId="29" xfId="0" applyFont="1" applyBorder="1" applyAlignment="1">
      <alignment textRotation="90" wrapText="1"/>
    </xf>
    <xf numFmtId="0" fontId="37" fillId="0" borderId="29" xfId="0" applyFont="1" applyBorder="1" applyAlignment="1">
      <alignment wrapText="1"/>
    </xf>
    <xf numFmtId="57" fontId="4" fillId="0" borderId="0" xfId="0" applyNumberFormat="1" applyFont="1" applyFill="1" applyBorder="1" applyAlignment="1">
      <alignment textRotation="90" wrapText="1"/>
    </xf>
    <xf numFmtId="0" fontId="0" fillId="0" borderId="0" xfId="0" applyAlignment="1">
      <alignment wrapText="1"/>
    </xf>
    <xf numFmtId="0" fontId="0" fillId="0" borderId="0" xfId="0" applyAlignment="1">
      <alignment textRotation="90" wrapText="1"/>
    </xf>
    <xf numFmtId="0" fontId="0" fillId="0" borderId="29" xfId="0" applyBorder="1" applyAlignment="1">
      <alignment textRotation="90" wrapText="1"/>
    </xf>
    <xf numFmtId="0" fontId="0" fillId="0" borderId="29" xfId="0" applyBorder="1" applyAlignment="1">
      <alignment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176" fontId="24" fillId="0" borderId="29" xfId="0" applyNumberFormat="1" applyFont="1" applyFill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8" fillId="0" borderId="40" xfId="0" applyFont="1" applyFill="1" applyBorder="1" applyAlignment="1">
      <alignment vertical="top" wrapText="1"/>
    </xf>
    <xf numFmtId="0" fontId="0" fillId="0" borderId="40" xfId="0" applyBorder="1" applyAlignment="1">
      <alignment vertical="top" wrapText="1"/>
    </xf>
    <xf numFmtId="0" fontId="39" fillId="0" borderId="59" xfId="0" applyNumberFormat="1" applyFont="1" applyFill="1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69" xfId="0" applyBorder="1" applyAlignment="1">
      <alignment horizontal="center" vertical="center" wrapText="1"/>
    </xf>
    <xf numFmtId="0" fontId="42" fillId="0" borderId="61" xfId="0" applyNumberFormat="1" applyFont="1" applyFill="1" applyBorder="1" applyAlignment="1">
      <alignment horizontal="left" vertical="center" wrapText="1"/>
    </xf>
    <xf numFmtId="0" fontId="21" fillId="0" borderId="0" xfId="0" applyFont="1" applyAlignment="1">
      <alignment vertical="center" wrapText="1"/>
    </xf>
    <xf numFmtId="0" fontId="21" fillId="0" borderId="70" xfId="0" applyFont="1" applyBorder="1" applyAlignment="1">
      <alignment vertical="center" wrapText="1"/>
    </xf>
    <xf numFmtId="0" fontId="39" fillId="0" borderId="2" xfId="0" applyNumberFormat="1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vertical="center" wrapText="1"/>
    </xf>
    <xf numFmtId="0" fontId="21" fillId="0" borderId="70" xfId="0" applyFont="1" applyFill="1" applyBorder="1" applyAlignment="1">
      <alignment vertical="center" wrapText="1"/>
    </xf>
    <xf numFmtId="0" fontId="22" fillId="0" borderId="15" xfId="2" applyFont="1" applyFill="1" applyBorder="1" applyAlignment="1">
      <alignment horizontal="center" vertical="center" wrapText="1"/>
    </xf>
    <xf numFmtId="0" fontId="22" fillId="0" borderId="16" xfId="2" applyFont="1" applyFill="1" applyBorder="1" applyAlignment="1">
      <alignment horizontal="center" vertical="center" wrapText="1"/>
    </xf>
    <xf numFmtId="0" fontId="22" fillId="0" borderId="17" xfId="2" applyFont="1" applyFill="1" applyBorder="1" applyAlignment="1">
      <alignment horizontal="center" vertical="center" wrapText="1"/>
    </xf>
    <xf numFmtId="0" fontId="14" fillId="0" borderId="39" xfId="2" applyFont="1" applyFill="1" applyBorder="1" applyAlignment="1">
      <alignment horizontal="center" vertical="top" textRotation="180" wrapText="1"/>
    </xf>
    <xf numFmtId="0" fontId="14" fillId="0" borderId="43" xfId="2" applyFont="1" applyFill="1" applyBorder="1" applyAlignment="1">
      <alignment horizontal="center" vertical="top" textRotation="180" wrapText="1"/>
    </xf>
    <xf numFmtId="0" fontId="14" fillId="0" borderId="37" xfId="2" applyFont="1" applyFill="1" applyBorder="1" applyAlignment="1">
      <alignment horizontal="center" vertical="center" wrapText="1"/>
    </xf>
    <xf numFmtId="0" fontId="2" fillId="0" borderId="41" xfId="2" applyFill="1" applyBorder="1" applyAlignment="1">
      <alignment horizontal="center" vertical="center" wrapText="1"/>
    </xf>
    <xf numFmtId="0" fontId="2" fillId="0" borderId="45" xfId="2" applyFill="1" applyBorder="1" applyAlignment="1">
      <alignment horizontal="center" vertical="center" wrapText="1"/>
    </xf>
    <xf numFmtId="0" fontId="22" fillId="0" borderId="38" xfId="2" applyFont="1" applyFill="1" applyBorder="1" applyAlignment="1">
      <alignment horizontal="center" vertical="center" wrapText="1"/>
    </xf>
    <xf numFmtId="0" fontId="22" fillId="0" borderId="42" xfId="2" applyFont="1" applyFill="1" applyBorder="1" applyAlignment="1">
      <alignment horizontal="center" vertical="center" wrapText="1"/>
    </xf>
    <xf numFmtId="0" fontId="22" fillId="0" borderId="44" xfId="2" applyFont="1" applyFill="1" applyBorder="1" applyAlignment="1">
      <alignment horizontal="center" vertical="center" wrapText="1"/>
    </xf>
    <xf numFmtId="0" fontId="28" fillId="0" borderId="15" xfId="2" applyFont="1" applyFill="1" applyBorder="1" applyAlignment="1">
      <alignment horizontal="center" vertical="center" wrapText="1"/>
    </xf>
    <xf numFmtId="0" fontId="28" fillId="0" borderId="16" xfId="2" applyFont="1" applyFill="1" applyBorder="1" applyAlignment="1">
      <alignment horizontal="center" vertical="center" wrapText="1"/>
    </xf>
    <xf numFmtId="0" fontId="28" fillId="0" borderId="17" xfId="2" applyFont="1" applyFill="1" applyBorder="1" applyAlignment="1">
      <alignment horizontal="center" vertical="center" wrapText="1"/>
    </xf>
    <xf numFmtId="0" fontId="28" fillId="0" borderId="15" xfId="2" applyFont="1" applyFill="1" applyBorder="1" applyAlignment="1">
      <alignment horizontal="center" vertical="top" textRotation="180" wrapText="1"/>
    </xf>
    <xf numFmtId="0" fontId="28" fillId="0" borderId="16" xfId="2" applyFont="1" applyFill="1" applyBorder="1" applyAlignment="1">
      <alignment horizontal="center" vertical="top" textRotation="180" wrapText="1"/>
    </xf>
    <xf numFmtId="0" fontId="28" fillId="0" borderId="39" xfId="2" applyFont="1" applyFill="1" applyBorder="1" applyAlignment="1">
      <alignment horizontal="center" vertical="top" textRotation="180" wrapText="1"/>
    </xf>
    <xf numFmtId="0" fontId="28" fillId="0" borderId="43" xfId="2" applyFont="1" applyFill="1" applyBorder="1" applyAlignment="1">
      <alignment horizontal="center" vertical="top" textRotation="180" wrapText="1"/>
    </xf>
    <xf numFmtId="0" fontId="22" fillId="0" borderId="37" xfId="2" applyFont="1" applyFill="1" applyBorder="1" applyAlignment="1">
      <alignment horizontal="center" vertical="top" textRotation="180" wrapText="1"/>
    </xf>
    <xf numFmtId="0" fontId="22" fillId="0" borderId="41" xfId="2" applyFont="1" applyFill="1" applyBorder="1" applyAlignment="1">
      <alignment horizontal="center" vertical="top" textRotation="180" wrapText="1"/>
    </xf>
    <xf numFmtId="0" fontId="28" fillId="0" borderId="38" xfId="2" applyFont="1" applyFill="1" applyBorder="1" applyAlignment="1">
      <alignment horizontal="center" vertical="top" textRotation="180" wrapText="1"/>
    </xf>
    <xf numFmtId="0" fontId="28" fillId="0" borderId="42" xfId="2" applyFont="1" applyFill="1" applyBorder="1" applyAlignment="1">
      <alignment horizontal="center" vertical="top" textRotation="180" wrapText="1"/>
    </xf>
    <xf numFmtId="0" fontId="22" fillId="0" borderId="15" xfId="2" applyFont="1" applyFill="1" applyBorder="1" applyAlignment="1">
      <alignment horizontal="center" vertical="top" textRotation="180" wrapText="1"/>
    </xf>
    <xf numFmtId="0" fontId="22" fillId="0" borderId="16" xfId="2" applyFont="1" applyFill="1" applyBorder="1" applyAlignment="1">
      <alignment horizontal="center" vertical="top" textRotation="180" wrapText="1"/>
    </xf>
    <xf numFmtId="0" fontId="14" fillId="0" borderId="15" xfId="2" applyFont="1" applyFill="1" applyBorder="1" applyAlignment="1">
      <alignment horizontal="center" vertical="top" textRotation="180" wrapText="1"/>
    </xf>
    <xf numFmtId="0" fontId="14" fillId="0" borderId="16" xfId="2" applyFont="1" applyFill="1" applyBorder="1" applyAlignment="1">
      <alignment horizontal="center" vertical="top" textRotation="180" wrapText="1"/>
    </xf>
    <xf numFmtId="0" fontId="32" fillId="0" borderId="15" xfId="2" applyFont="1" applyBorder="1" applyAlignment="1">
      <alignment horizontal="center" vertical="center" textRotation="180" wrapText="1"/>
    </xf>
    <xf numFmtId="0" fontId="32" fillId="0" borderId="16" xfId="2" applyFont="1" applyBorder="1" applyAlignment="1">
      <alignment horizontal="center" vertical="center" textRotation="180" wrapText="1"/>
    </xf>
    <xf numFmtId="0" fontId="32" fillId="0" borderId="37" xfId="2" applyFont="1" applyBorder="1" applyAlignment="1">
      <alignment horizontal="center" vertical="center" textRotation="180" wrapText="1"/>
    </xf>
    <xf numFmtId="0" fontId="2" fillId="0" borderId="41" xfId="2" applyBorder="1" applyAlignment="1">
      <alignment horizontal="center" vertical="center" textRotation="180" wrapText="1"/>
    </xf>
    <xf numFmtId="0" fontId="2" fillId="0" borderId="45" xfId="2" applyBorder="1" applyAlignment="1">
      <alignment horizontal="center" vertical="center" textRotation="180" wrapText="1"/>
    </xf>
    <xf numFmtId="0" fontId="14" fillId="0" borderId="40" xfId="2" applyFont="1" applyFill="1" applyBorder="1" applyAlignment="1">
      <alignment horizontal="center" vertical="top" textRotation="180" wrapText="1"/>
    </xf>
    <xf numFmtId="0" fontId="14" fillId="0" borderId="0" xfId="2" applyFont="1" applyFill="1" applyBorder="1" applyAlignment="1">
      <alignment horizontal="center" vertical="top" textRotation="180" wrapText="1"/>
    </xf>
    <xf numFmtId="0" fontId="2" fillId="0" borderId="16" xfId="2" applyBorder="1" applyAlignment="1">
      <alignment horizontal="center" vertical="center" textRotation="180" wrapText="1"/>
    </xf>
    <xf numFmtId="0" fontId="2" fillId="0" borderId="17" xfId="2" applyBorder="1" applyAlignment="1">
      <alignment horizontal="center" vertical="center" textRotation="180" wrapText="1"/>
    </xf>
  </cellXfs>
  <cellStyles count="4">
    <cellStyle name="ハイパーリンク" xfId="1" builtinId="8"/>
    <cellStyle name="標準" xfId="0" builtinId="0"/>
    <cellStyle name="標準 2" xfId="2"/>
    <cellStyle name="標準 2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FFFF"/>
      <rgbColor rgb="00000000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FFCC"/>
      <color rgb="FF3333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5211479829806541E-2"/>
          <c:y val="0.14434410818882362"/>
          <c:w val="0.85271569790650226"/>
          <c:h val="0.79203864855574269"/>
        </c:manualLayout>
      </c:layout>
      <c:barChart>
        <c:barDir val="col"/>
        <c:grouping val="stacked"/>
        <c:varyColors val="0"/>
        <c:ser>
          <c:idx val="0"/>
          <c:order val="4"/>
          <c:tx>
            <c:strRef>
              <c:f>まとめ!$AD$29</c:f>
              <c:strCache>
                <c:ptCount val="1"/>
                <c:pt idx="0">
                  <c:v>主灰と飛灰中の月間Cs集積量(MBq)</c:v>
                </c:pt>
              </c:strCache>
            </c:strRef>
          </c:tx>
          <c:spPr>
            <a:solidFill>
              <a:srgbClr val="FFFFCC"/>
            </a:solidFill>
            <a:ln w="0">
              <a:solidFill>
                <a:sysClr val="window" lastClr="FFFFFF">
                  <a:lumMod val="75000"/>
                </a:sysClr>
              </a:solidFill>
              <a:prstDash val="solid"/>
            </a:ln>
          </c:spPr>
          <c:invertIfNegative val="0"/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まとめ!$AD$32:$AD$119</c:f>
              <c:numCache>
                <c:formatCode>0</c:formatCode>
                <c:ptCount val="88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166.37744336414281</c:v>
                </c:pt>
                <c:pt idx="5">
                  <c:v>267.46547602666152</c:v>
                </c:pt>
                <c:pt idx="6">
                  <c:v>268.65504329961641</c:v>
                </c:pt>
                <c:pt idx="7">
                  <c:v>258.37487394015596</c:v>
                </c:pt>
                <c:pt idx="8">
                  <c:v>215.9804098244914</c:v>
                </c:pt>
                <c:pt idx="9">
                  <c:v>177.42822509822253</c:v>
                </c:pt>
                <c:pt idx="10">
                  <c:v>160.61756876027943</c:v>
                </c:pt>
                <c:pt idx="11">
                  <c:v>115.58406736796141</c:v>
                </c:pt>
                <c:pt idx="12">
                  <c:v>81.838460792093883</c:v>
                </c:pt>
                <c:pt idx="13">
                  <c:v>64.646520627270803</c:v>
                </c:pt>
                <c:pt idx="14">
                  <c:v>48.248028275865451</c:v>
                </c:pt>
                <c:pt idx="15">
                  <c:v>52.186658503393552</c:v>
                </c:pt>
                <c:pt idx="16">
                  <c:v>84.699016506945327</c:v>
                </c:pt>
                <c:pt idx="17">
                  <c:v>137.29413208609745</c:v>
                </c:pt>
                <c:pt idx="18">
                  <c:v>139.09711161916294</c:v>
                </c:pt>
                <c:pt idx="19">
                  <c:v>134.94281828437019</c:v>
                </c:pt>
                <c:pt idx="20">
                  <c:v>113.82987507355421</c:v>
                </c:pt>
                <c:pt idx="21">
                  <c:v>94.382290892130072</c:v>
                </c:pt>
                <c:pt idx="22">
                  <c:v>86.245254751776315</c:v>
                </c:pt>
                <c:pt idx="23">
                  <c:v>62.678376439201614</c:v>
                </c:pt>
                <c:pt idx="24">
                  <c:v>44.809212081780899</c:v>
                </c:pt>
                <c:pt idx="25">
                  <c:v>35.770369565211624</c:v>
                </c:pt>
                <c:pt idx="26">
                  <c:v>26.980223202051206</c:v>
                </c:pt>
                <c:pt idx="27">
                  <c:v>27.797866517572288</c:v>
                </c:pt>
                <c:pt idx="28">
                  <c:v>49.574499251231174</c:v>
                </c:pt>
                <c:pt idx="29">
                  <c:v>81.216806728534507</c:v>
                </c:pt>
                <c:pt idx="30">
                  <c:v>83.225455432606992</c:v>
                </c:pt>
                <c:pt idx="31">
                  <c:v>81.634926898656801</c:v>
                </c:pt>
                <c:pt idx="32">
                  <c:v>69.681585706746887</c:v>
                </c:pt>
                <c:pt idx="33">
                  <c:v>58.45668067850324</c:v>
                </c:pt>
                <c:pt idx="34">
                  <c:v>54.034723719907817</c:v>
                </c:pt>
                <c:pt idx="35">
                  <c:v>39.746793858067981</c:v>
                </c:pt>
                <c:pt idx="36">
                  <c:v>28.749831183222241</c:v>
                </c:pt>
                <c:pt idx="37">
                  <c:v>23.232703567145975</c:v>
                </c:pt>
                <c:pt idx="38">
                  <c:v>17.738296437007104</c:v>
                </c:pt>
                <c:pt idx="39">
                  <c:v>18.477289488030102</c:v>
                </c:pt>
                <c:pt idx="40">
                  <c:v>33.558802064494323</c:v>
                </c:pt>
                <c:pt idx="41">
                  <c:v>55.636683019335422</c:v>
                </c:pt>
                <c:pt idx="42">
                  <c:v>57.710784937651155</c:v>
                </c:pt>
                <c:pt idx="43">
                  <c:v>57.270254423877141</c:v>
                </c:pt>
                <c:pt idx="44">
                  <c:v>49.478805495490178</c:v>
                </c:pt>
                <c:pt idx="45">
                  <c:v>42.009641879037027</c:v>
                </c:pt>
                <c:pt idx="46">
                  <c:v>39.273883909188193</c:v>
                </c:pt>
                <c:pt idx="47">
                  <c:v>29.225247563578698</c:v>
                </c:pt>
                <c:pt idx="48">
                  <c:v>21.378404817862652</c:v>
                </c:pt>
                <c:pt idx="49">
                  <c:v>17.470492564357819</c:v>
                </c:pt>
                <c:pt idx="50">
                  <c:v>13.485255648136013</c:v>
                </c:pt>
                <c:pt idx="51">
                  <c:v>14.183355126689296</c:v>
                </c:pt>
                <c:pt idx="52">
                  <c:v>25.597930349179567</c:v>
                </c:pt>
                <c:pt idx="53">
                  <c:v>42.870276746468512</c:v>
                </c:pt>
                <c:pt idx="54">
                  <c:v>44.921294511485058</c:v>
                </c:pt>
                <c:pt idx="55">
                  <c:v>45.018782488437694</c:v>
                </c:pt>
                <c:pt idx="56">
                  <c:v>39.271642451302156</c:v>
                </c:pt>
                <c:pt idx="57">
                  <c:v>33.667078239564894</c:v>
                </c:pt>
                <c:pt idx="58">
                  <c:v>31.754783686242082</c:v>
                </c:pt>
                <c:pt idx="59">
                  <c:v>23.844816369614215</c:v>
                </c:pt>
                <c:pt idx="60">
                  <c:v>17.585979663867604</c:v>
                </c:pt>
                <c:pt idx="61">
                  <c:v>14.492169149942928</c:v>
                </c:pt>
                <c:pt idx="62">
                  <c:v>11.279287716613377</c:v>
                </c:pt>
                <c:pt idx="63">
                  <c:v>11.951002576412758</c:v>
                </c:pt>
                <c:pt idx="64">
                  <c:v>22.3127134838935</c:v>
                </c:pt>
                <c:pt idx="65">
                  <c:v>37.631561643043895</c:v>
                </c:pt>
                <c:pt idx="66">
                  <c:v>39.71917955174893</c:v>
                </c:pt>
                <c:pt idx="67">
                  <c:v>40.059645833837827</c:v>
                </c:pt>
                <c:pt idx="68">
                  <c:v>35.169247955337838</c:v>
                </c:pt>
                <c:pt idx="69">
                  <c:v>30.327628581146676</c:v>
                </c:pt>
                <c:pt idx="70">
                  <c:v>28.771988150904228</c:v>
                </c:pt>
                <c:pt idx="71">
                  <c:v>21.726124559141624</c:v>
                </c:pt>
                <c:pt idx="72">
                  <c:v>16.094390076720899</c:v>
                </c:pt>
                <c:pt idx="73">
                  <c:v>14.746510101259407</c:v>
                </c:pt>
                <c:pt idx="74">
                  <c:v>11.543495305806779</c:v>
                </c:pt>
                <c:pt idx="75">
                  <c:v>12.282933261726736</c:v>
                </c:pt>
                <c:pt idx="76">
                  <c:v>22.958280780964806</c:v>
                </c:pt>
                <c:pt idx="77">
                  <c:v>38.885430662276249</c:v>
                </c:pt>
                <c:pt idx="78">
                  <c:v>41.194710609850475</c:v>
                </c:pt>
                <c:pt idx="79">
                  <c:v>41.71230517399681</c:v>
                </c:pt>
                <c:pt idx="80">
                  <c:v>36.753155773268119</c:v>
                </c:pt>
                <c:pt idx="81">
                  <c:v>31.808722034697702</c:v>
                </c:pt>
                <c:pt idx="82">
                  <c:v>30.274637551490407</c:v>
                </c:pt>
                <c:pt idx="83">
                  <c:v>22.936422515432813</c:v>
                </c:pt>
                <c:pt idx="84">
                  <c:v>17.043301552418765</c:v>
                </c:pt>
                <c:pt idx="85">
                  <c:v>14.153796406269954</c:v>
                </c:pt>
                <c:pt idx="86">
                  <c:v>11.098620248752557</c:v>
                </c:pt>
                <c:pt idx="87">
                  <c:v>11.838197680864504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80010752"/>
        <c:axId val="280013440"/>
      </c:barChart>
      <c:barChart>
        <c:barDir val="col"/>
        <c:grouping val="clustered"/>
        <c:varyColors val="0"/>
        <c:ser>
          <c:idx val="1"/>
          <c:order val="5"/>
          <c:tx>
            <c:strRef>
              <c:f>まとめ!$AP$29</c:f>
              <c:strCache>
                <c:ptCount val="1"/>
                <c:pt idx="0">
                  <c:v>最終処分場での両Cs現在ストック量(MBq)</c:v>
                </c:pt>
              </c:strCache>
            </c:strRef>
          </c:tx>
          <c:spPr>
            <a:pattFill prst="pct25">
              <a:fgClr>
                <a:srgbClr val="F79646">
                  <a:lumMod val="60000"/>
                  <a:lumOff val="40000"/>
                </a:srgbClr>
              </a:fgClr>
              <a:bgClr>
                <a:sysClr val="window" lastClr="FFFFFF"/>
              </a:bgClr>
            </a:pattFill>
            <a:ln w="0">
              <a:solidFill>
                <a:srgbClr val="F79646">
                  <a:lumMod val="75000"/>
                </a:srgbClr>
              </a:solidFill>
              <a:prstDash val="solid"/>
            </a:ln>
          </c:spPr>
          <c:invertIfNegative val="0"/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まとめ!$AP$32:$AP$119</c:f>
              <c:numCache>
                <c:formatCode>0</c:formatCode>
                <c:ptCount val="88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86.766219085688036</c:v>
                </c:pt>
                <c:pt idx="5">
                  <c:v>141.23671461788928</c:v>
                </c:pt>
                <c:pt idx="6">
                  <c:v>143.68332968133066</c:v>
                </c:pt>
                <c:pt idx="7">
                  <c:v>139.87642112073826</c:v>
                </c:pt>
                <c:pt idx="8">
                  <c:v>118.38463868056184</c:v>
                </c:pt>
                <c:pt idx="9">
                  <c:v>98.450403557788547</c:v>
                </c:pt>
                <c:pt idx="10">
                  <c:v>90.169814199227361</c:v>
                </c:pt>
                <c:pt idx="11">
                  <c:v>65.665557703465964</c:v>
                </c:pt>
                <c:pt idx="12">
                  <c:v>47.025525259871088</c:v>
                </c:pt>
                <c:pt idx="13">
                  <c:v>37.579628839541229</c:v>
                </c:pt>
                <c:pt idx="14">
                  <c:v>28.369222536023322</c:v>
                </c:pt>
                <c:pt idx="15">
                  <c:v>30.998994287517114</c:v>
                </c:pt>
                <c:pt idx="16">
                  <c:v>50.873797386253749</c:v>
                </c:pt>
                <c:pt idx="17">
                  <c:v>83.34393832911617</c:v>
                </c:pt>
                <c:pt idx="18">
                  <c:v>85.355722937068506</c:v>
                </c:pt>
                <c:pt idx="19">
                  <c:v>83.664430266471001</c:v>
                </c:pt>
                <c:pt idx="20">
                  <c:v>71.319286195868273</c:v>
                </c:pt>
                <c:pt idx="21">
                  <c:v>59.749505317289497</c:v>
                </c:pt>
                <c:pt idx="22">
                  <c:v>55.139695532516875</c:v>
                </c:pt>
                <c:pt idx="23">
                  <c:v>40.477237649003769</c:v>
                </c:pt>
                <c:pt idx="24">
                  <c:v>29.216091122388256</c:v>
                </c:pt>
                <c:pt idx="25">
                  <c:v>23.551345250147872</c:v>
                </c:pt>
                <c:pt idx="26">
                  <c:v>17.93544141754499</c:v>
                </c:pt>
                <c:pt idx="27">
                  <c:v>18.63779380524204</c:v>
                </c:pt>
                <c:pt idx="28">
                  <c:v>33.550361276878895</c:v>
                </c:pt>
                <c:pt idx="29">
                  <c:v>55.456380847344285</c:v>
                </c:pt>
                <c:pt idx="30">
                  <c:v>57.345317602741531</c:v>
                </c:pt>
                <c:pt idx="31">
                  <c:v>56.737490594687721</c:v>
                </c:pt>
                <c:pt idx="32">
                  <c:v>48.85753194254066</c:v>
                </c:pt>
                <c:pt idx="33">
                  <c:v>41.343648904975176</c:v>
                </c:pt>
                <c:pt idx="34">
                  <c:v>38.532987986817062</c:v>
                </c:pt>
                <c:pt idx="35">
                  <c:v>28.583187120099588</c:v>
                </c:pt>
                <c:pt idx="36">
                  <c:v>20.841148972549167</c:v>
                </c:pt>
                <c:pt idx="37">
                  <c:v>16.979525045528376</c:v>
                </c:pt>
                <c:pt idx="38">
                  <c:v>13.06840826287223</c:v>
                </c:pt>
                <c:pt idx="39">
                  <c:v>13.710416699224899</c:v>
                </c:pt>
                <c:pt idx="40">
                  <c:v>25.095878617431637</c:v>
                </c:pt>
                <c:pt idx="41">
                  <c:v>41.916202669846683</c:v>
                </c:pt>
                <c:pt idx="42">
                  <c:v>43.80859819435176</c:v>
                </c:pt>
                <c:pt idx="43">
                  <c:v>43.788402289517379</c:v>
                </c:pt>
                <c:pt idx="44">
                  <c:v>38.109391358916447</c:v>
                </c:pt>
                <c:pt idx="45">
                  <c:v>32.590838169133086</c:v>
                </c:pt>
                <c:pt idx="46">
                  <c:v>30.678708163714223</c:v>
                </c:pt>
                <c:pt idx="47">
                  <c:v>22.989571252318811</c:v>
                </c:pt>
                <c:pt idx="48">
                  <c:v>16.929527943617096</c:v>
                </c:pt>
                <c:pt idx="49">
                  <c:v>13.929094396096513</c:v>
                </c:pt>
                <c:pt idx="50">
                  <c:v>10.823802403765296</c:v>
                </c:pt>
                <c:pt idx="51">
                  <c:v>11.454470681094572</c:v>
                </c:pt>
                <c:pt idx="52">
                  <c:v>20.807430646189491</c:v>
                </c:pt>
                <c:pt idx="53">
                  <c:v>35.063527689934361</c:v>
                </c:pt>
                <c:pt idx="54">
                  <c:v>36.973047361672037</c:v>
                </c:pt>
                <c:pt idx="55">
                  <c:v>37.276289156853124</c:v>
                </c:pt>
                <c:pt idx="56">
                  <c:v>32.716788499590258</c:v>
                </c:pt>
                <c:pt idx="57">
                  <c:v>28.216922497881868</c:v>
                </c:pt>
                <c:pt idx="58">
                  <c:v>26.767281216530638</c:v>
                </c:pt>
                <c:pt idx="59">
                  <c:v>20.217386201233293</c:v>
                </c:pt>
                <c:pt idx="60">
                  <c:v>14.993934604071207</c:v>
                </c:pt>
                <c:pt idx="61">
                  <c:v>12.426374978575197</c:v>
                </c:pt>
                <c:pt idx="62">
                  <c:v>9.7256411492181289</c:v>
                </c:pt>
                <c:pt idx="63">
                  <c:v>10.356210917975204</c:v>
                </c:pt>
                <c:pt idx="64">
                  <c:v>19.440475370987027</c:v>
                </c:pt>
                <c:pt idx="65">
                  <c:v>32.957613575094484</c:v>
                </c:pt>
                <c:pt idx="66">
                  <c:v>34.969907424519683</c:v>
                </c:pt>
                <c:pt idx="67">
                  <c:v>35.447574556334636</c:v>
                </c:pt>
                <c:pt idx="68">
                  <c:v>31.28012916142524</c:v>
                </c:pt>
                <c:pt idx="69">
                  <c:v>27.110533030207083</c:v>
                </c:pt>
                <c:pt idx="70">
                  <c:v>25.844199736376329</c:v>
                </c:pt>
                <c:pt idx="71">
                  <c:v>19.611406874143697</c:v>
                </c:pt>
                <c:pt idx="72">
                  <c:v>14.596101905369277</c:v>
                </c:pt>
                <c:pt idx="73">
                  <c:v>13.437746124240707</c:v>
                </c:pt>
                <c:pt idx="74">
                  <c:v>10.568674621864945</c:v>
                </c:pt>
                <c:pt idx="75">
                  <c:v>11.292992820192087</c:v>
                </c:pt>
                <c:pt idx="76">
                  <c:v>21.205044235510574</c:v>
                </c:pt>
                <c:pt idx="77">
                  <c:v>36.073602675662919</c:v>
                </c:pt>
                <c:pt idx="78">
                  <c:v>38.387000761163897</c:v>
                </c:pt>
                <c:pt idx="79">
                  <c:v>39.035498577273735</c:v>
                </c:pt>
                <c:pt idx="80">
                  <c:v>34.544566408413715</c:v>
                </c:pt>
                <c:pt idx="81">
                  <c:v>30.025899789271374</c:v>
                </c:pt>
                <c:pt idx="82">
                  <c:v>28.695258139287116</c:v>
                </c:pt>
                <c:pt idx="83">
                  <c:v>21.831027961449536</c:v>
                </c:pt>
                <c:pt idx="84">
                  <c:v>16.286911757311717</c:v>
                </c:pt>
                <c:pt idx="85">
                  <c:v>13.580942866714011</c:v>
                </c:pt>
                <c:pt idx="86">
                  <c:v>10.692410712340914</c:v>
                </c:pt>
                <c:pt idx="87">
                  <c:v>11.44600187926568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80029056"/>
        <c:axId val="280027520"/>
      </c:barChart>
      <c:lineChart>
        <c:grouping val="standard"/>
        <c:varyColors val="0"/>
        <c:ser>
          <c:idx val="2"/>
          <c:order val="0"/>
          <c:tx>
            <c:strRef>
              <c:f>まとめ!$Y$29</c:f>
              <c:strCache>
                <c:ptCount val="1"/>
                <c:pt idx="0">
                  <c:v>ごみ焼却量 (10t/月)</c:v>
                </c:pt>
              </c:strCache>
            </c:strRef>
          </c:tx>
          <c:spPr>
            <a:ln w="0">
              <a:solidFill>
                <a:srgbClr val="00B050"/>
              </a:solidFill>
            </a:ln>
          </c:spPr>
          <c:marker>
            <c:symbol val="circle"/>
            <c:size val="4"/>
            <c:spPr>
              <a:solidFill>
                <a:srgbClr val="33CC33"/>
              </a:solidFill>
              <a:ln w="0">
                <a:solidFill>
                  <a:srgbClr val="00B050"/>
                </a:solidFill>
              </a:ln>
            </c:spPr>
          </c:marker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まとめ!$Y$32:$Y$119</c:f>
              <c:numCache>
                <c:formatCode>0</c:formatCode>
                <c:ptCount val="88"/>
                <c:pt idx="1">
                  <c:v>353.9002817957533</c:v>
                </c:pt>
                <c:pt idx="2">
                  <c:v>302.82523176276641</c:v>
                </c:pt>
                <c:pt idx="3">
                  <c:v>367.12503610258153</c:v>
                </c:pt>
                <c:pt idx="4">
                  <c:v>369.34784954750478</c:v>
                </c:pt>
                <c:pt idx="5">
                  <c:v>415.00970327897119</c:v>
                </c:pt>
                <c:pt idx="6">
                  <c:v>407.26988539324145</c:v>
                </c:pt>
                <c:pt idx="7">
                  <c:v>433.30218747115367</c:v>
                </c:pt>
                <c:pt idx="8">
                  <c:v>439.38826246409036</c:v>
                </c:pt>
                <c:pt idx="9">
                  <c:v>407.42044439496033</c:v>
                </c:pt>
                <c:pt idx="10">
                  <c:v>419.20984610641688</c:v>
                </c:pt>
                <c:pt idx="11">
                  <c:v>379.19980617551744</c:v>
                </c:pt>
                <c:pt idx="12">
                  <c:v>380.5836918006064</c:v>
                </c:pt>
                <c:pt idx="13">
                  <c:v>348.71040336159768</c:v>
                </c:pt>
                <c:pt idx="14">
                  <c:v>298.38435895060292</c:v>
                </c:pt>
                <c:pt idx="15">
                  <c:v>361.74121923236214</c:v>
                </c:pt>
                <c:pt idx="16">
                  <c:v>358.74247457499411</c:v>
                </c:pt>
                <c:pt idx="17">
                  <c:v>403.09320362723093</c:v>
                </c:pt>
                <c:pt idx="18">
                  <c:v>395.57562521303902</c:v>
                </c:pt>
                <c:pt idx="19">
                  <c:v>420.86044134979267</c:v>
                </c:pt>
                <c:pt idx="20">
                  <c:v>426.77176209009184</c:v>
                </c:pt>
                <c:pt idx="21">
                  <c:v>395.7218610958588</c:v>
                </c:pt>
                <c:pt idx="22">
                  <c:v>407.17274445394003</c:v>
                </c:pt>
                <c:pt idx="23">
                  <c:v>368.31154423241526</c:v>
                </c:pt>
                <c:pt idx="24">
                  <c:v>369.65569326233759</c:v>
                </c:pt>
                <c:pt idx="25">
                  <c:v>338.69760759469142</c:v>
                </c:pt>
                <c:pt idx="26">
                  <c:v>289.81661443420671</c:v>
                </c:pt>
                <c:pt idx="27">
                  <c:v>351.35425941203982</c:v>
                </c:pt>
                <c:pt idx="28">
                  <c:v>357.14809883118357</c:v>
                </c:pt>
                <c:pt idx="29">
                  <c:v>401.30171789050706</c:v>
                </c:pt>
                <c:pt idx="30">
                  <c:v>393.81755019716718</c:v>
                </c:pt>
                <c:pt idx="31">
                  <c:v>418.98999185809964</c:v>
                </c:pt>
                <c:pt idx="32">
                  <c:v>424.87504064269194</c:v>
                </c:pt>
                <c:pt idx="33">
                  <c:v>393.96313615710085</c:v>
                </c:pt>
                <c:pt idx="34">
                  <c:v>405.36312782555717</c:v>
                </c:pt>
                <c:pt idx="35">
                  <c:v>366.67464023049786</c:v>
                </c:pt>
                <c:pt idx="36">
                  <c:v>368.01281539682373</c:v>
                </c:pt>
                <c:pt idx="37">
                  <c:v>337.19231817872418</c:v>
                </c:pt>
                <c:pt idx="38">
                  <c:v>288.52856907310309</c:v>
                </c:pt>
                <c:pt idx="39">
                  <c:v>349.79271945401081</c:v>
                </c:pt>
                <c:pt idx="40">
                  <c:v>357.72715071823916</c:v>
                </c:pt>
                <c:pt idx="41">
                  <c:v>401.95235698891918</c:v>
                </c:pt>
                <c:pt idx="42">
                  <c:v>394.45605505367786</c:v>
                </c:pt>
                <c:pt idx="43">
                  <c:v>419.66930933518216</c:v>
                </c:pt>
                <c:pt idx="44">
                  <c:v>425.56389967582726</c:v>
                </c:pt>
                <c:pt idx="45">
                  <c:v>394.60187705525675</c:v>
                </c:pt>
                <c:pt idx="46">
                  <c:v>406.02035177516888</c:v>
                </c:pt>
                <c:pt idx="47">
                  <c:v>367.26913770383106</c:v>
                </c:pt>
                <c:pt idx="48">
                  <c:v>368.60948248230886</c:v>
                </c:pt>
                <c:pt idx="49">
                  <c:v>337.73901532979687</c:v>
                </c:pt>
                <c:pt idx="50">
                  <c:v>288.9963666420611</c:v>
                </c:pt>
                <c:pt idx="51">
                  <c:v>350.35984590642931</c:v>
                </c:pt>
                <c:pt idx="52">
                  <c:v>352.22219168239587</c:v>
                </c:pt>
                <c:pt idx="53">
                  <c:v>395.76682912182287</c:v>
                </c:pt>
                <c:pt idx="54">
                  <c:v>388.38588559589141</c:v>
                </c:pt>
                <c:pt idx="55">
                  <c:v>413.21114044346598</c:v>
                </c:pt>
                <c:pt idx="56">
                  <c:v>419.01502064848626</c:v>
                </c:pt>
                <c:pt idx="57">
                  <c:v>388.5294635851173</c:v>
                </c:pt>
                <c:pt idx="58">
                  <c:v>399.77222271995652</c:v>
                </c:pt>
                <c:pt idx="59">
                  <c:v>361.61733980666361</c:v>
                </c:pt>
                <c:pt idx="60">
                  <c:v>362.93705840934058</c:v>
                </c:pt>
                <c:pt idx="61">
                  <c:v>332.54164789357179</c:v>
                </c:pt>
                <c:pt idx="62">
                  <c:v>284.54908564402149</c:v>
                </c:pt>
                <c:pt idx="63">
                  <c:v>344.96826018069726</c:v>
                </c:pt>
                <c:pt idx="64">
                  <c:v>356.09311388627418</c:v>
                </c:pt>
                <c:pt idx="65">
                  <c:v>400.11630693038626</c:v>
                </c:pt>
                <c:pt idx="66">
                  <c:v>392.65424682845594</c:v>
                </c:pt>
                <c:pt idx="67">
                  <c:v>417.75233124916849</c:v>
                </c:pt>
                <c:pt idx="68">
                  <c:v>423.61999610287012</c:v>
                </c:pt>
                <c:pt idx="69">
                  <c:v>392.79940273991281</c:v>
                </c:pt>
                <c:pt idx="70">
                  <c:v>404.16571980777155</c:v>
                </c:pt>
                <c:pt idx="71">
                  <c:v>365.59151469689084</c:v>
                </c:pt>
                <c:pt idx="72">
                  <c:v>366.92573700820014</c:v>
                </c:pt>
                <c:pt idx="73">
                  <c:v>336.19628090348226</c:v>
                </c:pt>
                <c:pt idx="74">
                  <c:v>287.67628035157674</c:v>
                </c:pt>
                <c:pt idx="75">
                  <c:v>348.75946167083737</c:v>
                </c:pt>
                <c:pt idx="76">
                  <c:v>358.80910520309362</c:v>
                </c:pt>
                <c:pt idx="77">
                  <c:v>403.16807168787011</c:v>
                </c:pt>
                <c:pt idx="78">
                  <c:v>395.64909700474715</c:v>
                </c:pt>
                <c:pt idx="79">
                  <c:v>420.93860938825145</c:v>
                </c:pt>
                <c:pt idx="80">
                  <c:v>426.85102806102805</c:v>
                </c:pt>
                <c:pt idx="81">
                  <c:v>395.79536004852332</c:v>
                </c:pt>
                <c:pt idx="82">
                  <c:v>407.24837022348436</c:v>
                </c:pt>
                <c:pt idx="83">
                  <c:v>368.37995216085363</c:v>
                </c:pt>
                <c:pt idx="84">
                  <c:v>369.72435084477695</c:v>
                </c:pt>
                <c:pt idx="85">
                  <c:v>338.76051521207512</c:v>
                </c:pt>
                <c:pt idx="86">
                  <c:v>289.87044319556628</c:v>
                </c:pt>
                <c:pt idx="87">
                  <c:v>351.41951779834551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まとめ!$AI$29</c:f>
              <c:strCache>
                <c:ptCount val="1"/>
                <c:pt idx="0">
                  <c:v>両Cs 1万から理論減衰</c:v>
                </c:pt>
              </c:strCache>
            </c:strRef>
          </c:tx>
          <c:spPr>
            <a:ln w="31750">
              <a:solidFill>
                <a:srgbClr val="C00000"/>
              </a:solidFill>
              <a:prstDash val="sysDot"/>
            </a:ln>
          </c:spPr>
          <c:marker>
            <c:symbol val="none"/>
          </c:marker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まとめ!$AI$32:$AI$119</c:f>
              <c:numCache>
                <c:formatCode>0</c:formatCode>
                <c:ptCount val="88"/>
                <c:pt idx="0">
                  <c:v>500</c:v>
                </c:pt>
                <c:pt idx="1">
                  <c:v>433.29116549052935</c:v>
                </c:pt>
                <c:pt idx="2">
                  <c:v>427.52067219718407</c:v>
                </c:pt>
                <c:pt idx="3">
                  <c:v>422.25813600945287</c:v>
                </c:pt>
                <c:pt idx="4">
                  <c:v>416.77372045812149</c:v>
                </c:pt>
                <c:pt idx="5">
                  <c:v>411.60124417554016</c:v>
                </c:pt>
                <c:pt idx="6">
                  <c:v>406.39201636038831</c:v>
                </c:pt>
                <c:pt idx="7">
                  <c:v>401.4785244660743</c:v>
                </c:pt>
                <c:pt idx="8">
                  <c:v>396.52955390761872</c:v>
                </c:pt>
                <c:pt idx="9">
                  <c:v>391.70738625505078</c:v>
                </c:pt>
                <c:pt idx="10">
                  <c:v>387.15816832398286</c:v>
                </c:pt>
                <c:pt idx="11">
                  <c:v>382.57526652963247</c:v>
                </c:pt>
                <c:pt idx="12">
                  <c:v>378.25123175678777</c:v>
                </c:pt>
                <c:pt idx="13">
                  <c:v>373.89462556200459</c:v>
                </c:pt>
                <c:pt idx="14">
                  <c:v>369.64827976490221</c:v>
                </c:pt>
                <c:pt idx="15">
                  <c:v>365.90508035884227</c:v>
                </c:pt>
                <c:pt idx="16">
                  <c:v>361.86015510669802</c:v>
                </c:pt>
                <c:pt idx="17">
                  <c:v>358.0424422060745</c:v>
                </c:pt>
                <c:pt idx="18">
                  <c:v>354.1946690220251</c:v>
                </c:pt>
                <c:pt idx="19">
                  <c:v>350.56251159019899</c:v>
                </c:pt>
                <c:pt idx="20">
                  <c:v>346.90121814628463</c:v>
                </c:pt>
                <c:pt idx="21">
                  <c:v>343.33079097889356</c:v>
                </c:pt>
                <c:pt idx="22">
                  <c:v>339.95967011770011</c:v>
                </c:pt>
                <c:pt idx="23">
                  <c:v>336.56071783319504</c:v>
                </c:pt>
                <c:pt idx="24">
                  <c:v>333.35099099280717</c:v>
                </c:pt>
                <c:pt idx="25">
                  <c:v>330.11424220670449</c:v>
                </c:pt>
                <c:pt idx="26">
                  <c:v>326.9565348029551</c:v>
                </c:pt>
                <c:pt idx="27">
                  <c:v>324.17051872962497</c:v>
                </c:pt>
                <c:pt idx="28">
                  <c:v>321.15721897314415</c:v>
                </c:pt>
                <c:pt idx="29">
                  <c:v>318.31048176580742</c:v>
                </c:pt>
                <c:pt idx="30">
                  <c:v>315.4385527756213</c:v>
                </c:pt>
                <c:pt idx="31">
                  <c:v>312.72488244897227</c:v>
                </c:pt>
                <c:pt idx="32">
                  <c:v>309.98669514428013</c:v>
                </c:pt>
                <c:pt idx="33">
                  <c:v>307.31368548044031</c:v>
                </c:pt>
                <c:pt idx="34">
                  <c:v>304.78725438549407</c:v>
                </c:pt>
                <c:pt idx="35">
                  <c:v>302.23726005937488</c:v>
                </c:pt>
                <c:pt idx="36">
                  <c:v>299.82662383410542</c:v>
                </c:pt>
                <c:pt idx="37">
                  <c:v>297.39301700504302</c:v>
                </c:pt>
                <c:pt idx="38">
                  <c:v>295.01613454839298</c:v>
                </c:pt>
                <c:pt idx="39">
                  <c:v>292.91671981771776</c:v>
                </c:pt>
                <c:pt idx="40">
                  <c:v>290.64348876899783</c:v>
                </c:pt>
                <c:pt idx="41">
                  <c:v>288.4933800565322</c:v>
                </c:pt>
                <c:pt idx="42">
                  <c:v>286.32164341656699</c:v>
                </c:pt>
                <c:pt idx="43">
                  <c:v>284.26707882124401</c:v>
                </c:pt>
                <c:pt idx="44">
                  <c:v>282.19138249063712</c:v>
                </c:pt>
                <c:pt idx="45">
                  <c:v>280.16249930163019</c:v>
                </c:pt>
                <c:pt idx="46">
                  <c:v>278.24241710465037</c:v>
                </c:pt>
                <c:pt idx="47">
                  <c:v>276.30190569342591</c:v>
                </c:pt>
                <c:pt idx="48">
                  <c:v>274.46501942754287</c:v>
                </c:pt>
                <c:pt idx="49">
                  <c:v>272.60814127546814</c:v>
                </c:pt>
                <c:pt idx="50">
                  <c:v>270.79203267353478</c:v>
                </c:pt>
                <c:pt idx="51">
                  <c:v>269.12900488734829</c:v>
                </c:pt>
                <c:pt idx="52">
                  <c:v>267.38863905910915</c:v>
                </c:pt>
                <c:pt idx="53">
                  <c:v>265.74018493739533</c:v>
                </c:pt>
                <c:pt idx="54">
                  <c:v>264.07273860299881</c:v>
                </c:pt>
                <c:pt idx="55">
                  <c:v>262.49293997866539</c:v>
                </c:pt>
                <c:pt idx="56">
                  <c:v>260.89451707103831</c:v>
                </c:pt>
                <c:pt idx="57">
                  <c:v>259.32974706214725</c:v>
                </c:pt>
                <c:pt idx="58">
                  <c:v>257.8466245961323</c:v>
                </c:pt>
                <c:pt idx="59">
                  <c:v>256.34539993096638</c:v>
                </c:pt>
                <c:pt idx="60">
                  <c:v>254.92211192910085</c:v>
                </c:pt>
                <c:pt idx="61">
                  <c:v>253.48104749622547</c:v>
                </c:pt>
                <c:pt idx="62">
                  <c:v>252.06931853168425</c:v>
                </c:pt>
                <c:pt idx="63">
                  <c:v>250.81875436990092</c:v>
                </c:pt>
                <c:pt idx="64">
                  <c:v>249.46065703821159</c:v>
                </c:pt>
                <c:pt idx="65">
                  <c:v>248.17214664282557</c:v>
                </c:pt>
                <c:pt idx="66">
                  <c:v>246.8666024014004</c:v>
                </c:pt>
                <c:pt idx="67">
                  <c:v>245.62758272994728</c:v>
                </c:pt>
                <c:pt idx="68">
                  <c:v>244.37180545992362</c:v>
                </c:pt>
                <c:pt idx="69">
                  <c:v>243.14030084142661</c:v>
                </c:pt>
                <c:pt idx="70">
                  <c:v>241.9710101184175</c:v>
                </c:pt>
                <c:pt idx="71">
                  <c:v>240.78535487596514</c:v>
                </c:pt>
                <c:pt idx="72">
                  <c:v>239.65924660684368</c:v>
                </c:pt>
                <c:pt idx="73">
                  <c:v>238.51701980627956</c:v>
                </c:pt>
                <c:pt idx="74">
                  <c:v>237.39597795668925</c:v>
                </c:pt>
                <c:pt idx="75">
                  <c:v>236.40115476205062</c:v>
                </c:pt>
                <c:pt idx="76">
                  <c:v>235.31885890558868</c:v>
                </c:pt>
                <c:pt idx="77">
                  <c:v>234.29010617011335</c:v>
                </c:pt>
                <c:pt idx="78">
                  <c:v>233.24579799299877</c:v>
                </c:pt>
                <c:pt idx="79">
                  <c:v>232.25282968975822</c:v>
                </c:pt>
                <c:pt idx="80">
                  <c:v>231.24451636655044</c:v>
                </c:pt>
                <c:pt idx="81">
                  <c:v>230.25376679520363</c:v>
                </c:pt>
                <c:pt idx="82">
                  <c:v>229.3112543777896</c:v>
                </c:pt>
                <c:pt idx="83">
                  <c:v>228.35369736808448</c:v>
                </c:pt>
                <c:pt idx="84">
                  <c:v>227.44245702095736</c:v>
                </c:pt>
                <c:pt idx="85">
                  <c:v>226.51636075258682</c:v>
                </c:pt>
                <c:pt idx="86">
                  <c:v>225.60561944427036</c:v>
                </c:pt>
                <c:pt idx="87">
                  <c:v>224.79587021168192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まとめ!$U$30:$U$31</c:f>
              <c:strCache>
                <c:ptCount val="1"/>
                <c:pt idx="0">
                  <c:v>ぱいじん(飛灰) 両Cs濃度 (Bq/kg)</c:v>
                </c:pt>
              </c:strCache>
            </c:strRef>
          </c:tx>
          <c:spPr>
            <a:ln w="0">
              <a:solidFill>
                <a:srgbClr val="3333FF"/>
              </a:solidFill>
              <a:prstDash val="solid"/>
            </a:ln>
          </c:spPr>
          <c:marker>
            <c:symbol val="plus"/>
            <c:size val="5"/>
            <c:spPr>
              <a:noFill/>
              <a:ln w="0">
                <a:solidFill>
                  <a:srgbClr val="3333FF"/>
                </a:solidFill>
              </a:ln>
            </c:spPr>
          </c:marker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まとめ!$U$32:$U$119</c:f>
              <c:numCache>
                <c:formatCode>0.0</c:formatCode>
                <c:ptCount val="88"/>
                <c:pt idx="4">
                  <c:v>632.10697287324172</c:v>
                </c:pt>
                <c:pt idx="5">
                  <c:v>904.3596778363742</c:v>
                </c:pt>
                <c:pt idx="6">
                  <c:v>925.64489177736812</c:v>
                </c:pt>
                <c:pt idx="7">
                  <c:v>836.74110772596396</c:v>
                </c:pt>
                <c:pt idx="8">
                  <c:v>689.75938629890038</c:v>
                </c:pt>
                <c:pt idx="9">
                  <c:v>611.09903712262371</c:v>
                </c:pt>
                <c:pt idx="10">
                  <c:v>537.64211732239892</c:v>
                </c:pt>
                <c:pt idx="11">
                  <c:v>427.72198718167937</c:v>
                </c:pt>
                <c:pt idx="12">
                  <c:v>301.74423921897494</c:v>
                </c:pt>
                <c:pt idx="13">
                  <c:v>260.14289003909659</c:v>
                </c:pt>
                <c:pt idx="14">
                  <c:v>226.90038113496814</c:v>
                </c:pt>
                <c:pt idx="15">
                  <c:v>202.43854230809671</c:v>
                </c:pt>
                <c:pt idx="16">
                  <c:v>331.30445622683249</c:v>
                </c:pt>
                <c:pt idx="17">
                  <c:v>477.94531593870317</c:v>
                </c:pt>
                <c:pt idx="18">
                  <c:v>493.42403243181417</c:v>
                </c:pt>
                <c:pt idx="19">
                  <c:v>449.92837114037809</c:v>
                </c:pt>
                <c:pt idx="20">
                  <c:v>374.27626995739723</c:v>
                </c:pt>
                <c:pt idx="21">
                  <c:v>334.68186552489078</c:v>
                </c:pt>
                <c:pt idx="22">
                  <c:v>297.22697365221023</c:v>
                </c:pt>
                <c:pt idx="23">
                  <c:v>238.79988670338776</c:v>
                </c:pt>
                <c:pt idx="24">
                  <c:v>170.09894401557381</c:v>
                </c:pt>
                <c:pt idx="25">
                  <c:v>148.19822689561079</c:v>
                </c:pt>
                <c:pt idx="26">
                  <c:v>130.63332132119203</c:v>
                </c:pt>
                <c:pt idx="27">
                  <c:v>111.01916378568184</c:v>
                </c:pt>
                <c:pt idx="28">
                  <c:v>194.77880765225365</c:v>
                </c:pt>
                <c:pt idx="29">
                  <c:v>283.99232325137041</c:v>
                </c:pt>
                <c:pt idx="30">
                  <c:v>296.54651433825904</c:v>
                </c:pt>
                <c:pt idx="31">
                  <c:v>273.4034989594623</c:v>
                </c:pt>
                <c:pt idx="32">
                  <c:v>230.138095853349</c:v>
                </c:pt>
                <c:pt idx="33">
                  <c:v>208.2141665271798</c:v>
                </c:pt>
                <c:pt idx="34">
                  <c:v>187.05115850919157</c:v>
                </c:pt>
                <c:pt idx="35">
                  <c:v>152.10830866824099</c:v>
                </c:pt>
                <c:pt idx="36">
                  <c:v>109.62360147212208</c:v>
                </c:pt>
                <c:pt idx="37">
                  <c:v>96.68381719347974</c:v>
                </c:pt>
                <c:pt idx="38">
                  <c:v>86.269006374423569</c:v>
                </c:pt>
                <c:pt idx="39">
                  <c:v>74.124061316619375</c:v>
                </c:pt>
                <c:pt idx="40">
                  <c:v>131.63950957166645</c:v>
                </c:pt>
                <c:pt idx="41">
                  <c:v>194.23091670110028</c:v>
                </c:pt>
                <c:pt idx="42">
                  <c:v>205.30052677488018</c:v>
                </c:pt>
                <c:pt idx="43">
                  <c:v>191.49331251332717</c:v>
                </c:pt>
                <c:pt idx="44">
                  <c:v>163.14964607877994</c:v>
                </c:pt>
                <c:pt idx="45">
                  <c:v>149.39000506436415</c:v>
                </c:pt>
                <c:pt idx="46">
                  <c:v>135.73372205612435</c:v>
                </c:pt>
                <c:pt idx="47">
                  <c:v>111.662018134753</c:v>
                </c:pt>
                <c:pt idx="48">
                  <c:v>81.384275704822983</c:v>
                </c:pt>
                <c:pt idx="49">
                  <c:v>72.586461613469481</c:v>
                </c:pt>
                <c:pt idx="50">
                  <c:v>65.478468173179166</c:v>
                </c:pt>
                <c:pt idx="51">
                  <c:v>56.806281268129865</c:v>
                </c:pt>
                <c:pt idx="52">
                  <c:v>101.98113646416454</c:v>
                </c:pt>
                <c:pt idx="53">
                  <c:v>152.00175601148132</c:v>
                </c:pt>
                <c:pt idx="54">
                  <c:v>162.30075260316087</c:v>
                </c:pt>
                <c:pt idx="55">
                  <c:v>152.88097125357118</c:v>
                </c:pt>
                <c:pt idx="56">
                  <c:v>131.51678474464947</c:v>
                </c:pt>
                <c:pt idx="57">
                  <c:v>121.59428944914009</c:v>
                </c:pt>
                <c:pt idx="58">
                  <c:v>111.4623649075979</c:v>
                </c:pt>
                <c:pt idx="59">
                  <c:v>92.528696630376984</c:v>
                </c:pt>
                <c:pt idx="60">
                  <c:v>67.993431713195406</c:v>
                </c:pt>
                <c:pt idx="61">
                  <c:v>61.153181938169389</c:v>
                </c:pt>
                <c:pt idx="62">
                  <c:v>55.623228154927922</c:v>
                </c:pt>
                <c:pt idx="63">
                  <c:v>48.613502378873058</c:v>
                </c:pt>
                <c:pt idx="64">
                  <c:v>87.92664917452278</c:v>
                </c:pt>
                <c:pt idx="65">
                  <c:v>131.9768319201595</c:v>
                </c:pt>
                <c:pt idx="66">
                  <c:v>141.94551651988374</c:v>
                </c:pt>
                <c:pt idx="67">
                  <c:v>134.56122517907909</c:v>
                </c:pt>
                <c:pt idx="68">
                  <c:v>116.49796502585173</c:v>
                </c:pt>
                <c:pt idx="69">
                  <c:v>108.3426224145706</c:v>
                </c:pt>
                <c:pt idx="70">
                  <c:v>99.894621831314012</c:v>
                </c:pt>
                <c:pt idx="71">
                  <c:v>83.390747588436767</c:v>
                </c:pt>
                <c:pt idx="72">
                  <c:v>61.55</c:v>
                </c:pt>
                <c:pt idx="73">
                  <c:v>61.55</c:v>
                </c:pt>
                <c:pt idx="74">
                  <c:v>56.307336632997234</c:v>
                </c:pt>
                <c:pt idx="75">
                  <c:v>49.420576017778934</c:v>
                </c:pt>
                <c:pt idx="76">
                  <c:v>89.785791861904158</c:v>
                </c:pt>
                <c:pt idx="77">
                  <c:v>135.34196922818924</c:v>
                </c:pt>
                <c:pt idx="78">
                  <c:v>146.1042963175999</c:v>
                </c:pt>
                <c:pt idx="79">
                  <c:v>139.05196763867994</c:v>
                </c:pt>
                <c:pt idx="80">
                  <c:v>120.82311074531734</c:v>
                </c:pt>
                <c:pt idx="81">
                  <c:v>112.77354481464543</c:v>
                </c:pt>
                <c:pt idx="82">
                  <c:v>104.31609158351236</c:v>
                </c:pt>
                <c:pt idx="83">
                  <c:v>87.369812265872753</c:v>
                </c:pt>
                <c:pt idx="84">
                  <c:v>64.685565994249572</c:v>
                </c:pt>
                <c:pt idx="85">
                  <c:v>58.628916607611075</c:v>
                </c:pt>
                <c:pt idx="86">
                  <c:v>53.727516564488511</c:v>
                </c:pt>
                <c:pt idx="87">
                  <c:v>47.270633086113534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まとめ!$X$30:$X$31</c:f>
              <c:strCache>
                <c:ptCount val="1"/>
                <c:pt idx="0">
                  <c:v>焼却灰(主灰)※ 両Cs濃度 (Bq/kg)</c:v>
                </c:pt>
              </c:strCache>
            </c:strRef>
          </c:tx>
          <c:spPr>
            <a:ln w="0">
              <a:solidFill>
                <a:srgbClr val="3333FF"/>
              </a:solidFill>
              <a:prstDash val="sysDot"/>
            </a:ln>
          </c:spPr>
          <c:marker>
            <c:symbol val="circle"/>
            <c:size val="5"/>
            <c:spPr>
              <a:noFill/>
              <a:ln w="0">
                <a:solidFill>
                  <a:srgbClr val="3333FF"/>
                </a:solidFill>
                <a:prstDash val="sysDash"/>
              </a:ln>
            </c:spPr>
          </c:marker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まとめ!$X$32:$X$119</c:f>
              <c:numCache>
                <c:formatCode>0.0</c:formatCode>
                <c:ptCount val="88"/>
                <c:pt idx="4">
                  <c:v>103.39173151897734</c:v>
                </c:pt>
                <c:pt idx="5">
                  <c:v>147.92324245756697</c:v>
                </c:pt>
                <c:pt idx="6">
                  <c:v>151.40479735184047</c:v>
                </c:pt>
                <c:pt idx="7">
                  <c:v>136.86308753667728</c:v>
                </c:pt>
                <c:pt idx="8">
                  <c:v>112.82175381920929</c:v>
                </c:pt>
                <c:pt idx="9">
                  <c:v>99.955530138342681</c:v>
                </c:pt>
                <c:pt idx="10">
                  <c:v>87.940414887084557</c:v>
                </c:pt>
                <c:pt idx="11">
                  <c:v>69.961128038876765</c:v>
                </c:pt>
                <c:pt idx="12">
                  <c:v>49.355347603454661</c:v>
                </c:pt>
                <c:pt idx="13">
                  <c:v>42.550746942775426</c:v>
                </c:pt>
                <c:pt idx="14">
                  <c:v>37.113375258660035</c:v>
                </c:pt>
                <c:pt idx="15">
                  <c:v>33.112229913035819</c:v>
                </c:pt>
                <c:pt idx="16">
                  <c:v>54.190418488097478</c:v>
                </c:pt>
                <c:pt idx="17">
                  <c:v>78.175998536558865</c:v>
                </c:pt>
                <c:pt idx="18">
                  <c:v>80.707803070591467</c:v>
                </c:pt>
                <c:pt idx="19">
                  <c:v>73.593355789551367</c:v>
                </c:pt>
                <c:pt idx="20">
                  <c:v>61.219181686071259</c:v>
                </c:pt>
                <c:pt idx="21">
                  <c:v>54.742850608545808</c:v>
                </c:pt>
                <c:pt idx="22">
                  <c:v>48.616472810544387</c:v>
                </c:pt>
                <c:pt idx="23">
                  <c:v>39.05973962060694</c:v>
                </c:pt>
                <c:pt idx="24">
                  <c:v>27.822544452213315</c:v>
                </c:pt>
                <c:pt idx="25">
                  <c:v>24.24031365629649</c:v>
                </c:pt>
                <c:pt idx="26">
                  <c:v>21.367277794895429</c:v>
                </c:pt>
                <c:pt idx="27">
                  <c:v>18.159052293657261</c:v>
                </c:pt>
                <c:pt idx="28">
                  <c:v>31.859351424061529</c:v>
                </c:pt>
                <c:pt idx="29">
                  <c:v>46.451723045530237</c:v>
                </c:pt>
                <c:pt idx="30">
                  <c:v>48.505172240044679</c:v>
                </c:pt>
                <c:pt idx="31">
                  <c:v>44.719742660447331</c:v>
                </c:pt>
                <c:pt idx="32">
                  <c:v>37.642957980040649</c:v>
                </c:pt>
                <c:pt idx="33">
                  <c:v>34.056930437220174</c:v>
                </c:pt>
                <c:pt idx="34">
                  <c:v>30.595364377944026</c:v>
                </c:pt>
                <c:pt idx="35">
                  <c:v>24.879873322938707</c:v>
                </c:pt>
                <c:pt idx="36">
                  <c:v>17.930784594938949</c:v>
                </c:pt>
                <c:pt idx="37">
                  <c:v>15.814265145755215</c:v>
                </c:pt>
                <c:pt idx="38">
                  <c:v>14.110747592183264</c:v>
                </c:pt>
                <c:pt idx="39">
                  <c:v>12.124237471876413</c:v>
                </c:pt>
                <c:pt idx="40">
                  <c:v>21.531856813819591</c:v>
                </c:pt>
                <c:pt idx="41">
                  <c:v>31.76973463995008</c:v>
                </c:pt>
                <c:pt idx="42">
                  <c:v>33.580355629567812</c:v>
                </c:pt>
                <c:pt idx="43">
                  <c:v>31.321953410926643</c:v>
                </c:pt>
                <c:pt idx="44">
                  <c:v>26.685869842755309</c:v>
                </c:pt>
                <c:pt idx="45">
                  <c:v>24.435249029171484</c:v>
                </c:pt>
                <c:pt idx="46">
                  <c:v>22.201534156644293</c:v>
                </c:pt>
                <c:pt idx="47">
                  <c:v>18.264201939393413</c:v>
                </c:pt>
                <c:pt idx="48">
                  <c:v>13.311767698577288</c:v>
                </c:pt>
                <c:pt idx="49">
                  <c:v>11.872737168108031</c:v>
                </c:pt>
                <c:pt idx="50">
                  <c:v>10.710105238773941</c:v>
                </c:pt>
                <c:pt idx="51">
                  <c:v>9.2916231484821559</c:v>
                </c:pt>
                <c:pt idx="52">
                  <c:v>16.680730847462918</c:v>
                </c:pt>
                <c:pt idx="53">
                  <c:v>24.86244484302453</c:v>
                </c:pt>
                <c:pt idx="54">
                  <c:v>26.547019030968716</c:v>
                </c:pt>
                <c:pt idx="55">
                  <c:v>25.006255289924596</c:v>
                </c:pt>
                <c:pt idx="56">
                  <c:v>21.511783103339898</c:v>
                </c:pt>
                <c:pt idx="57">
                  <c:v>19.888792037558144</c:v>
                </c:pt>
                <c:pt idx="58">
                  <c:v>18.231545294640568</c:v>
                </c:pt>
                <c:pt idx="59">
                  <c:v>15.134625261802451</c:v>
                </c:pt>
                <c:pt idx="60">
                  <c:v>11.121469843608825</c:v>
                </c:pt>
                <c:pt idx="61">
                  <c:v>10.002631895899526</c:v>
                </c:pt>
                <c:pt idx="62">
                  <c:v>9.0981149052541639</c:v>
                </c:pt>
                <c:pt idx="63">
                  <c:v>7.9515563059000378</c:v>
                </c:pt>
                <c:pt idx="64">
                  <c:v>14.381882964354823</c:v>
                </c:pt>
                <c:pt idx="65">
                  <c:v>21.587031559847485</c:v>
                </c:pt>
                <c:pt idx="66">
                  <c:v>23.217577663534815</c:v>
                </c:pt>
                <c:pt idx="67">
                  <c:v>22.009752563463522</c:v>
                </c:pt>
                <c:pt idx="68">
                  <c:v>19.055202425168435</c:v>
                </c:pt>
                <c:pt idx="69">
                  <c:v>17.72125891576826</c:v>
                </c:pt>
                <c:pt idx="70">
                  <c:v>16.339446270661771</c:v>
                </c:pt>
                <c:pt idx="71">
                  <c:v>13.63995993690682</c:v>
                </c:pt>
                <c:pt idx="72">
                  <c:v>10.067538166944409</c:v>
                </c:pt>
                <c:pt idx="73">
                  <c:v>10.067538166944409</c:v>
                </c:pt>
                <c:pt idx="74">
                  <c:v>9.2100123579477966</c:v>
                </c:pt>
                <c:pt idx="75">
                  <c:v>8.083566779713518</c:v>
                </c:pt>
                <c:pt idx="76">
                  <c:v>14.685977033615709</c:v>
                </c:pt>
                <c:pt idx="77">
                  <c:v>22.137456389832835</c:v>
                </c:pt>
                <c:pt idx="78">
                  <c:v>23.897816076880467</c:v>
                </c:pt>
                <c:pt idx="79">
                  <c:v>22.744289055907867</c:v>
                </c:pt>
                <c:pt idx="80">
                  <c:v>19.762652784361226</c:v>
                </c:pt>
                <c:pt idx="81">
                  <c:v>18.446010830918908</c:v>
                </c:pt>
                <c:pt idx="82">
                  <c:v>17.062652046197876</c:v>
                </c:pt>
                <c:pt idx="83">
                  <c:v>14.290802918366236</c:v>
                </c:pt>
                <c:pt idx="84">
                  <c:v>10.580412745694703</c:v>
                </c:pt>
                <c:pt idx="85">
                  <c:v>9.5897458267055313</c:v>
                </c:pt>
                <c:pt idx="86">
                  <c:v>8.7880393765739413</c:v>
                </c:pt>
                <c:pt idx="87">
                  <c:v>7.7319074373691832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0010752"/>
        <c:axId val="280013440"/>
      </c:lineChart>
      <c:dateAx>
        <c:axId val="280010752"/>
        <c:scaling>
          <c:orientation val="minMax"/>
        </c:scaling>
        <c:delete val="0"/>
        <c:axPos val="b"/>
        <c:majorGridlines>
          <c:spPr>
            <a:ln w="0">
              <a:solidFill>
                <a:sysClr val="window" lastClr="FFFFFF">
                  <a:lumMod val="85000"/>
                </a:sysClr>
              </a:solidFill>
              <a:prstDash val="sysDot"/>
            </a:ln>
          </c:spPr>
        </c:majorGridlines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/>
            </a:pPr>
            <a:endParaRPr lang="ja-JP"/>
          </a:p>
        </c:txPr>
        <c:crossAx val="280013440"/>
        <c:crosses val="autoZero"/>
        <c:auto val="0"/>
        <c:lblOffset val="0"/>
        <c:baseTimeUnit val="months"/>
        <c:majorUnit val="6"/>
        <c:minorUnit val="6"/>
      </c:dateAx>
      <c:valAx>
        <c:axId val="280013440"/>
        <c:scaling>
          <c:orientation val="minMax"/>
          <c:max val="800"/>
        </c:scaling>
        <c:delete val="0"/>
        <c:axPos val="l"/>
        <c:majorGridlines>
          <c:spPr>
            <a:ln w="0">
              <a:solidFill>
                <a:sysClr val="window" lastClr="FFFFFF">
                  <a:lumMod val="85000"/>
                </a:sysClr>
              </a:solidFill>
              <a:prstDash val="sysDot"/>
            </a:ln>
          </c:spPr>
        </c:majorGridlines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/>
            </a:pPr>
            <a:endParaRPr lang="ja-JP"/>
          </a:p>
        </c:txPr>
        <c:crossAx val="280010752"/>
        <c:crosses val="autoZero"/>
        <c:crossBetween val="between"/>
      </c:valAx>
      <c:valAx>
        <c:axId val="280027520"/>
        <c:scaling>
          <c:orientation val="maxMin"/>
          <c:max val="80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ja-JP"/>
          </a:p>
        </c:txPr>
        <c:crossAx val="280029056"/>
        <c:crosses val="max"/>
        <c:crossBetween val="between"/>
      </c:valAx>
      <c:dateAx>
        <c:axId val="280029056"/>
        <c:scaling>
          <c:orientation val="minMax"/>
        </c:scaling>
        <c:delete val="1"/>
        <c:axPos val="t"/>
        <c:numFmt formatCode="[$-411]ge\.m" sourceLinked="1"/>
        <c:majorTickMark val="out"/>
        <c:minorTickMark val="none"/>
        <c:tickLblPos val="nextTo"/>
        <c:crossAx val="280027520"/>
        <c:crosses val="autoZero"/>
        <c:auto val="1"/>
        <c:lblOffset val="100"/>
        <c:baseTimeUnit val="month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5.8330399516543958E-3"/>
          <c:y val="1.58071997087697E-2"/>
          <c:w val="0.98080122998536323"/>
          <c:h val="0.1139438551214835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50"/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171755573742668"/>
          <c:y val="3.6627296587926503E-2"/>
          <c:w val="0.85458439390452412"/>
          <c:h val="0.93600428036521222"/>
        </c:manualLayout>
      </c:layout>
      <c:lineChart>
        <c:grouping val="standard"/>
        <c:varyColors val="0"/>
        <c:ser>
          <c:idx val="1"/>
          <c:order val="0"/>
          <c:tx>
            <c:strRef>
              <c:f>濃度回帰式!$F$55</c:f>
              <c:strCache>
                <c:ptCount val="1"/>
                <c:pt idx="0">
                  <c:v>Cs-134</c:v>
                </c:pt>
              </c:strCache>
            </c:strRef>
          </c:tx>
          <c:spPr>
            <a:ln w="9525">
              <a:solidFill>
                <a:srgbClr val="009900"/>
              </a:solidFill>
            </a:ln>
          </c:spPr>
          <c:marker>
            <c:symbol val="triangle"/>
            <c:size val="6"/>
            <c:spPr>
              <a:solidFill>
                <a:srgbClr val="92D050"/>
              </a:solidFill>
              <a:ln>
                <a:solidFill>
                  <a:srgbClr val="009900"/>
                </a:solidFill>
              </a:ln>
            </c:spPr>
          </c:marker>
          <c:cat>
            <c:numRef>
              <c:f>濃度回帰式!$E$62:$E$146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濃度回帰式!$F$62:$F$146</c:f>
              <c:numCache>
                <c:formatCode>General</c:formatCode>
                <c:ptCount val="85"/>
                <c:pt idx="1">
                  <c:v>340</c:v>
                </c:pt>
                <c:pt idx="2">
                  <c:v>550</c:v>
                </c:pt>
                <c:pt idx="3">
                  <c:v>550</c:v>
                </c:pt>
                <c:pt idx="4">
                  <c:v>460</c:v>
                </c:pt>
                <c:pt idx="5">
                  <c:v>390</c:v>
                </c:pt>
                <c:pt idx="6">
                  <c:v>300</c:v>
                </c:pt>
                <c:pt idx="7">
                  <c:v>260</c:v>
                </c:pt>
                <c:pt idx="8">
                  <c:v>250</c:v>
                </c:pt>
                <c:pt idx="9">
                  <c:v>180</c:v>
                </c:pt>
                <c:pt idx="10">
                  <c:v>160</c:v>
                </c:pt>
                <c:pt idx="11">
                  <c:v>98</c:v>
                </c:pt>
                <c:pt idx="12">
                  <c:v>160</c:v>
                </c:pt>
                <c:pt idx="13">
                  <c:v>220</c:v>
                </c:pt>
                <c:pt idx="14">
                  <c:v>250</c:v>
                </c:pt>
                <c:pt idx="15">
                  <c:v>260</c:v>
                </c:pt>
                <c:pt idx="16">
                  <c:v>200</c:v>
                </c:pt>
                <c:pt idx="17">
                  <c:v>190</c:v>
                </c:pt>
                <c:pt idx="18">
                  <c:v>150</c:v>
                </c:pt>
                <c:pt idx="19">
                  <c:v>130</c:v>
                </c:pt>
                <c:pt idx="20">
                  <c:v>120</c:v>
                </c:pt>
                <c:pt idx="21">
                  <c:v>110</c:v>
                </c:pt>
                <c:pt idx="22">
                  <c:v>76</c:v>
                </c:pt>
                <c:pt idx="23">
                  <c:v>46</c:v>
                </c:pt>
                <c:pt idx="24">
                  <c:v>49</c:v>
                </c:pt>
                <c:pt idx="25">
                  <c:v>74</c:v>
                </c:pt>
                <c:pt idx="26">
                  <c:v>120</c:v>
                </c:pt>
                <c:pt idx="27">
                  <c:v>110</c:v>
                </c:pt>
                <c:pt idx="28">
                  <c:v>91</c:v>
                </c:pt>
                <c:pt idx="29">
                  <c:v>74</c:v>
                </c:pt>
                <c:pt idx="30">
                  <c:v>72</c:v>
                </c:pt>
                <c:pt idx="31">
                  <c:v>63</c:v>
                </c:pt>
                <c:pt idx="32">
                  <c:v>60</c:v>
                </c:pt>
                <c:pt idx="33">
                  <c:v>60</c:v>
                </c:pt>
                <c:pt idx="34">
                  <c:v>33</c:v>
                </c:pt>
                <c:pt idx="35">
                  <c:v>20</c:v>
                </c:pt>
                <c:pt idx="36">
                  <c:v>26</c:v>
                </c:pt>
                <c:pt idx="37">
                  <c:v>47</c:v>
                </c:pt>
                <c:pt idx="38">
                  <c:v>67</c:v>
                </c:pt>
                <c:pt idx="39">
                  <c:v>58</c:v>
                </c:pt>
                <c:pt idx="40">
                  <c:v>56</c:v>
                </c:pt>
                <c:pt idx="41">
                  <c:v>39</c:v>
                </c:pt>
                <c:pt idx="42">
                  <c:v>35</c:v>
                </c:pt>
                <c:pt idx="43">
                  <c:v>34</c:v>
                </c:pt>
                <c:pt idx="44">
                  <c:v>39</c:v>
                </c:pt>
                <c:pt idx="45">
                  <c:v>33</c:v>
                </c:pt>
                <c:pt idx="46">
                  <c:v>23</c:v>
                </c:pt>
                <c:pt idx="47">
                  <c:v>24</c:v>
                </c:pt>
                <c:pt idx="48">
                  <c:v>17</c:v>
                </c:pt>
                <c:pt idx="49">
                  <c:v>22</c:v>
                </c:pt>
                <c:pt idx="50">
                  <c:v>33</c:v>
                </c:pt>
                <c:pt idx="51">
                  <c:v>42</c:v>
                </c:pt>
                <c:pt idx="52">
                  <c:v>33</c:v>
                </c:pt>
                <c:pt idx="53">
                  <c:v>24</c:v>
                </c:pt>
                <c:pt idx="54">
                  <c:v>19</c:v>
                </c:pt>
                <c:pt idx="55">
                  <c:v>21</c:v>
                </c:pt>
                <c:pt idx="56">
                  <c:v>21</c:v>
                </c:pt>
                <c:pt idx="57">
                  <c:v>18</c:v>
                </c:pt>
                <c:pt idx="58">
                  <c:v>15</c:v>
                </c:pt>
                <c:pt idx="59">
                  <c:v>11</c:v>
                </c:pt>
                <c:pt idx="60">
                  <c:v>12</c:v>
                </c:pt>
                <c:pt idx="61">
                  <c:v>17</c:v>
                </c:pt>
                <c:pt idx="62">
                  <c:v>25</c:v>
                </c:pt>
                <c:pt idx="63">
                  <c:v>22</c:v>
                </c:pt>
                <c:pt idx="64">
                  <c:v>20</c:v>
                </c:pt>
                <c:pt idx="65">
                  <c:v>14</c:v>
                </c:pt>
                <c:pt idx="66">
                  <c:v>15</c:v>
                </c:pt>
                <c:pt idx="67">
                  <c:v>15</c:v>
                </c:pt>
                <c:pt idx="68">
                  <c:v>14</c:v>
                </c:pt>
                <c:pt idx="69">
                  <c:v>13</c:v>
                </c:pt>
                <c:pt idx="70">
                  <c:v>11</c:v>
                </c:pt>
                <c:pt idx="71">
                  <c:v>5.5</c:v>
                </c:pt>
                <c:pt idx="72" formatCode="0.0">
                  <c:v>5.383998161135243</c:v>
                </c:pt>
                <c:pt idx="73">
                  <c:v>11</c:v>
                </c:pt>
                <c:pt idx="74">
                  <c:v>14</c:v>
                </c:pt>
                <c:pt idx="75">
                  <c:v>16</c:v>
                </c:pt>
                <c:pt idx="76">
                  <c:v>12</c:v>
                </c:pt>
                <c:pt idx="77">
                  <c:v>10</c:v>
                </c:pt>
                <c:pt idx="78">
                  <c:v>10</c:v>
                </c:pt>
                <c:pt idx="79">
                  <c:v>10</c:v>
                </c:pt>
                <c:pt idx="80" formatCode="0.0">
                  <c:v>4.2971331004994537</c:v>
                </c:pt>
                <c:pt idx="81">
                  <c:v>20</c:v>
                </c:pt>
                <c:pt idx="82">
                  <c:v>20</c:v>
                </c:pt>
                <c:pt idx="83">
                  <c:v>20</c:v>
                </c:pt>
                <c:pt idx="84">
                  <c:v>10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濃度回帰式!$O$55</c:f>
              <c:strCache>
                <c:ptCount val="1"/>
                <c:pt idx="0">
                  <c:v>回帰式_Cs-134</c:v>
                </c:pt>
              </c:strCache>
            </c:strRef>
          </c:tx>
          <c:spPr>
            <a:ln w="25400"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濃度回帰式!$E$62:$E$146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濃度回帰式!$O$62:$O$146</c:f>
              <c:numCache>
                <c:formatCode>0</c:formatCode>
                <c:ptCount val="85"/>
                <c:pt idx="1">
                  <c:v>409.10074926559156</c:v>
                </c:pt>
                <c:pt idx="2">
                  <c:v>573.86923058251261</c:v>
                </c:pt>
                <c:pt idx="3">
                  <c:v>575.32683836377066</c:v>
                </c:pt>
                <c:pt idx="4">
                  <c:v>509.57916792906292</c:v>
                </c:pt>
                <c:pt idx="5">
                  <c:v>411.21213975516696</c:v>
                </c:pt>
                <c:pt idx="6">
                  <c:v>356.53734281810824</c:v>
                </c:pt>
                <c:pt idx="7">
                  <c:v>307.13308957269703</c:v>
                </c:pt>
                <c:pt idx="8">
                  <c:v>239.02359257858782</c:v>
                </c:pt>
                <c:pt idx="9">
                  <c:v>165.02717411945301</c:v>
                </c:pt>
                <c:pt idx="10">
                  <c:v>139.11647465194233</c:v>
                </c:pt>
                <c:pt idx="11">
                  <c:v>118.61671988026326</c:v>
                </c:pt>
                <c:pt idx="12">
                  <c:v>103.67867524959496</c:v>
                </c:pt>
                <c:pt idx="13">
                  <c:v>165.83835031059999</c:v>
                </c:pt>
                <c:pt idx="14">
                  <c:v>233.9638030289768</c:v>
                </c:pt>
                <c:pt idx="15">
                  <c:v>235.99730221839258</c:v>
                </c:pt>
                <c:pt idx="16">
                  <c:v>210.37751968720471</c:v>
                </c:pt>
                <c:pt idx="17">
                  <c:v>170.95121332497234</c:v>
                </c:pt>
                <c:pt idx="18">
                  <c:v>149.33704588042201</c:v>
                </c:pt>
                <c:pt idx="19">
                  <c:v>129.64230851652673</c:v>
                </c:pt>
                <c:pt idx="20">
                  <c:v>101.75511358546811</c:v>
                </c:pt>
                <c:pt idx="21">
                  <c:v>70.862502391671043</c:v>
                </c:pt>
                <c:pt idx="22">
                  <c:v>60.317385686309684</c:v>
                </c:pt>
                <c:pt idx="23">
                  <c:v>51.953462130357451</c:v>
                </c:pt>
                <c:pt idx="24">
                  <c:v>45.857451210423051</c:v>
                </c:pt>
                <c:pt idx="25">
                  <c:v>74.18256226289806</c:v>
                </c:pt>
                <c:pt idx="26">
                  <c:v>105.84250840758911</c:v>
                </c:pt>
                <c:pt idx="27">
                  <c:v>108.11191571214584</c:v>
                </c:pt>
                <c:pt idx="28">
                  <c:v>97.596369725625379</c:v>
                </c:pt>
                <c:pt idx="29">
                  <c:v>80.406251667208807</c:v>
                </c:pt>
                <c:pt idx="30">
                  <c:v>71.242019646000585</c:v>
                </c:pt>
                <c:pt idx="31">
                  <c:v>62.743993337793334</c:v>
                </c:pt>
                <c:pt idx="32">
                  <c:v>50.01450377954864</c:v>
                </c:pt>
                <c:pt idx="33">
                  <c:v>35.37357944595378</c:v>
                </c:pt>
                <c:pt idx="34">
                  <c:v>30.616258916097483</c:v>
                </c:pt>
                <c:pt idx="35">
                  <c:v>26.825455260075476</c:v>
                </c:pt>
                <c:pt idx="36">
                  <c:v>24.055786950387642</c:v>
                </c:pt>
                <c:pt idx="37">
                  <c:v>39.618591477361534</c:v>
                </c:pt>
                <c:pt idx="38">
                  <c:v>57.547823700643598</c:v>
                </c:pt>
                <c:pt idx="39">
                  <c:v>59.899989607606287</c:v>
                </c:pt>
                <c:pt idx="40">
                  <c:v>55.077281760691285</c:v>
                </c:pt>
                <c:pt idx="41">
                  <c:v>46.268371646438979</c:v>
                </c:pt>
                <c:pt idx="42">
                  <c:v>41.807252188190851</c:v>
                </c:pt>
                <c:pt idx="43">
                  <c:v>37.527598074485049</c:v>
                </c:pt>
                <c:pt idx="44">
                  <c:v>30.509284061955903</c:v>
                </c:pt>
                <c:pt idx="45">
                  <c:v>21.998207261263556</c:v>
                </c:pt>
                <c:pt idx="46">
                  <c:v>19.418011019320573</c:v>
                </c:pt>
                <c:pt idx="47">
                  <c:v>17.349123800854784</c:v>
                </c:pt>
                <c:pt idx="48">
                  <c:v>15.82409834162752</c:v>
                </c:pt>
                <c:pt idx="49">
                  <c:v>26.574846050358332</c:v>
                </c:pt>
                <c:pt idx="50">
                  <c:v>39.322611550888162</c:v>
                </c:pt>
                <c:pt idx="51">
                  <c:v>41.693626424621257</c:v>
                </c:pt>
                <c:pt idx="52">
                  <c:v>39.03013062530345</c:v>
                </c:pt>
                <c:pt idx="53">
                  <c:v>33.379863155833171</c:v>
                </c:pt>
                <c:pt idx="54">
                  <c:v>30.694596216919841</c:v>
                </c:pt>
                <c:pt idx="55">
                  <c:v>28.007621471512525</c:v>
                </c:pt>
                <c:pt idx="56">
                  <c:v>23.149190998703425</c:v>
                </c:pt>
                <c:pt idx="57">
                  <c:v>16.949626140129766</c:v>
                </c:pt>
                <c:pt idx="58">
                  <c:v>15.191131116867744</c:v>
                </c:pt>
                <c:pt idx="59">
                  <c:v>13.77520764788129</c:v>
                </c:pt>
                <c:pt idx="60">
                  <c:v>12.734729969383816</c:v>
                </c:pt>
                <c:pt idx="61">
                  <c:v>21.676820780748031</c:v>
                </c:pt>
                <c:pt idx="62">
                  <c:v>32.478409982703944</c:v>
                </c:pt>
                <c:pt idx="63">
                  <c:v>34.870288648117537</c:v>
                </c:pt>
                <c:pt idx="64">
                  <c:v>33.009895127139742</c:v>
                </c:pt>
                <c:pt idx="65">
                  <c:v>28.54483938030938</c:v>
                </c:pt>
                <c:pt idx="66">
                  <c:v>26.522240627788236</c:v>
                </c:pt>
                <c:pt idx="67">
                  <c:v>24.434867817941718</c:v>
                </c:pt>
                <c:pt idx="68">
                  <c:v>20.386660941579649</c:v>
                </c:pt>
                <c:pt idx="69">
                  <c:v>15.054406522750332</c:v>
                </c:pt>
                <c:pt idx="70">
                  <c:v>13.604861923376793</c:v>
                </c:pt>
                <c:pt idx="71">
                  <c:v>12.433899354904547</c:v>
                </c:pt>
                <c:pt idx="72">
                  <c:v>11.571395449043157</c:v>
                </c:pt>
                <c:pt idx="73">
                  <c:v>19.832307859597382</c:v>
                </c:pt>
                <c:pt idx="74">
                  <c:v>29.903895903211147</c:v>
                </c:pt>
                <c:pt idx="75">
                  <c:v>32.296963812581211</c:v>
                </c:pt>
                <c:pt idx="76">
                  <c:v>30.742688277705927</c:v>
                </c:pt>
                <c:pt idx="77">
                  <c:v>26.722340940329332</c:v>
                </c:pt>
                <c:pt idx="78">
                  <c:v>24.951446653713639</c:v>
                </c:pt>
                <c:pt idx="79">
                  <c:v>23.089547046881762</c:v>
                </c:pt>
                <c:pt idx="80">
                  <c:v>19.348504804603714</c:v>
                </c:pt>
                <c:pt idx="81">
                  <c:v>14.336957405302336</c:v>
                </c:pt>
                <c:pt idx="82">
                  <c:v>13.003649883331486</c:v>
                </c:pt>
                <c:pt idx="83">
                  <c:v>11.923572518995838</c:v>
                </c:pt>
                <c:pt idx="84">
                  <c:v>11.130972508300136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濃度回帰式!$M$55</c:f>
              <c:strCache>
                <c:ptCount val="1"/>
                <c:pt idx="0">
                  <c:v>Cs-134:事故日1200から減衰</c:v>
                </c:pt>
              </c:strCache>
            </c:strRef>
          </c:tx>
          <c:marker>
            <c:symbol val="none"/>
          </c:marker>
          <c:cat>
            <c:numRef>
              <c:f>濃度回帰式!$E$62:$E$146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濃度回帰式!$M$62:$M$146</c:f>
              <c:numCache>
                <c:formatCode>0</c:formatCode>
                <c:ptCount val="85"/>
                <c:pt idx="0">
                  <c:v>1200</c:v>
                </c:pt>
                <c:pt idx="1">
                  <c:v>427.66824530077849</c:v>
                </c:pt>
                <c:pt idx="2">
                  <c:v>394.71404663840514</c:v>
                </c:pt>
                <c:pt idx="3">
                  <c:v>363.32672557584715</c:v>
                </c:pt>
                <c:pt idx="4">
                  <c:v>335.3303961182898</c:v>
                </c:pt>
                <c:pt idx="5">
                  <c:v>308.66521180413349</c:v>
                </c:pt>
                <c:pt idx="6">
                  <c:v>284.12041998269092</c:v>
                </c:pt>
                <c:pt idx="7">
                  <c:v>262.22737352196629</c:v>
                </c:pt>
                <c:pt idx="8">
                  <c:v>241.37527860864461</c:v>
                </c:pt>
                <c:pt idx="9">
                  <c:v>222.77598120731267</c:v>
                </c:pt>
                <c:pt idx="10">
                  <c:v>205.06102703547398</c:v>
                </c:pt>
                <c:pt idx="11">
                  <c:v>188.75475076333359</c:v>
                </c:pt>
                <c:pt idx="12">
                  <c:v>175.14393241983743</c:v>
                </c:pt>
                <c:pt idx="13">
                  <c:v>161.21663774705263</c:v>
                </c:pt>
                <c:pt idx="14">
                  <c:v>148.79400603106026</c:v>
                </c:pt>
                <c:pt idx="15">
                  <c:v>136.96203481226172</c:v>
                </c:pt>
                <c:pt idx="16">
                  <c:v>126.40835411700265</c:v>
                </c:pt>
                <c:pt idx="17">
                  <c:v>116.35647065997786</c:v>
                </c:pt>
                <c:pt idx="18">
                  <c:v>107.10390431881464</c:v>
                </c:pt>
                <c:pt idx="19">
                  <c:v>98.850957369349771</c:v>
                </c:pt>
                <c:pt idx="20">
                  <c:v>90.990414369380616</c:v>
                </c:pt>
                <c:pt idx="21">
                  <c:v>83.979100753165369</c:v>
                </c:pt>
                <c:pt idx="22">
                  <c:v>77.3011549837329</c:v>
                </c:pt>
                <c:pt idx="23">
                  <c:v>71.154233710865981</c:v>
                </c:pt>
                <c:pt idx="24">
                  <c:v>66.023410007130124</c:v>
                </c:pt>
                <c:pt idx="25">
                  <c:v>60.773285302454703</c:v>
                </c:pt>
                <c:pt idx="26">
                  <c:v>56.090368253484485</c:v>
                </c:pt>
                <c:pt idx="27">
                  <c:v>51.630110474763896</c:v>
                </c:pt>
                <c:pt idx="28">
                  <c:v>47.651725508751198</c:v>
                </c:pt>
                <c:pt idx="29">
                  <c:v>43.862501333767042</c:v>
                </c:pt>
                <c:pt idx="30">
                  <c:v>40.374593001913233</c:v>
                </c:pt>
                <c:pt idx="31">
                  <c:v>37.263507777987456</c:v>
                </c:pt>
                <c:pt idx="32">
                  <c:v>34.30034573066289</c:v>
                </c:pt>
                <c:pt idx="33">
                  <c:v>31.657314783622667</c:v>
                </c:pt>
                <c:pt idx="34">
                  <c:v>29.139952375179423</c:v>
                </c:pt>
                <c:pt idx="35">
                  <c:v>26.822768457513348</c:v>
                </c:pt>
                <c:pt idx="36">
                  <c:v>24.888619370041514</c:v>
                </c:pt>
                <c:pt idx="37">
                  <c:v>22.909497791713367</c:v>
                </c:pt>
                <c:pt idx="38">
                  <c:v>21.144194546081089</c:v>
                </c:pt>
                <c:pt idx="39">
                  <c:v>19.46282640507086</c:v>
                </c:pt>
                <c:pt idx="40">
                  <c:v>17.963108212449608</c:v>
                </c:pt>
                <c:pt idx="41">
                  <c:v>16.534697317151174</c:v>
                </c:pt>
                <c:pt idx="42">
                  <c:v>15.219872426105235</c:v>
                </c:pt>
                <c:pt idx="43">
                  <c:v>14.047097255030502</c:v>
                </c:pt>
                <c:pt idx="44">
                  <c:v>12.930084178613377</c:v>
                </c:pt>
                <c:pt idx="45">
                  <c:v>11.933749829675319</c:v>
                </c:pt>
                <c:pt idx="46">
                  <c:v>10.984788320516241</c:v>
                </c:pt>
                <c:pt idx="47">
                  <c:v>10.11128741332371</c:v>
                </c:pt>
                <c:pt idx="48">
                  <c:v>9.3571339502823587</c:v>
                </c:pt>
                <c:pt idx="49">
                  <c:v>8.6130627168815153</c:v>
                </c:pt>
                <c:pt idx="50">
                  <c:v>7.9493786978261127</c:v>
                </c:pt>
                <c:pt idx="51">
                  <c:v>7.3172509497475078</c:v>
                </c:pt>
                <c:pt idx="52">
                  <c:v>6.7534163791194484</c:v>
                </c:pt>
                <c:pt idx="53">
                  <c:v>6.2163905246665285</c:v>
                </c:pt>
                <c:pt idx="54">
                  <c:v>5.7220685036752235</c:v>
                </c:pt>
                <c:pt idx="55">
                  <c:v>5.2811515445561223</c:v>
                </c:pt>
                <c:pt idx="56">
                  <c:v>4.8611989218391995</c:v>
                </c:pt>
                <c:pt idx="57">
                  <c:v>4.4866167152623699</c:v>
                </c:pt>
                <c:pt idx="58">
                  <c:v>4.1298448179207341</c:v>
                </c:pt>
                <c:pt idx="59">
                  <c:v>3.8014431146052017</c:v>
                </c:pt>
                <c:pt idx="60">
                  <c:v>3.5273268263169122</c:v>
                </c:pt>
                <c:pt idx="61">
                  <c:v>3.2468368348076768</c:v>
                </c:pt>
                <c:pt idx="62">
                  <c:v>2.9966501369308864</c:v>
                </c:pt>
                <c:pt idx="63">
                  <c:v>2.7583590987450242</c:v>
                </c:pt>
                <c:pt idx="64">
                  <c:v>2.5458123064100464</c:v>
                </c:pt>
                <c:pt idx="65">
                  <c:v>2.3433715042474987</c:v>
                </c:pt>
                <c:pt idx="66">
                  <c:v>2.1570286203317237</c:v>
                </c:pt>
                <c:pt idx="67">
                  <c:v>1.9908176601870362</c:v>
                </c:pt>
                <c:pt idx="68">
                  <c:v>1.8325095543330157</c:v>
                </c:pt>
                <c:pt idx="69">
                  <c:v>1.6913045792904673</c:v>
                </c:pt>
                <c:pt idx="70">
                  <c:v>1.556813495689898</c:v>
                </c:pt>
                <c:pt idx="71">
                  <c:v>1.433017027234073</c:v>
                </c:pt>
                <c:pt idx="72">
                  <c:v>1.3296843462713819</c:v>
                </c:pt>
                <c:pt idx="73">
                  <c:v>1.2239489921746196</c:v>
                </c:pt>
                <c:pt idx="74">
                  <c:v>1.1296369671787794</c:v>
                </c:pt>
                <c:pt idx="75">
                  <c:v>1.0398092083874737</c:v>
                </c:pt>
                <c:pt idx="76">
                  <c:v>0.95968617002612333</c:v>
                </c:pt>
                <c:pt idx="77">
                  <c:v>0.88337275226346323</c:v>
                </c:pt>
                <c:pt idx="78">
                  <c:v>0.81312771176048626</c:v>
                </c:pt>
                <c:pt idx="79">
                  <c:v>0.75047173380170507</c:v>
                </c:pt>
                <c:pt idx="80">
                  <c:v>0.69079486783299171</c:v>
                </c:pt>
                <c:pt idx="81">
                  <c:v>0.63756531067121125</c:v>
                </c:pt>
                <c:pt idx="82">
                  <c:v>0.58686666623528294</c:v>
                </c:pt>
                <c:pt idx="83">
                  <c:v>0.5401995343434336</c:v>
                </c:pt>
                <c:pt idx="84">
                  <c:v>0.50124656652961386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0930944"/>
        <c:axId val="280932736"/>
      </c:lineChart>
      <c:dateAx>
        <c:axId val="280930944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ja-JP"/>
          </a:p>
        </c:txPr>
        <c:crossAx val="280932736"/>
        <c:crosses val="autoZero"/>
        <c:auto val="0"/>
        <c:lblOffset val="100"/>
        <c:baseTimeUnit val="days"/>
        <c:majorUnit val="6"/>
        <c:majorTimeUnit val="months"/>
      </c:dateAx>
      <c:valAx>
        <c:axId val="280932736"/>
        <c:scaling>
          <c:logBase val="10"/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in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280930944"/>
        <c:crosses val="autoZero"/>
        <c:crossBetween val="between"/>
        <c:majorUnit val="5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29507875653415783"/>
          <c:y val="5.7577241086361648E-2"/>
          <c:w val="0.60751260612951385"/>
          <c:h val="0.16082736516478471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>
              <a:lumMod val="50000"/>
              <a:lumOff val="50000"/>
            </a:sysClr>
          </a:solidFill>
        </a:ln>
      </c:spPr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171755573742668"/>
          <c:y val="3.6627296587926503E-2"/>
          <c:w val="0.85458439390452412"/>
          <c:h val="0.84993864403313213"/>
        </c:manualLayout>
      </c:layout>
      <c:lineChart>
        <c:grouping val="standard"/>
        <c:varyColors val="0"/>
        <c:ser>
          <c:idx val="1"/>
          <c:order val="0"/>
          <c:tx>
            <c:strRef>
              <c:f>濃度回帰式!$G$55</c:f>
              <c:strCache>
                <c:ptCount val="1"/>
                <c:pt idx="0">
                  <c:v>Cs-137</c:v>
                </c:pt>
              </c:strCache>
            </c:strRef>
          </c:tx>
          <c:spPr>
            <a:ln w="9525">
              <a:solidFill>
                <a:srgbClr val="009900"/>
              </a:solidFill>
            </a:ln>
          </c:spPr>
          <c:marker>
            <c:symbol val="triangle"/>
            <c:size val="6"/>
            <c:spPr>
              <a:solidFill>
                <a:srgbClr val="92D050"/>
              </a:solidFill>
              <a:ln>
                <a:solidFill>
                  <a:srgbClr val="009900"/>
                </a:solidFill>
              </a:ln>
            </c:spPr>
          </c:marker>
          <c:cat>
            <c:numRef>
              <c:f>濃度回帰式!$E$62:$E$146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濃度回帰式!$G$62:$G$146</c:f>
              <c:numCache>
                <c:formatCode>General</c:formatCode>
                <c:ptCount val="85"/>
                <c:pt idx="1">
                  <c:v>510</c:v>
                </c:pt>
                <c:pt idx="2">
                  <c:v>850</c:v>
                </c:pt>
                <c:pt idx="3">
                  <c:v>890</c:v>
                </c:pt>
                <c:pt idx="4">
                  <c:v>760</c:v>
                </c:pt>
                <c:pt idx="5">
                  <c:v>660</c:v>
                </c:pt>
                <c:pt idx="6">
                  <c:v>510</c:v>
                </c:pt>
                <c:pt idx="7">
                  <c:v>450</c:v>
                </c:pt>
                <c:pt idx="8">
                  <c:v>450</c:v>
                </c:pt>
                <c:pt idx="9">
                  <c:v>330</c:v>
                </c:pt>
                <c:pt idx="10">
                  <c:v>300</c:v>
                </c:pt>
                <c:pt idx="11">
                  <c:v>180</c:v>
                </c:pt>
                <c:pt idx="12">
                  <c:v>320</c:v>
                </c:pt>
                <c:pt idx="13">
                  <c:v>460</c:v>
                </c:pt>
                <c:pt idx="14">
                  <c:v>540</c:v>
                </c:pt>
                <c:pt idx="15">
                  <c:v>560</c:v>
                </c:pt>
                <c:pt idx="16">
                  <c:v>430</c:v>
                </c:pt>
                <c:pt idx="17">
                  <c:v>390</c:v>
                </c:pt>
                <c:pt idx="18">
                  <c:v>360</c:v>
                </c:pt>
                <c:pt idx="19">
                  <c:v>290</c:v>
                </c:pt>
                <c:pt idx="20">
                  <c:v>300</c:v>
                </c:pt>
                <c:pt idx="21">
                  <c:v>280</c:v>
                </c:pt>
                <c:pt idx="22">
                  <c:v>190</c:v>
                </c:pt>
                <c:pt idx="23">
                  <c:v>120</c:v>
                </c:pt>
                <c:pt idx="24">
                  <c:v>130</c:v>
                </c:pt>
                <c:pt idx="25">
                  <c:v>210</c:v>
                </c:pt>
                <c:pt idx="26">
                  <c:v>320</c:v>
                </c:pt>
                <c:pt idx="27">
                  <c:v>330</c:v>
                </c:pt>
                <c:pt idx="28">
                  <c:v>290</c:v>
                </c:pt>
                <c:pt idx="29">
                  <c:v>220</c:v>
                </c:pt>
                <c:pt idx="30">
                  <c:v>230</c:v>
                </c:pt>
                <c:pt idx="31">
                  <c:v>200</c:v>
                </c:pt>
                <c:pt idx="32">
                  <c:v>190</c:v>
                </c:pt>
                <c:pt idx="33">
                  <c:v>180</c:v>
                </c:pt>
                <c:pt idx="34">
                  <c:v>110</c:v>
                </c:pt>
                <c:pt idx="35">
                  <c:v>71</c:v>
                </c:pt>
                <c:pt idx="36">
                  <c:v>100</c:v>
                </c:pt>
                <c:pt idx="37">
                  <c:v>170</c:v>
                </c:pt>
                <c:pt idx="38">
                  <c:v>230</c:v>
                </c:pt>
                <c:pt idx="39">
                  <c:v>240</c:v>
                </c:pt>
                <c:pt idx="40">
                  <c:v>230</c:v>
                </c:pt>
                <c:pt idx="41">
                  <c:v>170</c:v>
                </c:pt>
                <c:pt idx="42">
                  <c:v>160</c:v>
                </c:pt>
                <c:pt idx="43">
                  <c:v>160</c:v>
                </c:pt>
                <c:pt idx="44">
                  <c:v>170</c:v>
                </c:pt>
                <c:pt idx="45">
                  <c:v>140</c:v>
                </c:pt>
                <c:pt idx="46">
                  <c:v>110</c:v>
                </c:pt>
                <c:pt idx="47">
                  <c:v>120</c:v>
                </c:pt>
                <c:pt idx="48">
                  <c:v>75</c:v>
                </c:pt>
                <c:pt idx="49">
                  <c:v>120</c:v>
                </c:pt>
                <c:pt idx="50">
                  <c:v>180</c:v>
                </c:pt>
                <c:pt idx="51">
                  <c:v>210</c:v>
                </c:pt>
                <c:pt idx="52">
                  <c:v>180</c:v>
                </c:pt>
                <c:pt idx="53">
                  <c:v>150</c:v>
                </c:pt>
                <c:pt idx="54">
                  <c:v>110</c:v>
                </c:pt>
                <c:pt idx="55">
                  <c:v>120</c:v>
                </c:pt>
                <c:pt idx="56">
                  <c:v>110</c:v>
                </c:pt>
                <c:pt idx="57">
                  <c:v>120</c:v>
                </c:pt>
                <c:pt idx="58">
                  <c:v>93</c:v>
                </c:pt>
                <c:pt idx="59">
                  <c:v>70</c:v>
                </c:pt>
                <c:pt idx="60">
                  <c:v>72</c:v>
                </c:pt>
                <c:pt idx="61">
                  <c:v>120</c:v>
                </c:pt>
                <c:pt idx="62">
                  <c:v>170</c:v>
                </c:pt>
                <c:pt idx="63">
                  <c:v>150</c:v>
                </c:pt>
                <c:pt idx="64">
                  <c:v>140</c:v>
                </c:pt>
                <c:pt idx="65">
                  <c:v>120</c:v>
                </c:pt>
                <c:pt idx="66">
                  <c:v>130</c:v>
                </c:pt>
                <c:pt idx="67">
                  <c:v>120</c:v>
                </c:pt>
                <c:pt idx="68">
                  <c:v>120</c:v>
                </c:pt>
                <c:pt idx="69">
                  <c:v>120</c:v>
                </c:pt>
                <c:pt idx="70">
                  <c:v>81</c:v>
                </c:pt>
                <c:pt idx="71">
                  <c:v>48</c:v>
                </c:pt>
                <c:pt idx="72">
                  <c:v>51</c:v>
                </c:pt>
                <c:pt idx="73">
                  <c:v>100</c:v>
                </c:pt>
                <c:pt idx="74">
                  <c:v>130</c:v>
                </c:pt>
                <c:pt idx="75">
                  <c:v>170</c:v>
                </c:pt>
                <c:pt idx="76">
                  <c:v>130</c:v>
                </c:pt>
                <c:pt idx="77">
                  <c:v>120</c:v>
                </c:pt>
                <c:pt idx="78">
                  <c:v>110</c:v>
                </c:pt>
                <c:pt idx="79">
                  <c:v>100</c:v>
                </c:pt>
                <c:pt idx="80">
                  <c:v>80</c:v>
                </c:pt>
                <c:pt idx="81">
                  <c:v>180</c:v>
                </c:pt>
                <c:pt idx="82">
                  <c:v>200</c:v>
                </c:pt>
                <c:pt idx="83">
                  <c:v>200</c:v>
                </c:pt>
                <c:pt idx="84">
                  <c:v>190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濃度回帰式!$R$55</c:f>
              <c:strCache>
                <c:ptCount val="1"/>
                <c:pt idx="0">
                  <c:v>回帰式_Cs-137</c:v>
                </c:pt>
              </c:strCache>
            </c:strRef>
          </c:tx>
          <c:spPr>
            <a:ln w="25400"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濃度回帰式!$E$62:$E$146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濃度回帰式!$R$62:$R$146</c:f>
              <c:numCache>
                <c:formatCode>0</c:formatCode>
                <c:ptCount val="85"/>
                <c:pt idx="1">
                  <c:v>619.11163311909479</c:v>
                </c:pt>
                <c:pt idx="2">
                  <c:v>893.14449191352446</c:v>
                </c:pt>
                <c:pt idx="3">
                  <c:v>921.94337224211188</c:v>
                </c:pt>
                <c:pt idx="4">
                  <c:v>840.16902975276457</c:v>
                </c:pt>
                <c:pt idx="5">
                  <c:v>698.30436134875242</c:v>
                </c:pt>
                <c:pt idx="6">
                  <c:v>623.69646112611258</c:v>
                </c:pt>
                <c:pt idx="7">
                  <c:v>552.95647959774908</c:v>
                </c:pt>
                <c:pt idx="8">
                  <c:v>443.34245582281784</c:v>
                </c:pt>
                <c:pt idx="9">
                  <c:v>315.08998786242449</c:v>
                </c:pt>
                <c:pt idx="10">
                  <c:v>273.69205588226487</c:v>
                </c:pt>
                <c:pt idx="11">
                  <c:v>240.48040595634467</c:v>
                </c:pt>
                <c:pt idx="12">
                  <c:v>215.9464076889418</c:v>
                </c:pt>
                <c:pt idx="13">
                  <c:v>355.89706653956932</c:v>
                </c:pt>
                <c:pt idx="14">
                  <c:v>516.84227119223203</c:v>
                </c:pt>
                <c:pt idx="15">
                  <c:v>537.1742141586318</c:v>
                </c:pt>
                <c:pt idx="16">
                  <c:v>492.94600607645924</c:v>
                </c:pt>
                <c:pt idx="17">
                  <c:v>412.69059731125117</c:v>
                </c:pt>
                <c:pt idx="18">
                  <c:v>371.32376796552376</c:v>
                </c:pt>
                <c:pt idx="19">
                  <c:v>331.7052894234115</c:v>
                </c:pt>
                <c:pt idx="20">
                  <c:v>268.06228702177407</c:v>
                </c:pt>
                <c:pt idx="21">
                  <c:v>191.99518123089607</c:v>
                </c:pt>
                <c:pt idx="22">
                  <c:v>168.20015468298203</c:v>
                </c:pt>
                <c:pt idx="23">
                  <c:v>149.05561249246404</c:v>
                </c:pt>
                <c:pt idx="24">
                  <c:v>134.93903507617941</c:v>
                </c:pt>
                <c:pt idx="25">
                  <c:v>224.38568056284529</c:v>
                </c:pt>
                <c:pt idx="26">
                  <c:v>328.67139039305005</c:v>
                </c:pt>
                <c:pt idx="27">
                  <c:v>344.77370251768696</c:v>
                </c:pt>
                <c:pt idx="28">
                  <c:v>319.22487223296105</c:v>
                </c:pt>
                <c:pt idx="29">
                  <c:v>269.8498753976699</c:v>
                </c:pt>
                <c:pt idx="30">
                  <c:v>245.12734787655489</c:v>
                </c:pt>
                <c:pt idx="31">
                  <c:v>221.03578628056266</c:v>
                </c:pt>
                <c:pt idx="32">
                  <c:v>180.4053801930381</c:v>
                </c:pt>
                <c:pt idx="33">
                  <c:v>130.45785984156714</c:v>
                </c:pt>
                <c:pt idx="34">
                  <c:v>115.44115043282261</c:v>
                </c:pt>
                <c:pt idx="35">
                  <c:v>103.32991123415472</c:v>
                </c:pt>
                <c:pt idx="36">
                  <c:v>94.389697224070218</c:v>
                </c:pt>
                <c:pt idx="37">
                  <c:v>158.53918906284284</c:v>
                </c:pt>
                <c:pt idx="38">
                  <c:v>234.52019095962723</c:v>
                </c:pt>
                <c:pt idx="39">
                  <c:v>248.49911277488587</c:v>
                </c:pt>
                <c:pt idx="40">
                  <c:v>232.3122307271469</c:v>
                </c:pt>
                <c:pt idx="41">
                  <c:v>198.36209778918848</c:v>
                </c:pt>
                <c:pt idx="42">
                  <c:v>182.00381952052985</c:v>
                </c:pt>
                <c:pt idx="43">
                  <c:v>165.67070815564415</c:v>
                </c:pt>
                <c:pt idx="44">
                  <c:v>136.53162753033865</c:v>
                </c:pt>
                <c:pt idx="45">
                  <c:v>99.669438020800342</c:v>
                </c:pt>
                <c:pt idx="46">
                  <c:v>89.030199189001422</c:v>
                </c:pt>
                <c:pt idx="47">
                  <c:v>80.424203285927177</c:v>
                </c:pt>
                <c:pt idx="48">
                  <c:v>74.071024287227857</c:v>
                </c:pt>
                <c:pt idx="49">
                  <c:v>125.55892816921619</c:v>
                </c:pt>
                <c:pt idx="50">
                  <c:v>187.33818923251644</c:v>
                </c:pt>
                <c:pt idx="51">
                  <c:v>200.23026219523791</c:v>
                </c:pt>
                <c:pt idx="52">
                  <c:v>188.77485075829043</c:v>
                </c:pt>
                <c:pt idx="53">
                  <c:v>162.52860193505822</c:v>
                </c:pt>
                <c:pt idx="54">
                  <c:v>150.38066495457664</c:v>
                </c:pt>
                <c:pt idx="55">
                  <c:v>137.93921947435391</c:v>
                </c:pt>
                <c:pt idx="56">
                  <c:v>114.57784828591433</c:v>
                </c:pt>
                <c:pt idx="57">
                  <c:v>84.238705438379597</c:v>
                </c:pt>
                <c:pt idx="58">
                  <c:v>75.801483917461184</c:v>
                </c:pt>
                <c:pt idx="59">
                  <c:v>68.976714710764995</c:v>
                </c:pt>
                <c:pt idx="60">
                  <c:v>63.941519707196882</c:v>
                </c:pt>
                <c:pt idx="61">
                  <c:v>109.10597749205307</c:v>
                </c:pt>
                <c:pt idx="62">
                  <c:v>163.80954829020123</c:v>
                </c:pt>
                <c:pt idx="63">
                  <c:v>176.22784908908042</c:v>
                </c:pt>
                <c:pt idx="64">
                  <c:v>167.0949736629147</c:v>
                </c:pt>
                <c:pt idx="65">
                  <c:v>144.69053005288382</c:v>
                </c:pt>
                <c:pt idx="66">
                  <c:v>134.5810598573712</c:v>
                </c:pt>
                <c:pt idx="67">
                  <c:v>124.1027901428062</c:v>
                </c:pt>
                <c:pt idx="68">
                  <c:v>103.6093310809801</c:v>
                </c:pt>
                <c:pt idx="69">
                  <c:v>76.543721190423028</c:v>
                </c:pt>
                <c:pt idx="70">
                  <c:v>69.210734499811736</c:v>
                </c:pt>
                <c:pt idx="71">
                  <c:v>63.270678548787757</c:v>
                </c:pt>
                <c:pt idx="72">
                  <c:v>58.882327891800372</c:v>
                </c:pt>
                <c:pt idx="73">
                  <c:v>100.88966652746389</c:v>
                </c:pt>
                <c:pt idx="74">
                  <c:v>152.07690548816228</c:v>
                </c:pt>
                <c:pt idx="75">
                  <c:v>164.16326699435419</c:v>
                </c:pt>
                <c:pt idx="76">
                  <c:v>156.23888298457661</c:v>
                </c:pt>
                <c:pt idx="77">
                  <c:v>135.75285271576826</c:v>
                </c:pt>
                <c:pt idx="78">
                  <c:v>126.70455463803174</c:v>
                </c:pt>
                <c:pt idx="79">
                  <c:v>117.19802911331773</c:v>
                </c:pt>
                <c:pt idx="80">
                  <c:v>98.154094442414916</c:v>
                </c:pt>
                <c:pt idx="81">
                  <c:v>72.663092020679144</c:v>
                </c:pt>
                <c:pt idx="82">
                  <c:v>65.854477606270748</c:v>
                </c:pt>
                <c:pt idx="83">
                  <c:v>60.345219542212263</c:v>
                </c:pt>
                <c:pt idx="84">
                  <c:v>56.290567829731557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濃度回帰式!$P$55</c:f>
              <c:strCache>
                <c:ptCount val="1"/>
                <c:pt idx="0">
                  <c:v>Cs-137:事故日1200から減衰</c:v>
                </c:pt>
              </c:strCache>
            </c:strRef>
          </c:tx>
          <c:marker>
            <c:symbol val="none"/>
          </c:marker>
          <c:cat>
            <c:numRef>
              <c:f>濃度回帰式!$E$62:$E$146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濃度回帰式!$P$62:$P$146</c:f>
              <c:numCache>
                <c:formatCode>0</c:formatCode>
                <c:ptCount val="85"/>
                <c:pt idx="0">
                  <c:v>1200</c:v>
                </c:pt>
                <c:pt idx="1">
                  <c:v>576.83092372613953</c:v>
                </c:pt>
                <c:pt idx="2">
                  <c:v>544.908013145724</c:v>
                </c:pt>
                <c:pt idx="3">
                  <c:v>513.77583790499762</c:v>
                </c:pt>
                <c:pt idx="4">
                  <c:v>485.34251462566851</c:v>
                </c:pt>
                <c:pt idx="5">
                  <c:v>457.61348907900185</c:v>
                </c:pt>
                <c:pt idx="6">
                  <c:v>431.46870318700604</c:v>
                </c:pt>
                <c:pt idx="7">
                  <c:v>407.59041188266207</c:v>
                </c:pt>
                <c:pt idx="8">
                  <c:v>384.30358947768934</c:v>
                </c:pt>
                <c:pt idx="9">
                  <c:v>363.03550446695323</c:v>
                </c:pt>
                <c:pt idx="10">
                  <c:v>342.29423314957177</c:v>
                </c:pt>
                <c:pt idx="11">
                  <c:v>322.73797082047895</c:v>
                </c:pt>
                <c:pt idx="12">
                  <c:v>306.0363966679954</c:v>
                </c:pt>
                <c:pt idx="13">
                  <c:v>288.55164969922481</c:v>
                </c:pt>
                <c:pt idx="14">
                  <c:v>272.58265751746552</c:v>
                </c:pt>
                <c:pt idx="15">
                  <c:v>257.00921969549813</c:v>
                </c:pt>
                <c:pt idx="16">
                  <c:v>242.78584504407786</c:v>
                </c:pt>
                <c:pt idx="17">
                  <c:v>228.91478554130859</c:v>
                </c:pt>
                <c:pt idx="18">
                  <c:v>215.83621989951558</c:v>
                </c:pt>
                <c:pt idx="19">
                  <c:v>203.89143666327854</c:v>
                </c:pt>
                <c:pt idx="20">
                  <c:v>192.24252752053997</c:v>
                </c:pt>
                <c:pt idx="21">
                  <c:v>181.60346369201193</c:v>
                </c:pt>
                <c:pt idx="22">
                  <c:v>171.22793108909769</c:v>
                </c:pt>
                <c:pt idx="23">
                  <c:v>161.44518275695441</c:v>
                </c:pt>
                <c:pt idx="24">
                  <c:v>153.09045249536908</c:v>
                </c:pt>
                <c:pt idx="25">
                  <c:v>144.34395092117873</c:v>
                </c:pt>
                <c:pt idx="26">
                  <c:v>136.35568460508864</c:v>
                </c:pt>
                <c:pt idx="27">
                  <c:v>128.56528885794515</c:v>
                </c:pt>
                <c:pt idx="28">
                  <c:v>121.45024344143765</c:v>
                </c:pt>
                <c:pt idx="29">
                  <c:v>114.51143877967435</c:v>
                </c:pt>
                <c:pt idx="30">
                  <c:v>107.96906815352763</c:v>
                </c:pt>
                <c:pt idx="31">
                  <c:v>101.99385641236198</c:v>
                </c:pt>
                <c:pt idx="32">
                  <c:v>96.166651572821493</c:v>
                </c:pt>
                <c:pt idx="33">
                  <c:v>90.844607811459895</c:v>
                </c:pt>
                <c:pt idx="34">
                  <c:v>85.654391881739102</c:v>
                </c:pt>
                <c:pt idx="35">
                  <c:v>80.760708041771352</c:v>
                </c:pt>
                <c:pt idx="36">
                  <c:v>76.581370387334019</c:v>
                </c:pt>
                <c:pt idx="37">
                  <c:v>72.206054580708368</c:v>
                </c:pt>
                <c:pt idx="38">
                  <c:v>68.210035419920615</c:v>
                </c:pt>
                <c:pt idx="39">
                  <c:v>64.312998260180336</c:v>
                </c:pt>
                <c:pt idx="40">
                  <c:v>60.753795713694004</c:v>
                </c:pt>
                <c:pt idx="41">
                  <c:v>57.282755154427697</c:v>
                </c:pt>
                <c:pt idx="42">
                  <c:v>54.010025209708829</c:v>
                </c:pt>
                <c:pt idx="43">
                  <c:v>51.021008611780928</c:v>
                </c:pt>
                <c:pt idx="44">
                  <c:v>48.106030408596013</c:v>
                </c:pt>
                <c:pt idx="45">
                  <c:v>45.44375201132781</c:v>
                </c:pt>
                <c:pt idx="46">
                  <c:v>42.847418653986558</c:v>
                </c:pt>
                <c:pt idx="47">
                  <c:v>40.39942135174843</c:v>
                </c:pt>
                <c:pt idx="48">
                  <c:v>38.236134659234203</c:v>
                </c:pt>
                <c:pt idx="49">
                  <c:v>36.051593386171731</c:v>
                </c:pt>
                <c:pt idx="50">
                  <c:v>34.056430254982452</c:v>
                </c:pt>
                <c:pt idx="51">
                  <c:v>32.110687617338115</c:v>
                </c:pt>
                <c:pt idx="52">
                  <c:v>30.333621639560175</c:v>
                </c:pt>
                <c:pt idx="53">
                  <c:v>28.600573855738844</c:v>
                </c:pt>
                <c:pt idx="54">
                  <c:v>26.966540118334276</c:v>
                </c:pt>
                <c:pt idx="55">
                  <c:v>25.474160959290661</c:v>
                </c:pt>
                <c:pt idx="56">
                  <c:v>24.018748258499592</c:v>
                </c:pt>
                <c:pt idx="57">
                  <c:v>22.689505457235327</c:v>
                </c:pt>
                <c:pt idx="58">
                  <c:v>21.393188201883877</c:v>
                </c:pt>
                <c:pt idx="59">
                  <c:v>20.170933311165683</c:v>
                </c:pt>
                <c:pt idx="60">
                  <c:v>19.127094752086979</c:v>
                </c:pt>
                <c:pt idx="61">
                  <c:v>18.034308352726946</c:v>
                </c:pt>
                <c:pt idx="62">
                  <c:v>17.036255735844243</c:v>
                </c:pt>
                <c:pt idx="63">
                  <c:v>16.062925033745909</c:v>
                </c:pt>
                <c:pt idx="64">
                  <c:v>15.173972485571428</c:v>
                </c:pt>
                <c:pt idx="65">
                  <c:v>14.307039426922424</c:v>
                </c:pt>
                <c:pt idx="66">
                  <c:v>13.489636768364312</c:v>
                </c:pt>
                <c:pt idx="67">
                  <c:v>12.743094843155014</c:v>
                </c:pt>
                <c:pt idx="68">
                  <c:v>12.015044874728128</c:v>
                </c:pt>
                <c:pt idx="69">
                  <c:v>11.350109644352496</c:v>
                </c:pt>
                <c:pt idx="70">
                  <c:v>10.701644960543659</c:v>
                </c:pt>
                <c:pt idx="71">
                  <c:v>10.09022894492602</c:v>
                </c:pt>
                <c:pt idx="72">
                  <c:v>9.5680632186224521</c:v>
                </c:pt>
                <c:pt idx="73">
                  <c:v>9.0214120157581537</c:v>
                </c:pt>
                <c:pt idx="74">
                  <c:v>8.5221500704591477</c:v>
                </c:pt>
                <c:pt idx="75">
                  <c:v>8.0352549193130525</c:v>
                </c:pt>
                <c:pt idx="76">
                  <c:v>7.5905687665265305</c:v>
                </c:pt>
                <c:pt idx="77">
                  <c:v>7.156897557229974</c:v>
                </c:pt>
                <c:pt idx="78">
                  <c:v>6.7480032419393199</c:v>
                </c:pt>
                <c:pt idx="79">
                  <c:v>6.3745560233032865</c:v>
                </c:pt>
                <c:pt idx="80">
                  <c:v>6.0103591489471091</c:v>
                </c:pt>
                <c:pt idx="81">
                  <c:v>5.6777345447934104</c:v>
                </c:pt>
                <c:pt idx="82">
                  <c:v>5.3533491025636142</c:v>
                </c:pt>
                <c:pt idx="83">
                  <c:v>5.0474967414950562</c:v>
                </c:pt>
                <c:pt idx="84">
                  <c:v>4.7862905967759062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1264128"/>
        <c:axId val="281265664"/>
      </c:lineChart>
      <c:dateAx>
        <c:axId val="281264128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ja-JP"/>
          </a:p>
        </c:txPr>
        <c:crossAx val="281265664"/>
        <c:crosses val="autoZero"/>
        <c:auto val="0"/>
        <c:lblOffset val="100"/>
        <c:baseTimeUnit val="days"/>
        <c:majorUnit val="6"/>
        <c:majorTimeUnit val="months"/>
      </c:dateAx>
      <c:valAx>
        <c:axId val="281265664"/>
        <c:scaling>
          <c:logBase val="10"/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in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281264128"/>
        <c:crosses val="autoZero"/>
        <c:crossBetween val="between"/>
        <c:majorUnit val="5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27636338038007013"/>
          <c:y val="5.7577241086361648E-2"/>
          <c:w val="0.62622810100278092"/>
          <c:h val="0.14863429934328748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>
              <a:lumMod val="50000"/>
              <a:lumOff val="50000"/>
            </a:sysClr>
          </a:solidFill>
        </a:ln>
      </c:spPr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>
                <a:latin typeface="Meiryo UI" panose="020B0604030504040204" pitchFamily="50" charset="-128"/>
                <a:ea typeface="Meiryo UI" panose="020B0604030504040204" pitchFamily="50" charset="-128"/>
              </a:rPr>
              <a:t>角度間隔調整</a:t>
            </a:r>
            <a:endParaRPr lang="en-US" altLang="ja-JP"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20703968295353808"/>
          <c:y val="6.3686979885808126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046150481189847E-2"/>
          <c:y val="4.7416251223034993E-2"/>
          <c:w val="0.88012926509186351"/>
          <c:h val="0.82178154271000481"/>
        </c:manualLayout>
      </c:layout>
      <c:lineChart>
        <c:grouping val="standard"/>
        <c:varyColors val="0"/>
        <c:ser>
          <c:idx val="2"/>
          <c:order val="0"/>
          <c:tx>
            <c:strRef>
              <c:f>濃度回帰式!$V$55</c:f>
              <c:strCache>
                <c:ptCount val="1"/>
                <c:pt idx="0">
                  <c:v>角度間隔ゆらぎCOS()</c:v>
                </c:pt>
              </c:strCache>
            </c:strRef>
          </c:tx>
          <c:spPr>
            <a:ln w="25400">
              <a:solidFill>
                <a:srgbClr val="0066FF"/>
              </a:solidFill>
              <a:prstDash val="solid"/>
            </a:ln>
          </c:spPr>
          <c:marker>
            <c:symbol val="none"/>
          </c:marker>
          <c:cat>
            <c:numRef>
              <c:f>濃度回帰式!$E$63:$E$146</c:f>
              <c:numCache>
                <c:formatCode>[$-411]m\.d\.ge</c:formatCode>
                <c:ptCount val="84"/>
                <c:pt idx="0">
                  <c:v>41000</c:v>
                </c:pt>
                <c:pt idx="1">
                  <c:v>41030</c:v>
                </c:pt>
                <c:pt idx="2">
                  <c:v>41061</c:v>
                </c:pt>
                <c:pt idx="3">
                  <c:v>41091</c:v>
                </c:pt>
                <c:pt idx="4">
                  <c:v>41122</c:v>
                </c:pt>
                <c:pt idx="5">
                  <c:v>41153</c:v>
                </c:pt>
                <c:pt idx="6">
                  <c:v>41183</c:v>
                </c:pt>
                <c:pt idx="7">
                  <c:v>41214</c:v>
                </c:pt>
                <c:pt idx="8">
                  <c:v>41244</c:v>
                </c:pt>
                <c:pt idx="9">
                  <c:v>41275</c:v>
                </c:pt>
                <c:pt idx="10">
                  <c:v>41306</c:v>
                </c:pt>
                <c:pt idx="11">
                  <c:v>41334</c:v>
                </c:pt>
                <c:pt idx="12">
                  <c:v>41365</c:v>
                </c:pt>
                <c:pt idx="13">
                  <c:v>41395</c:v>
                </c:pt>
                <c:pt idx="14">
                  <c:v>41426</c:v>
                </c:pt>
                <c:pt idx="15">
                  <c:v>41456</c:v>
                </c:pt>
                <c:pt idx="16">
                  <c:v>41487</c:v>
                </c:pt>
                <c:pt idx="17">
                  <c:v>41518</c:v>
                </c:pt>
                <c:pt idx="18">
                  <c:v>41548</c:v>
                </c:pt>
                <c:pt idx="19">
                  <c:v>41579</c:v>
                </c:pt>
                <c:pt idx="20">
                  <c:v>41609</c:v>
                </c:pt>
                <c:pt idx="21">
                  <c:v>41640</c:v>
                </c:pt>
                <c:pt idx="22">
                  <c:v>41671</c:v>
                </c:pt>
                <c:pt idx="23">
                  <c:v>41699</c:v>
                </c:pt>
                <c:pt idx="24">
                  <c:v>41730</c:v>
                </c:pt>
                <c:pt idx="25">
                  <c:v>41760</c:v>
                </c:pt>
                <c:pt idx="26">
                  <c:v>41791</c:v>
                </c:pt>
                <c:pt idx="27">
                  <c:v>41821</c:v>
                </c:pt>
                <c:pt idx="28">
                  <c:v>41852</c:v>
                </c:pt>
                <c:pt idx="29">
                  <c:v>41883</c:v>
                </c:pt>
                <c:pt idx="30">
                  <c:v>41913</c:v>
                </c:pt>
                <c:pt idx="31">
                  <c:v>41944</c:v>
                </c:pt>
                <c:pt idx="32">
                  <c:v>41974</c:v>
                </c:pt>
                <c:pt idx="33">
                  <c:v>42005</c:v>
                </c:pt>
                <c:pt idx="34">
                  <c:v>42036</c:v>
                </c:pt>
                <c:pt idx="35">
                  <c:v>42064</c:v>
                </c:pt>
                <c:pt idx="36">
                  <c:v>42095</c:v>
                </c:pt>
                <c:pt idx="37">
                  <c:v>42125</c:v>
                </c:pt>
                <c:pt idx="38">
                  <c:v>42156</c:v>
                </c:pt>
                <c:pt idx="39">
                  <c:v>42186</c:v>
                </c:pt>
                <c:pt idx="40">
                  <c:v>42217</c:v>
                </c:pt>
                <c:pt idx="41">
                  <c:v>42248</c:v>
                </c:pt>
                <c:pt idx="42">
                  <c:v>42278</c:v>
                </c:pt>
                <c:pt idx="43">
                  <c:v>42309</c:v>
                </c:pt>
                <c:pt idx="44">
                  <c:v>42339</c:v>
                </c:pt>
                <c:pt idx="45">
                  <c:v>42370</c:v>
                </c:pt>
                <c:pt idx="46">
                  <c:v>42401</c:v>
                </c:pt>
                <c:pt idx="47">
                  <c:v>42430</c:v>
                </c:pt>
                <c:pt idx="48">
                  <c:v>42461</c:v>
                </c:pt>
                <c:pt idx="49">
                  <c:v>42491</c:v>
                </c:pt>
                <c:pt idx="50">
                  <c:v>42522</c:v>
                </c:pt>
                <c:pt idx="51">
                  <c:v>42552</c:v>
                </c:pt>
                <c:pt idx="52">
                  <c:v>42583</c:v>
                </c:pt>
                <c:pt idx="53">
                  <c:v>42614</c:v>
                </c:pt>
                <c:pt idx="54">
                  <c:v>42644</c:v>
                </c:pt>
                <c:pt idx="55">
                  <c:v>42675</c:v>
                </c:pt>
                <c:pt idx="56">
                  <c:v>42705</c:v>
                </c:pt>
                <c:pt idx="57">
                  <c:v>42736</c:v>
                </c:pt>
                <c:pt idx="58">
                  <c:v>42767</c:v>
                </c:pt>
                <c:pt idx="59">
                  <c:v>42795</c:v>
                </c:pt>
                <c:pt idx="60">
                  <c:v>42826</c:v>
                </c:pt>
                <c:pt idx="61">
                  <c:v>42856</c:v>
                </c:pt>
                <c:pt idx="62">
                  <c:v>42887</c:v>
                </c:pt>
                <c:pt idx="63">
                  <c:v>42917</c:v>
                </c:pt>
                <c:pt idx="64">
                  <c:v>42948</c:v>
                </c:pt>
                <c:pt idx="65">
                  <c:v>42979</c:v>
                </c:pt>
                <c:pt idx="66">
                  <c:v>43009</c:v>
                </c:pt>
                <c:pt idx="67">
                  <c:v>43040</c:v>
                </c:pt>
                <c:pt idx="68">
                  <c:v>43070</c:v>
                </c:pt>
                <c:pt idx="69">
                  <c:v>43101</c:v>
                </c:pt>
                <c:pt idx="70">
                  <c:v>43132</c:v>
                </c:pt>
                <c:pt idx="71">
                  <c:v>43160</c:v>
                </c:pt>
                <c:pt idx="72">
                  <c:v>43191</c:v>
                </c:pt>
                <c:pt idx="73">
                  <c:v>43221</c:v>
                </c:pt>
                <c:pt idx="74">
                  <c:v>43252</c:v>
                </c:pt>
                <c:pt idx="75">
                  <c:v>43282</c:v>
                </c:pt>
                <c:pt idx="76">
                  <c:v>43313</c:v>
                </c:pt>
                <c:pt idx="77">
                  <c:v>43344</c:v>
                </c:pt>
                <c:pt idx="78">
                  <c:v>43374</c:v>
                </c:pt>
                <c:pt idx="79">
                  <c:v>43405</c:v>
                </c:pt>
                <c:pt idx="80">
                  <c:v>43435</c:v>
                </c:pt>
                <c:pt idx="81">
                  <c:v>43466</c:v>
                </c:pt>
                <c:pt idx="82">
                  <c:v>43497</c:v>
                </c:pt>
                <c:pt idx="83">
                  <c:v>43525</c:v>
                </c:pt>
              </c:numCache>
            </c:numRef>
          </c:cat>
          <c:val>
            <c:numRef>
              <c:f>濃度回帰式!$V$63:$V$146</c:f>
              <c:numCache>
                <c:formatCode>0.00</c:formatCode>
                <c:ptCount val="84"/>
                <c:pt idx="0">
                  <c:v>0.17364817766693041</c:v>
                </c:pt>
                <c:pt idx="1">
                  <c:v>-0.7660444431189779</c:v>
                </c:pt>
                <c:pt idx="2">
                  <c:v>-1</c:v>
                </c:pt>
                <c:pt idx="3">
                  <c:v>-0.8660254037844386</c:v>
                </c:pt>
                <c:pt idx="4">
                  <c:v>-0.50000000000000044</c:v>
                </c:pt>
                <c:pt idx="5">
                  <c:v>-0.34202014332566855</c:v>
                </c:pt>
                <c:pt idx="6">
                  <c:v>-0.17364817766693033</c:v>
                </c:pt>
                <c:pt idx="7">
                  <c:v>0.17364817766692997</c:v>
                </c:pt>
                <c:pt idx="8">
                  <c:v>0.64278760968653925</c:v>
                </c:pt>
                <c:pt idx="9">
                  <c:v>0.76604444311897779</c:v>
                </c:pt>
                <c:pt idx="10">
                  <c:v>0.86602540378443837</c:v>
                </c:pt>
                <c:pt idx="11">
                  <c:v>0.93969262078590843</c:v>
                </c:pt>
                <c:pt idx="12">
                  <c:v>0.17364817766693041</c:v>
                </c:pt>
                <c:pt idx="13">
                  <c:v>-0.7660444431189779</c:v>
                </c:pt>
                <c:pt idx="14">
                  <c:v>-1</c:v>
                </c:pt>
                <c:pt idx="15">
                  <c:v>-0.8660254037844386</c:v>
                </c:pt>
                <c:pt idx="16">
                  <c:v>-0.50000000000000044</c:v>
                </c:pt>
                <c:pt idx="17">
                  <c:v>-0.34202014332566855</c:v>
                </c:pt>
                <c:pt idx="18">
                  <c:v>-0.17364817766693033</c:v>
                </c:pt>
                <c:pt idx="19">
                  <c:v>0.17364817766692997</c:v>
                </c:pt>
                <c:pt idx="20">
                  <c:v>0.64278760968653925</c:v>
                </c:pt>
                <c:pt idx="21">
                  <c:v>0.76604444311897779</c:v>
                </c:pt>
                <c:pt idx="22">
                  <c:v>0.86602540378443837</c:v>
                </c:pt>
                <c:pt idx="23">
                  <c:v>0.93969262078590843</c:v>
                </c:pt>
                <c:pt idx="24">
                  <c:v>0.17364817766693041</c:v>
                </c:pt>
                <c:pt idx="25">
                  <c:v>-0.7660444431189779</c:v>
                </c:pt>
                <c:pt idx="26">
                  <c:v>-1</c:v>
                </c:pt>
                <c:pt idx="27">
                  <c:v>-0.8660254037844386</c:v>
                </c:pt>
                <c:pt idx="28">
                  <c:v>-0.50000000000000044</c:v>
                </c:pt>
                <c:pt idx="29">
                  <c:v>-0.34202014332566855</c:v>
                </c:pt>
                <c:pt idx="30">
                  <c:v>-0.17364817766693033</c:v>
                </c:pt>
                <c:pt idx="31">
                  <c:v>0.17364817766692997</c:v>
                </c:pt>
                <c:pt idx="32">
                  <c:v>0.64278760968653925</c:v>
                </c:pt>
                <c:pt idx="33">
                  <c:v>0.76604444311897779</c:v>
                </c:pt>
                <c:pt idx="34">
                  <c:v>0.86602540378443837</c:v>
                </c:pt>
                <c:pt idx="35">
                  <c:v>0.93969262078590843</c:v>
                </c:pt>
                <c:pt idx="36">
                  <c:v>0.17364817766693041</c:v>
                </c:pt>
                <c:pt idx="37">
                  <c:v>-0.7660444431189779</c:v>
                </c:pt>
                <c:pt idx="38">
                  <c:v>-1</c:v>
                </c:pt>
                <c:pt idx="39">
                  <c:v>-0.8660254037844386</c:v>
                </c:pt>
                <c:pt idx="40">
                  <c:v>-0.50000000000000044</c:v>
                </c:pt>
                <c:pt idx="41">
                  <c:v>-0.34202014332566855</c:v>
                </c:pt>
                <c:pt idx="42">
                  <c:v>-0.17364817766693033</c:v>
                </c:pt>
                <c:pt idx="43">
                  <c:v>0.17364817766692997</c:v>
                </c:pt>
                <c:pt idx="44">
                  <c:v>0.64278760968653925</c:v>
                </c:pt>
                <c:pt idx="45">
                  <c:v>0.76604444311897779</c:v>
                </c:pt>
                <c:pt idx="46">
                  <c:v>0.86602540378443837</c:v>
                </c:pt>
                <c:pt idx="47">
                  <c:v>0.93969262078590843</c:v>
                </c:pt>
                <c:pt idx="48">
                  <c:v>0.17364817766693041</c:v>
                </c:pt>
                <c:pt idx="49">
                  <c:v>-0.7660444431189779</c:v>
                </c:pt>
                <c:pt idx="50">
                  <c:v>-1</c:v>
                </c:pt>
                <c:pt idx="51">
                  <c:v>-0.8660254037844386</c:v>
                </c:pt>
                <c:pt idx="52">
                  <c:v>-0.50000000000000044</c:v>
                </c:pt>
                <c:pt idx="53">
                  <c:v>-0.34202014332566855</c:v>
                </c:pt>
                <c:pt idx="54">
                  <c:v>-0.17364817766693033</c:v>
                </c:pt>
                <c:pt idx="55">
                  <c:v>0.17364817766692997</c:v>
                </c:pt>
                <c:pt idx="56">
                  <c:v>0.64278760968653925</c:v>
                </c:pt>
                <c:pt idx="57">
                  <c:v>0.76604444311897779</c:v>
                </c:pt>
                <c:pt idx="58">
                  <c:v>0.86602540378443837</c:v>
                </c:pt>
                <c:pt idx="59">
                  <c:v>0.93969262078590843</c:v>
                </c:pt>
                <c:pt idx="60">
                  <c:v>0.17364817766693041</c:v>
                </c:pt>
                <c:pt idx="61">
                  <c:v>-0.7660444431189779</c:v>
                </c:pt>
                <c:pt idx="62">
                  <c:v>-1</c:v>
                </c:pt>
                <c:pt idx="63">
                  <c:v>-0.8660254037844386</c:v>
                </c:pt>
                <c:pt idx="64">
                  <c:v>-0.50000000000000044</c:v>
                </c:pt>
                <c:pt idx="65">
                  <c:v>-0.34202014332566855</c:v>
                </c:pt>
                <c:pt idx="66">
                  <c:v>-0.17364817766693033</c:v>
                </c:pt>
                <c:pt idx="67">
                  <c:v>0.17364817766692997</c:v>
                </c:pt>
                <c:pt idx="68">
                  <c:v>0.64278760968653925</c:v>
                </c:pt>
                <c:pt idx="69">
                  <c:v>0.76604444311897779</c:v>
                </c:pt>
                <c:pt idx="70">
                  <c:v>0.86602540378443837</c:v>
                </c:pt>
                <c:pt idx="71">
                  <c:v>0.93969262078590843</c:v>
                </c:pt>
                <c:pt idx="72">
                  <c:v>0.17364817766693041</c:v>
                </c:pt>
                <c:pt idx="73">
                  <c:v>-0.7660444431189779</c:v>
                </c:pt>
                <c:pt idx="74">
                  <c:v>-1</c:v>
                </c:pt>
                <c:pt idx="75">
                  <c:v>-0.8660254037844386</c:v>
                </c:pt>
                <c:pt idx="76">
                  <c:v>-0.50000000000000044</c:v>
                </c:pt>
                <c:pt idx="77">
                  <c:v>-0.34202014332566855</c:v>
                </c:pt>
                <c:pt idx="78">
                  <c:v>-0.17364817766693033</c:v>
                </c:pt>
                <c:pt idx="79">
                  <c:v>0.17364817766692997</c:v>
                </c:pt>
                <c:pt idx="80">
                  <c:v>0.64278760968653925</c:v>
                </c:pt>
                <c:pt idx="81">
                  <c:v>0.76604444311897779</c:v>
                </c:pt>
                <c:pt idx="82">
                  <c:v>0.86602540378443837</c:v>
                </c:pt>
                <c:pt idx="83">
                  <c:v>0.93969262078590843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濃度回帰式!$Y$55</c:f>
              <c:strCache>
                <c:ptCount val="1"/>
                <c:pt idx="0">
                  <c:v>30°等間隔COS()</c:v>
                </c:pt>
              </c:strCache>
            </c:strRef>
          </c:tx>
          <c:spPr>
            <a:ln w="38100">
              <a:solidFill>
                <a:srgbClr val="0066FF"/>
              </a:solidFill>
              <a:prstDash val="sysDot"/>
            </a:ln>
          </c:spPr>
          <c:marker>
            <c:symbol val="none"/>
          </c:marker>
          <c:cat>
            <c:numRef>
              <c:f>濃度回帰式!$E$63:$E$146</c:f>
              <c:numCache>
                <c:formatCode>[$-411]m\.d\.ge</c:formatCode>
                <c:ptCount val="84"/>
                <c:pt idx="0">
                  <c:v>41000</c:v>
                </c:pt>
                <c:pt idx="1">
                  <c:v>41030</c:v>
                </c:pt>
                <c:pt idx="2">
                  <c:v>41061</c:v>
                </c:pt>
                <c:pt idx="3">
                  <c:v>41091</c:v>
                </c:pt>
                <c:pt idx="4">
                  <c:v>41122</c:v>
                </c:pt>
                <c:pt idx="5">
                  <c:v>41153</c:v>
                </c:pt>
                <c:pt idx="6">
                  <c:v>41183</c:v>
                </c:pt>
                <c:pt idx="7">
                  <c:v>41214</c:v>
                </c:pt>
                <c:pt idx="8">
                  <c:v>41244</c:v>
                </c:pt>
                <c:pt idx="9">
                  <c:v>41275</c:v>
                </c:pt>
                <c:pt idx="10">
                  <c:v>41306</c:v>
                </c:pt>
                <c:pt idx="11">
                  <c:v>41334</c:v>
                </c:pt>
                <c:pt idx="12">
                  <c:v>41365</c:v>
                </c:pt>
                <c:pt idx="13">
                  <c:v>41395</c:v>
                </c:pt>
                <c:pt idx="14">
                  <c:v>41426</c:v>
                </c:pt>
                <c:pt idx="15">
                  <c:v>41456</c:v>
                </c:pt>
                <c:pt idx="16">
                  <c:v>41487</c:v>
                </c:pt>
                <c:pt idx="17">
                  <c:v>41518</c:v>
                </c:pt>
                <c:pt idx="18">
                  <c:v>41548</c:v>
                </c:pt>
                <c:pt idx="19">
                  <c:v>41579</c:v>
                </c:pt>
                <c:pt idx="20">
                  <c:v>41609</c:v>
                </c:pt>
                <c:pt idx="21">
                  <c:v>41640</c:v>
                </c:pt>
                <c:pt idx="22">
                  <c:v>41671</c:v>
                </c:pt>
                <c:pt idx="23">
                  <c:v>41699</c:v>
                </c:pt>
                <c:pt idx="24">
                  <c:v>41730</c:v>
                </c:pt>
                <c:pt idx="25">
                  <c:v>41760</c:v>
                </c:pt>
                <c:pt idx="26">
                  <c:v>41791</c:v>
                </c:pt>
                <c:pt idx="27">
                  <c:v>41821</c:v>
                </c:pt>
                <c:pt idx="28">
                  <c:v>41852</c:v>
                </c:pt>
                <c:pt idx="29">
                  <c:v>41883</c:v>
                </c:pt>
                <c:pt idx="30">
                  <c:v>41913</c:v>
                </c:pt>
                <c:pt idx="31">
                  <c:v>41944</c:v>
                </c:pt>
                <c:pt idx="32">
                  <c:v>41974</c:v>
                </c:pt>
                <c:pt idx="33">
                  <c:v>42005</c:v>
                </c:pt>
                <c:pt idx="34">
                  <c:v>42036</c:v>
                </c:pt>
                <c:pt idx="35">
                  <c:v>42064</c:v>
                </c:pt>
                <c:pt idx="36">
                  <c:v>42095</c:v>
                </c:pt>
                <c:pt idx="37">
                  <c:v>42125</c:v>
                </c:pt>
                <c:pt idx="38">
                  <c:v>42156</c:v>
                </c:pt>
                <c:pt idx="39">
                  <c:v>42186</c:v>
                </c:pt>
                <c:pt idx="40">
                  <c:v>42217</c:v>
                </c:pt>
                <c:pt idx="41">
                  <c:v>42248</c:v>
                </c:pt>
                <c:pt idx="42">
                  <c:v>42278</c:v>
                </c:pt>
                <c:pt idx="43">
                  <c:v>42309</c:v>
                </c:pt>
                <c:pt idx="44">
                  <c:v>42339</c:v>
                </c:pt>
                <c:pt idx="45">
                  <c:v>42370</c:v>
                </c:pt>
                <c:pt idx="46">
                  <c:v>42401</c:v>
                </c:pt>
                <c:pt idx="47">
                  <c:v>42430</c:v>
                </c:pt>
                <c:pt idx="48">
                  <c:v>42461</c:v>
                </c:pt>
                <c:pt idx="49">
                  <c:v>42491</c:v>
                </c:pt>
                <c:pt idx="50">
                  <c:v>42522</c:v>
                </c:pt>
                <c:pt idx="51">
                  <c:v>42552</c:v>
                </c:pt>
                <c:pt idx="52">
                  <c:v>42583</c:v>
                </c:pt>
                <c:pt idx="53">
                  <c:v>42614</c:v>
                </c:pt>
                <c:pt idx="54">
                  <c:v>42644</c:v>
                </c:pt>
                <c:pt idx="55">
                  <c:v>42675</c:v>
                </c:pt>
                <c:pt idx="56">
                  <c:v>42705</c:v>
                </c:pt>
                <c:pt idx="57">
                  <c:v>42736</c:v>
                </c:pt>
                <c:pt idx="58">
                  <c:v>42767</c:v>
                </c:pt>
                <c:pt idx="59">
                  <c:v>42795</c:v>
                </c:pt>
                <c:pt idx="60">
                  <c:v>42826</c:v>
                </c:pt>
                <c:pt idx="61">
                  <c:v>42856</c:v>
                </c:pt>
                <c:pt idx="62">
                  <c:v>42887</c:v>
                </c:pt>
                <c:pt idx="63">
                  <c:v>42917</c:v>
                </c:pt>
                <c:pt idx="64">
                  <c:v>42948</c:v>
                </c:pt>
                <c:pt idx="65">
                  <c:v>42979</c:v>
                </c:pt>
                <c:pt idx="66">
                  <c:v>43009</c:v>
                </c:pt>
                <c:pt idx="67">
                  <c:v>43040</c:v>
                </c:pt>
                <c:pt idx="68">
                  <c:v>43070</c:v>
                </c:pt>
                <c:pt idx="69">
                  <c:v>43101</c:v>
                </c:pt>
                <c:pt idx="70">
                  <c:v>43132</c:v>
                </c:pt>
                <c:pt idx="71">
                  <c:v>43160</c:v>
                </c:pt>
                <c:pt idx="72">
                  <c:v>43191</c:v>
                </c:pt>
                <c:pt idx="73">
                  <c:v>43221</c:v>
                </c:pt>
                <c:pt idx="74">
                  <c:v>43252</c:v>
                </c:pt>
                <c:pt idx="75">
                  <c:v>43282</c:v>
                </c:pt>
                <c:pt idx="76">
                  <c:v>43313</c:v>
                </c:pt>
                <c:pt idx="77">
                  <c:v>43344</c:v>
                </c:pt>
                <c:pt idx="78">
                  <c:v>43374</c:v>
                </c:pt>
                <c:pt idx="79">
                  <c:v>43405</c:v>
                </c:pt>
                <c:pt idx="80">
                  <c:v>43435</c:v>
                </c:pt>
                <c:pt idx="81">
                  <c:v>43466</c:v>
                </c:pt>
                <c:pt idx="82">
                  <c:v>43497</c:v>
                </c:pt>
                <c:pt idx="83">
                  <c:v>43525</c:v>
                </c:pt>
              </c:numCache>
            </c:numRef>
          </c:cat>
          <c:val>
            <c:numRef>
              <c:f>濃度回帰式!$Y$63:$Y$146</c:f>
              <c:numCache>
                <c:formatCode>0.00</c:formatCode>
                <c:ptCount val="84"/>
                <c:pt idx="0">
                  <c:v>0.17364817766693041</c:v>
                </c:pt>
                <c:pt idx="1">
                  <c:v>-0.34202014332566871</c:v>
                </c:pt>
                <c:pt idx="2">
                  <c:v>-0.7660444431189779</c:v>
                </c:pt>
                <c:pt idx="3">
                  <c:v>-0.98480775301220802</c:v>
                </c:pt>
                <c:pt idx="4">
                  <c:v>-0.93969262078590843</c:v>
                </c:pt>
                <c:pt idx="5">
                  <c:v>-0.64278760968653947</c:v>
                </c:pt>
                <c:pt idx="6">
                  <c:v>-0.17364817766693033</c:v>
                </c:pt>
                <c:pt idx="7">
                  <c:v>0.34202014332566899</c:v>
                </c:pt>
                <c:pt idx="8">
                  <c:v>0.76604444311897779</c:v>
                </c:pt>
                <c:pt idx="9">
                  <c:v>0.98480775301220802</c:v>
                </c:pt>
                <c:pt idx="10">
                  <c:v>0.93969262078590832</c:v>
                </c:pt>
                <c:pt idx="11">
                  <c:v>0.64278760968653958</c:v>
                </c:pt>
                <c:pt idx="12">
                  <c:v>0.17364817766693044</c:v>
                </c:pt>
                <c:pt idx="13">
                  <c:v>-0.34202014332566805</c:v>
                </c:pt>
                <c:pt idx="14">
                  <c:v>-0.76604444311897835</c:v>
                </c:pt>
                <c:pt idx="15">
                  <c:v>-0.98480775301220802</c:v>
                </c:pt>
                <c:pt idx="16">
                  <c:v>-0.93969262078590865</c:v>
                </c:pt>
                <c:pt idx="17">
                  <c:v>-0.64278760968653903</c:v>
                </c:pt>
                <c:pt idx="18">
                  <c:v>-0.17364817766693058</c:v>
                </c:pt>
                <c:pt idx="19">
                  <c:v>0.34202014332566794</c:v>
                </c:pt>
                <c:pt idx="20">
                  <c:v>0.76604444311897824</c:v>
                </c:pt>
                <c:pt idx="21">
                  <c:v>0.98480775301220802</c:v>
                </c:pt>
                <c:pt idx="22">
                  <c:v>0.93969262078590865</c:v>
                </c:pt>
                <c:pt idx="23">
                  <c:v>0.64278760968653914</c:v>
                </c:pt>
                <c:pt idx="24">
                  <c:v>0.17364817766693069</c:v>
                </c:pt>
                <c:pt idx="25">
                  <c:v>-0.34202014332566782</c:v>
                </c:pt>
                <c:pt idx="26">
                  <c:v>-0.76604444311897812</c:v>
                </c:pt>
                <c:pt idx="27">
                  <c:v>-0.98480775301220802</c:v>
                </c:pt>
                <c:pt idx="28">
                  <c:v>-0.93969262078590876</c:v>
                </c:pt>
                <c:pt idx="29">
                  <c:v>-0.64278760968654058</c:v>
                </c:pt>
                <c:pt idx="30">
                  <c:v>-0.17364817766692905</c:v>
                </c:pt>
                <c:pt idx="31">
                  <c:v>0.34202014332566938</c:v>
                </c:pt>
                <c:pt idx="32">
                  <c:v>0.76604444311897812</c:v>
                </c:pt>
                <c:pt idx="33">
                  <c:v>0.98480775301220802</c:v>
                </c:pt>
                <c:pt idx="34">
                  <c:v>0.93969262078590876</c:v>
                </c:pt>
                <c:pt idx="35">
                  <c:v>0.6427876096865407</c:v>
                </c:pt>
                <c:pt idx="36">
                  <c:v>0.17364817766692919</c:v>
                </c:pt>
                <c:pt idx="37">
                  <c:v>-0.34202014332566927</c:v>
                </c:pt>
                <c:pt idx="38">
                  <c:v>-0.76604444311897801</c:v>
                </c:pt>
                <c:pt idx="39">
                  <c:v>-0.98480775301220791</c:v>
                </c:pt>
                <c:pt idx="40">
                  <c:v>-0.93969262078590887</c:v>
                </c:pt>
                <c:pt idx="41">
                  <c:v>-0.64278760968654081</c:v>
                </c:pt>
                <c:pt idx="42">
                  <c:v>-0.1736481776669293</c:v>
                </c:pt>
                <c:pt idx="43">
                  <c:v>0.34202014332566916</c:v>
                </c:pt>
                <c:pt idx="44">
                  <c:v>0.7660444431189779</c:v>
                </c:pt>
                <c:pt idx="45">
                  <c:v>0.98480775301220791</c:v>
                </c:pt>
                <c:pt idx="46">
                  <c:v>0.93969262078590887</c:v>
                </c:pt>
                <c:pt idx="47">
                  <c:v>0.64278760968654081</c:v>
                </c:pt>
                <c:pt idx="48">
                  <c:v>0.17364817766692942</c:v>
                </c:pt>
                <c:pt idx="49">
                  <c:v>-0.34202014332566905</c:v>
                </c:pt>
                <c:pt idx="50">
                  <c:v>-0.7660444431189779</c:v>
                </c:pt>
                <c:pt idx="51">
                  <c:v>-0.98480775301220791</c:v>
                </c:pt>
                <c:pt idx="52">
                  <c:v>-0.93969262078590887</c:v>
                </c:pt>
                <c:pt idx="53">
                  <c:v>-0.64278760968654092</c:v>
                </c:pt>
                <c:pt idx="54">
                  <c:v>-0.17364817766692955</c:v>
                </c:pt>
                <c:pt idx="55">
                  <c:v>0.34202014332566893</c:v>
                </c:pt>
                <c:pt idx="56">
                  <c:v>0.76604444311897779</c:v>
                </c:pt>
                <c:pt idx="57">
                  <c:v>0.98480775301220791</c:v>
                </c:pt>
                <c:pt idx="58">
                  <c:v>0.93969262078590898</c:v>
                </c:pt>
                <c:pt idx="59">
                  <c:v>0.64278760968653836</c:v>
                </c:pt>
                <c:pt idx="60">
                  <c:v>0.17364817766693316</c:v>
                </c:pt>
                <c:pt idx="61">
                  <c:v>-0.34202014332566882</c:v>
                </c:pt>
                <c:pt idx="62">
                  <c:v>-0.76604444311897546</c:v>
                </c:pt>
                <c:pt idx="63">
                  <c:v>-0.98480775301220791</c:v>
                </c:pt>
                <c:pt idx="64">
                  <c:v>-0.93969262078590776</c:v>
                </c:pt>
                <c:pt idx="65">
                  <c:v>-0.64278760968654114</c:v>
                </c:pt>
                <c:pt idx="66">
                  <c:v>-0.17364817766692978</c:v>
                </c:pt>
                <c:pt idx="67">
                  <c:v>0.34202014332566538</c:v>
                </c:pt>
                <c:pt idx="68">
                  <c:v>0.76604444311897757</c:v>
                </c:pt>
                <c:pt idx="69">
                  <c:v>0.98480775301220846</c:v>
                </c:pt>
                <c:pt idx="70">
                  <c:v>0.93969262078590898</c:v>
                </c:pt>
                <c:pt idx="71">
                  <c:v>0.64278760968653847</c:v>
                </c:pt>
                <c:pt idx="72">
                  <c:v>0.17364817766693341</c:v>
                </c:pt>
                <c:pt idx="73">
                  <c:v>-0.3420201433256686</c:v>
                </c:pt>
                <c:pt idx="74">
                  <c:v>-0.76604444311897979</c:v>
                </c:pt>
                <c:pt idx="75">
                  <c:v>-0.9848077530122078</c:v>
                </c:pt>
                <c:pt idx="76">
                  <c:v>-0.93969262078590787</c:v>
                </c:pt>
                <c:pt idx="77">
                  <c:v>-0.64278760968654136</c:v>
                </c:pt>
                <c:pt idx="78">
                  <c:v>-0.17364817766693003</c:v>
                </c:pt>
                <c:pt idx="79">
                  <c:v>0.3420201433256651</c:v>
                </c:pt>
                <c:pt idx="80">
                  <c:v>0.76604444311897746</c:v>
                </c:pt>
                <c:pt idx="81">
                  <c:v>0.98480775301220846</c:v>
                </c:pt>
                <c:pt idx="82">
                  <c:v>0.93969262078590909</c:v>
                </c:pt>
                <c:pt idx="83">
                  <c:v>0.6427876096865387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0984960"/>
        <c:axId val="280986752"/>
      </c:lineChart>
      <c:catAx>
        <c:axId val="28098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0986752"/>
        <c:crossesAt val="-1.5"/>
        <c:auto val="0"/>
        <c:lblAlgn val="ctr"/>
        <c:lblOffset val="0"/>
        <c:tickLblSkip val="12"/>
        <c:tickMarkSkip val="6"/>
        <c:noMultiLvlLbl val="0"/>
      </c:catAx>
      <c:valAx>
        <c:axId val="28098675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en-US" altLang="ja-JP" sz="800"/>
                  <a:t>cos(</a:t>
                </a:r>
                <a:r>
                  <a:rPr lang="ja-JP" altLang="en-US" sz="800"/>
                  <a:t>ラジアン</a:t>
                </a:r>
                <a:r>
                  <a:rPr lang="en-US" altLang="ja-JP" sz="800"/>
                  <a:t>)</a:t>
                </a:r>
                <a:endParaRPr lang="ja-JP" altLang="en-US" sz="800"/>
              </a:p>
            </c:rich>
          </c:tx>
          <c:layout>
            <c:manualLayout>
              <c:xMode val="edge"/>
              <c:yMode val="edge"/>
              <c:x val="3.9271653543307077E-2"/>
              <c:y val="9.975092957130359E-2"/>
            </c:manualLayout>
          </c:layout>
          <c:overlay val="0"/>
          <c:spPr>
            <a:solidFill>
              <a:schemeClr val="bg1"/>
            </a:solidFill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098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486329109523571"/>
          <c:y val="9.7222222222222623E-3"/>
          <c:w val="0.36205668578757977"/>
          <c:h val="0.14661658013272358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200"/>
              <a:t>ばいじん</a:t>
            </a:r>
            <a:r>
              <a:rPr lang="en-US" altLang="ja-JP" sz="1200"/>
              <a:t>(</a:t>
            </a:r>
            <a:r>
              <a:rPr lang="ja-JP" altLang="en-US" sz="1200"/>
              <a:t>飛灰</a:t>
            </a:r>
            <a:r>
              <a:rPr lang="en-US" altLang="ja-JP" sz="1200"/>
              <a:t>)</a:t>
            </a:r>
            <a:r>
              <a:rPr lang="ja-JP" altLang="en-US" sz="1200"/>
              <a:t>中の</a:t>
            </a:r>
            <a:r>
              <a:rPr lang="en-US" altLang="ja-JP" sz="1200"/>
              <a:t>Cs</a:t>
            </a:r>
            <a:r>
              <a:rPr lang="ja-JP" altLang="en-US" sz="1200"/>
              <a:t>濃度の推移</a:t>
            </a:r>
          </a:p>
        </c:rich>
      </c:tx>
      <c:layout>
        <c:manualLayout>
          <c:xMode val="edge"/>
          <c:yMode val="edge"/>
          <c:x val="0.38475456202759467"/>
          <c:y val="2.8939330214148868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115133804150769E-2"/>
          <c:y val="5.189028696994271E-2"/>
          <c:w val="0.88368121510584374"/>
          <c:h val="0.82916263374054988"/>
        </c:manualLayout>
      </c:layout>
      <c:lineChart>
        <c:grouping val="standard"/>
        <c:varyColors val="0"/>
        <c:ser>
          <c:idx val="3"/>
          <c:order val="0"/>
          <c:tx>
            <c:strRef>
              <c:f>まとめ!$U$29:$U$31</c:f>
              <c:strCache>
                <c:ptCount val="1"/>
                <c:pt idx="0">
                  <c:v>仙南クリーセンター ぱいじん(飛灰) 両Cs濃度 (Bq/kg)</c:v>
                </c:pt>
              </c:strCache>
            </c:strRef>
          </c:tx>
          <c:spPr>
            <a:ln w="3175">
              <a:solidFill>
                <a:srgbClr val="0070C0"/>
              </a:solidFill>
              <a:prstDash val="solid"/>
            </a:ln>
          </c:spPr>
          <c:marker>
            <c:symbol val="square"/>
            <c:size val="5"/>
            <c:spPr>
              <a:solidFill>
                <a:sysClr val="window" lastClr="FFFFFF"/>
              </a:solidFill>
              <a:ln>
                <a:solidFill>
                  <a:srgbClr val="0070C0"/>
                </a:solidFill>
              </a:ln>
            </c:spPr>
          </c:marker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まとめ!$U$32:$U$119</c:f>
              <c:numCache>
                <c:formatCode>0.0</c:formatCode>
                <c:ptCount val="88"/>
                <c:pt idx="4">
                  <c:v>632.10697287324172</c:v>
                </c:pt>
                <c:pt idx="5">
                  <c:v>904.3596778363742</c:v>
                </c:pt>
                <c:pt idx="6">
                  <c:v>925.64489177736812</c:v>
                </c:pt>
                <c:pt idx="7">
                  <c:v>836.74110772596396</c:v>
                </c:pt>
                <c:pt idx="8">
                  <c:v>689.75938629890038</c:v>
                </c:pt>
                <c:pt idx="9">
                  <c:v>611.09903712262371</c:v>
                </c:pt>
                <c:pt idx="10">
                  <c:v>537.64211732239892</c:v>
                </c:pt>
                <c:pt idx="11">
                  <c:v>427.72198718167937</c:v>
                </c:pt>
                <c:pt idx="12">
                  <c:v>301.74423921897494</c:v>
                </c:pt>
                <c:pt idx="13">
                  <c:v>260.14289003909659</c:v>
                </c:pt>
                <c:pt idx="14">
                  <c:v>226.90038113496814</c:v>
                </c:pt>
                <c:pt idx="15">
                  <c:v>202.43854230809671</c:v>
                </c:pt>
                <c:pt idx="16">
                  <c:v>331.30445622683249</c:v>
                </c:pt>
                <c:pt idx="17">
                  <c:v>477.94531593870317</c:v>
                </c:pt>
                <c:pt idx="18">
                  <c:v>493.42403243181417</c:v>
                </c:pt>
                <c:pt idx="19">
                  <c:v>449.92837114037809</c:v>
                </c:pt>
                <c:pt idx="20">
                  <c:v>374.27626995739723</c:v>
                </c:pt>
                <c:pt idx="21">
                  <c:v>334.68186552489078</c:v>
                </c:pt>
                <c:pt idx="22">
                  <c:v>297.22697365221023</c:v>
                </c:pt>
                <c:pt idx="23">
                  <c:v>238.79988670338776</c:v>
                </c:pt>
                <c:pt idx="24">
                  <c:v>170.09894401557381</c:v>
                </c:pt>
                <c:pt idx="25">
                  <c:v>148.19822689561079</c:v>
                </c:pt>
                <c:pt idx="26">
                  <c:v>130.63332132119203</c:v>
                </c:pt>
                <c:pt idx="27">
                  <c:v>111.01916378568184</c:v>
                </c:pt>
                <c:pt idx="28">
                  <c:v>194.77880765225365</c:v>
                </c:pt>
                <c:pt idx="29">
                  <c:v>283.99232325137041</c:v>
                </c:pt>
                <c:pt idx="30">
                  <c:v>296.54651433825904</c:v>
                </c:pt>
                <c:pt idx="31">
                  <c:v>273.4034989594623</c:v>
                </c:pt>
                <c:pt idx="32">
                  <c:v>230.138095853349</c:v>
                </c:pt>
                <c:pt idx="33">
                  <c:v>208.2141665271798</c:v>
                </c:pt>
                <c:pt idx="34">
                  <c:v>187.05115850919157</c:v>
                </c:pt>
                <c:pt idx="35">
                  <c:v>152.10830866824099</c:v>
                </c:pt>
                <c:pt idx="36">
                  <c:v>109.62360147212208</c:v>
                </c:pt>
                <c:pt idx="37">
                  <c:v>96.68381719347974</c:v>
                </c:pt>
                <c:pt idx="38">
                  <c:v>86.269006374423569</c:v>
                </c:pt>
                <c:pt idx="39">
                  <c:v>74.124061316619375</c:v>
                </c:pt>
                <c:pt idx="40">
                  <c:v>131.63950957166645</c:v>
                </c:pt>
                <c:pt idx="41">
                  <c:v>194.23091670110028</c:v>
                </c:pt>
                <c:pt idx="42">
                  <c:v>205.30052677488018</c:v>
                </c:pt>
                <c:pt idx="43">
                  <c:v>191.49331251332717</c:v>
                </c:pt>
                <c:pt idx="44">
                  <c:v>163.14964607877994</c:v>
                </c:pt>
                <c:pt idx="45">
                  <c:v>149.39000506436415</c:v>
                </c:pt>
                <c:pt idx="46">
                  <c:v>135.73372205612435</c:v>
                </c:pt>
                <c:pt idx="47">
                  <c:v>111.662018134753</c:v>
                </c:pt>
                <c:pt idx="48">
                  <c:v>81.384275704822983</c:v>
                </c:pt>
                <c:pt idx="49">
                  <c:v>72.586461613469481</c:v>
                </c:pt>
                <c:pt idx="50">
                  <c:v>65.478468173179166</c:v>
                </c:pt>
                <c:pt idx="51">
                  <c:v>56.806281268129865</c:v>
                </c:pt>
                <c:pt idx="52">
                  <c:v>101.98113646416454</c:v>
                </c:pt>
                <c:pt idx="53">
                  <c:v>152.00175601148132</c:v>
                </c:pt>
                <c:pt idx="54">
                  <c:v>162.30075260316087</c:v>
                </c:pt>
                <c:pt idx="55">
                  <c:v>152.88097125357118</c:v>
                </c:pt>
                <c:pt idx="56">
                  <c:v>131.51678474464947</c:v>
                </c:pt>
                <c:pt idx="57">
                  <c:v>121.59428944914009</c:v>
                </c:pt>
                <c:pt idx="58">
                  <c:v>111.4623649075979</c:v>
                </c:pt>
                <c:pt idx="59">
                  <c:v>92.528696630376984</c:v>
                </c:pt>
                <c:pt idx="60">
                  <c:v>67.993431713195406</c:v>
                </c:pt>
                <c:pt idx="61">
                  <c:v>61.153181938169389</c:v>
                </c:pt>
                <c:pt idx="62">
                  <c:v>55.623228154927922</c:v>
                </c:pt>
                <c:pt idx="63">
                  <c:v>48.613502378873058</c:v>
                </c:pt>
                <c:pt idx="64">
                  <c:v>87.92664917452278</c:v>
                </c:pt>
                <c:pt idx="65">
                  <c:v>131.9768319201595</c:v>
                </c:pt>
                <c:pt idx="66">
                  <c:v>141.94551651988374</c:v>
                </c:pt>
                <c:pt idx="67">
                  <c:v>134.56122517907909</c:v>
                </c:pt>
                <c:pt idx="68">
                  <c:v>116.49796502585173</c:v>
                </c:pt>
                <c:pt idx="69">
                  <c:v>108.3426224145706</c:v>
                </c:pt>
                <c:pt idx="70">
                  <c:v>99.894621831314012</c:v>
                </c:pt>
                <c:pt idx="71">
                  <c:v>83.390747588436767</c:v>
                </c:pt>
                <c:pt idx="72">
                  <c:v>61.55</c:v>
                </c:pt>
                <c:pt idx="73">
                  <c:v>61.55</c:v>
                </c:pt>
                <c:pt idx="74">
                  <c:v>56.307336632997234</c:v>
                </c:pt>
                <c:pt idx="75">
                  <c:v>49.420576017778934</c:v>
                </c:pt>
                <c:pt idx="76">
                  <c:v>89.785791861904158</c:v>
                </c:pt>
                <c:pt idx="77">
                  <c:v>135.34196922818924</c:v>
                </c:pt>
                <c:pt idx="78">
                  <c:v>146.1042963175999</c:v>
                </c:pt>
                <c:pt idx="79">
                  <c:v>139.05196763867994</c:v>
                </c:pt>
                <c:pt idx="80">
                  <c:v>120.82311074531734</c:v>
                </c:pt>
                <c:pt idx="81">
                  <c:v>112.77354481464543</c:v>
                </c:pt>
                <c:pt idx="82">
                  <c:v>104.31609158351236</c:v>
                </c:pt>
                <c:pt idx="83">
                  <c:v>87.369812265872753</c:v>
                </c:pt>
                <c:pt idx="84">
                  <c:v>64.685565994249572</c:v>
                </c:pt>
                <c:pt idx="85">
                  <c:v>58.628916607611075</c:v>
                </c:pt>
                <c:pt idx="86">
                  <c:v>53.727516564488511</c:v>
                </c:pt>
                <c:pt idx="87">
                  <c:v>47.270633086113534</c:v>
                </c:pt>
              </c:numCache>
            </c:numRef>
          </c:val>
          <c:smooth val="0"/>
        </c:ser>
        <c:ser>
          <c:idx val="11"/>
          <c:order val="1"/>
          <c:tx>
            <c:strRef>
              <c:f>まとめ!$S$30:$S$31</c:f>
              <c:strCache>
                <c:ptCount val="1"/>
                <c:pt idx="0">
                  <c:v>ぱいじん(飛灰) Cs134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ysClr val="window" lastClr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まとめ!$S$32:$S$119</c:f>
              <c:numCache>
                <c:formatCode>0.00</c:formatCode>
                <c:ptCount val="88"/>
                <c:pt idx="4" formatCode="0.0">
                  <c:v>188.39567920688526</c:v>
                </c:pt>
                <c:pt idx="5" formatCode="0.0">
                  <c:v>264.26875308237175</c:v>
                </c:pt>
                <c:pt idx="6" formatCode="0.0">
                  <c:v>264.93435096411463</c:v>
                </c:pt>
                <c:pt idx="7" formatCode="0.0">
                  <c:v>234.6526215938508</c:v>
                </c:pt>
                <c:pt idx="8" formatCode="0.0">
                  <c:v>189.35149522108264</c:v>
                </c:pt>
                <c:pt idx="9" formatCode="0.0">
                  <c:v>164.17082817040514</c:v>
                </c:pt>
                <c:pt idx="10" formatCode="0.0">
                  <c:v>141.41823990771067</c:v>
                </c:pt>
                <c:pt idx="11" formatCode="0.0">
                  <c:v>110.05410513911563</c:v>
                </c:pt>
                <c:pt idx="12" formatCode="0.0">
                  <c:v>75.981321422325877</c:v>
                </c:pt>
                <c:pt idx="13" formatCode="0.0">
                  <c:v>64.049327568419088</c:v>
                </c:pt>
                <c:pt idx="14" formatCode="0.0">
                  <c:v>54.609129926158332</c:v>
                </c:pt>
                <c:pt idx="15" formatCode="0.0">
                  <c:v>47.730211207486391</c:v>
                </c:pt>
                <c:pt idx="16" formatCode="0.0">
                  <c:v>76.343255751148533</c:v>
                </c:pt>
                <c:pt idx="17" formatCode="0.0">
                  <c:v>107.69993988127801</c:v>
                </c:pt>
                <c:pt idx="18" formatCode="0.0">
                  <c:v>108.63078199637339</c:v>
                </c:pt>
                <c:pt idx="19" formatCode="0.0">
                  <c:v>96.832962805745154</c:v>
                </c:pt>
                <c:pt idx="20" formatCode="0.0">
                  <c:v>78.681447029477113</c:v>
                </c:pt>
                <c:pt idx="21" formatCode="0.0">
                  <c:v>68.729362082440531</c:v>
                </c:pt>
                <c:pt idx="22" formatCode="0.0">
                  <c:v>59.661706368652816</c:v>
                </c:pt>
                <c:pt idx="23" formatCode="0.0">
                  <c:v>46.824922203254012</c:v>
                </c:pt>
                <c:pt idx="24" formatCode="0.0">
                  <c:v>32.606836770712306</c:v>
                </c:pt>
                <c:pt idx="25" formatCode="0.0">
                  <c:v>27.752580514932806</c:v>
                </c:pt>
                <c:pt idx="26" formatCode="0.0">
                  <c:v>23.902454931180095</c:v>
                </c:pt>
                <c:pt idx="27" formatCode="0.0">
                  <c:v>19.896443107280149</c:v>
                </c:pt>
                <c:pt idx="28" formatCode="0.0">
                  <c:v>34.124315586181027</c:v>
                </c:pt>
                <c:pt idx="29" formatCode="0.0">
                  <c:v>48.684086689352455</c:v>
                </c:pt>
                <c:pt idx="30" formatCode="0.0">
                  <c:v>49.723538030164747</c:v>
                </c:pt>
                <c:pt idx="31" formatCode="0.0">
                  <c:v>44.883164114318099</c:v>
                </c:pt>
                <c:pt idx="32" formatCode="0.0">
                  <c:v>36.974164861611307</c:v>
                </c:pt>
                <c:pt idx="33" formatCode="0.0">
                  <c:v>32.756874093957663</c:v>
                </c:pt>
                <c:pt idx="34" formatCode="0.0">
                  <c:v>28.846705274074637</c:v>
                </c:pt>
                <c:pt idx="35" formatCode="0.0">
                  <c:v>22.991933016032192</c:v>
                </c:pt>
                <c:pt idx="36" formatCode="0.0">
                  <c:v>16.259776152865275</c:v>
                </c:pt>
                <c:pt idx="37" formatCode="0.0">
                  <c:v>14.071521804574587</c:v>
                </c:pt>
                <c:pt idx="38" formatCode="0.0">
                  <c:v>12.327895522082517</c:v>
                </c:pt>
                <c:pt idx="39" formatCode="0.0">
                  <c:v>10.425259453390826</c:v>
                </c:pt>
                <c:pt idx="40" formatCode="0.0">
                  <c:v>18.203320720588327</c:v>
                </c:pt>
                <c:pt idx="41" formatCode="0.0">
                  <c:v>26.438347597129514</c:v>
                </c:pt>
                <c:pt idx="42" formatCode="0.0">
                  <c:v>27.515913693930379</c:v>
                </c:pt>
                <c:pt idx="43" formatCode="0.0">
                  <c:v>25.297826920947852</c:v>
                </c:pt>
                <c:pt idx="44" formatCode="0.0">
                  <c:v>21.249413814122633</c:v>
                </c:pt>
                <c:pt idx="45" formatCode="0.0">
                  <c:v>19.198486019709723</c:v>
                </c:pt>
                <c:pt idx="46" formatCode="0.0">
                  <c:v>17.231411526689552</c:v>
                </c:pt>
                <c:pt idx="47" formatCode="0.0">
                  <c:v>14.007354008406171</c:v>
                </c:pt>
                <c:pt idx="48" formatCode="0.0">
                  <c:v>10.098747783624249</c:v>
                </c:pt>
                <c:pt idx="49" formatCode="0.0">
                  <c:v>8.9133421729051925</c:v>
                </c:pt>
                <c:pt idx="50" formatCode="0.0">
                  <c:v>7.9628807992638704</c:v>
                </c:pt>
                <c:pt idx="51" formatCode="0.0">
                  <c:v>6.8492095751315274</c:v>
                </c:pt>
                <c:pt idx="52" formatCode="0.0">
                  <c:v>12.19504177402062</c:v>
                </c:pt>
                <c:pt idx="53" formatCode="0.0">
                  <c:v>18.043335496331927</c:v>
                </c:pt>
                <c:pt idx="54" formatCode="0.0">
                  <c:v>19.129612132997671</c:v>
                </c:pt>
                <c:pt idx="55" formatCode="0.0">
                  <c:v>17.906097381964628</c:v>
                </c:pt>
                <c:pt idx="56" formatCode="0.0">
                  <c:v>15.312645601010477</c:v>
                </c:pt>
                <c:pt idx="57" formatCode="0.0">
                  <c:v>14.079716578829943</c:v>
                </c:pt>
                <c:pt idx="58" formatCode="0.0">
                  <c:v>12.84627270741707</c:v>
                </c:pt>
                <c:pt idx="59" formatCode="0.0">
                  <c:v>10.617104682470472</c:v>
                </c:pt>
                <c:pt idx="60" formatCode="0.0">
                  <c:v>7.7732420199925869</c:v>
                </c:pt>
                <c:pt idx="61" formatCode="0.0">
                  <c:v>6.9663374391046835</c:v>
                </c:pt>
                <c:pt idx="62" formatCode="0.0">
                  <c:v>6.3166432850109517</c:v>
                </c:pt>
                <c:pt idx="63" formatCode="0.0">
                  <c:v>5.5071102665540277</c:v>
                </c:pt>
                <c:pt idx="64" formatCode="0.0">
                  <c:v>9.9388924112290962</c:v>
                </c:pt>
                <c:pt idx="65" formatCode="0.0">
                  <c:v>14.890724325820685</c:v>
                </c:pt>
                <c:pt idx="66" formatCode="0.0">
                  <c:v>15.986588056284356</c:v>
                </c:pt>
                <c:pt idx="67" formatCode="0.0">
                  <c:v>15.133014756919993</c:v>
                </c:pt>
                <c:pt idx="68" formatCode="0.0">
                  <c:v>13.085506441627279</c:v>
                </c:pt>
                <c:pt idx="69" formatCode="0.0">
                  <c:v>12.157827314343724</c:v>
                </c:pt>
                <c:pt idx="70" formatCode="0.0">
                  <c:v>11.200571710866075</c:v>
                </c:pt>
                <c:pt idx="71" formatCode="0.0">
                  <c:v>9.3446115772347937</c:v>
                </c:pt>
                <c:pt idx="72">
                  <c:v>6.9</c:v>
                </c:pt>
                <c:pt idx="73">
                  <c:v>6.9</c:v>
                </c:pt>
                <c:pt idx="74">
                  <c:v>6.3059482350135809</c:v>
                </c:pt>
                <c:pt idx="75">
                  <c:v>5.5346059807587009</c:v>
                </c:pt>
                <c:pt idx="76">
                  <c:v>10.057623879639092</c:v>
                </c:pt>
                <c:pt idx="77">
                  <c:v>15.164927477517359</c:v>
                </c:pt>
                <c:pt idx="78">
                  <c:v>16.378158369816369</c:v>
                </c:pt>
                <c:pt idx="79">
                  <c:v>15.589670217304672</c:v>
                </c:pt>
                <c:pt idx="80">
                  <c:v>13.550697374820869</c:v>
                </c:pt>
                <c:pt idx="81">
                  <c:v>12.652475955942919</c:v>
                </c:pt>
                <c:pt idx="82">
                  <c:v>11.708158725330428</c:v>
                </c:pt>
                <c:pt idx="83">
                  <c:v>9.8110223041510825</c:v>
                </c:pt>
                <c:pt idx="84">
                  <c:v>7.2697287008143761</c:v>
                </c:pt>
                <c:pt idx="85">
                  <c:v>6.5935764621102351</c:v>
                </c:pt>
                <c:pt idx="86">
                  <c:v>6.0458470389738057</c:v>
                </c:pt>
                <c:pt idx="87">
                  <c:v>5.3228945489052775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まとめ!$T$30:$T$31</c:f>
              <c:strCache>
                <c:ptCount val="1"/>
                <c:pt idx="0">
                  <c:v>ぱいじん(飛灰) Cs137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まとめ!$T$32:$T$119</c:f>
              <c:numCache>
                <c:formatCode>0.00</c:formatCode>
                <c:ptCount val="88"/>
                <c:pt idx="4" formatCode="0.0">
                  <c:v>443.71129366635643</c:v>
                </c:pt>
                <c:pt idx="5" formatCode="0.0">
                  <c:v>640.09092475400246</c:v>
                </c:pt>
                <c:pt idx="6" formatCode="0.0">
                  <c:v>660.71054081325349</c:v>
                </c:pt>
                <c:pt idx="7" formatCode="0.0">
                  <c:v>602.08848613211319</c:v>
                </c:pt>
                <c:pt idx="8" formatCode="0.0">
                  <c:v>500.40789107781768</c:v>
                </c:pt>
                <c:pt idx="9" formatCode="0.0">
                  <c:v>446.92820895221854</c:v>
                </c:pt>
                <c:pt idx="10" formatCode="0.0">
                  <c:v>396.22387741468822</c:v>
                </c:pt>
                <c:pt idx="11" formatCode="0.0">
                  <c:v>317.66788204256375</c:v>
                </c:pt>
                <c:pt idx="12" formatCode="0.0">
                  <c:v>225.76291779664905</c:v>
                </c:pt>
                <c:pt idx="13" formatCode="0.0">
                  <c:v>196.09356247067751</c:v>
                </c:pt>
                <c:pt idx="14" formatCode="0.0">
                  <c:v>172.29125120880983</c:v>
                </c:pt>
                <c:pt idx="15" formatCode="0.0">
                  <c:v>154.70833110061034</c:v>
                </c:pt>
                <c:pt idx="16" formatCode="0.0">
                  <c:v>254.96120047568397</c:v>
                </c:pt>
                <c:pt idx="17" formatCode="0.0">
                  <c:v>370.24537605742518</c:v>
                </c:pt>
                <c:pt idx="18" formatCode="0.0">
                  <c:v>384.79325043544077</c:v>
                </c:pt>
                <c:pt idx="19" formatCode="0.0">
                  <c:v>353.09540833463296</c:v>
                </c:pt>
                <c:pt idx="20" formatCode="0.0">
                  <c:v>295.59482292792012</c:v>
                </c:pt>
                <c:pt idx="21" formatCode="0.0">
                  <c:v>265.95250344245028</c:v>
                </c:pt>
                <c:pt idx="22" formatCode="0.0">
                  <c:v>237.5652672835574</c:v>
                </c:pt>
                <c:pt idx="23" formatCode="0.0">
                  <c:v>191.97496450013375</c:v>
                </c:pt>
                <c:pt idx="24" formatCode="0.0">
                  <c:v>137.4921072448615</c:v>
                </c:pt>
                <c:pt idx="25" formatCode="0.0">
                  <c:v>120.44564638067797</c:v>
                </c:pt>
                <c:pt idx="26" formatCode="0.0">
                  <c:v>106.73086639001194</c:v>
                </c:pt>
                <c:pt idx="27" formatCode="0.0">
                  <c:v>91.122720678401691</c:v>
                </c:pt>
                <c:pt idx="28" formatCode="0.0">
                  <c:v>160.65449206607261</c:v>
                </c:pt>
                <c:pt idx="29" formatCode="0.0">
                  <c:v>235.30823656201795</c:v>
                </c:pt>
                <c:pt idx="30" formatCode="0.0">
                  <c:v>246.82297630809427</c:v>
                </c:pt>
                <c:pt idx="31" formatCode="0.0">
                  <c:v>228.52033484514422</c:v>
                </c:pt>
                <c:pt idx="32" formatCode="0.0">
                  <c:v>193.16393099173769</c:v>
                </c:pt>
                <c:pt idx="33" formatCode="0.0">
                  <c:v>175.45729243322214</c:v>
                </c:pt>
                <c:pt idx="34" formatCode="0.0">
                  <c:v>158.20445323511694</c:v>
                </c:pt>
                <c:pt idx="35" formatCode="0.0">
                  <c:v>129.1163756522088</c:v>
                </c:pt>
                <c:pt idx="36" formatCode="0.0">
                  <c:v>93.363825319256804</c:v>
                </c:pt>
                <c:pt idx="37" formatCode="0.0">
                  <c:v>82.612295388905153</c:v>
                </c:pt>
                <c:pt idx="38" formatCode="0.0">
                  <c:v>73.941110852341055</c:v>
                </c:pt>
                <c:pt idx="39" formatCode="0.0">
                  <c:v>63.698801863228546</c:v>
                </c:pt>
                <c:pt idx="40" formatCode="0.0">
                  <c:v>113.43618885107811</c:v>
                </c:pt>
                <c:pt idx="41" formatCode="0.0">
                  <c:v>167.79256910397078</c:v>
                </c:pt>
                <c:pt idx="42" formatCode="0.0">
                  <c:v>177.78461308094981</c:v>
                </c:pt>
                <c:pt idx="43" formatCode="0.0">
                  <c:v>166.19548559237933</c:v>
                </c:pt>
                <c:pt idx="44" formatCode="0.0">
                  <c:v>141.90023226465729</c:v>
                </c:pt>
                <c:pt idx="45" formatCode="0.0">
                  <c:v>130.19151904465443</c:v>
                </c:pt>
                <c:pt idx="46" formatCode="0.0">
                  <c:v>118.50231052943479</c:v>
                </c:pt>
                <c:pt idx="47" formatCode="0.0">
                  <c:v>97.65466412634683</c:v>
                </c:pt>
                <c:pt idx="48" formatCode="0.0">
                  <c:v>71.285527921198735</c:v>
                </c:pt>
                <c:pt idx="49" formatCode="0.0">
                  <c:v>63.673119440564292</c:v>
                </c:pt>
                <c:pt idx="50" formatCode="0.0">
                  <c:v>57.515587373915302</c:v>
                </c:pt>
                <c:pt idx="51" formatCode="0.0">
                  <c:v>49.95707169299834</c:v>
                </c:pt>
                <c:pt idx="52" formatCode="0.0">
                  <c:v>89.786094690143912</c:v>
                </c:pt>
                <c:pt idx="53" formatCode="0.0">
                  <c:v>133.95842051514938</c:v>
                </c:pt>
                <c:pt idx="54" formatCode="0.0">
                  <c:v>143.17114047016321</c:v>
                </c:pt>
                <c:pt idx="55" formatCode="0.0">
                  <c:v>134.97487387160655</c:v>
                </c:pt>
                <c:pt idx="56" formatCode="0.0">
                  <c:v>116.20413914363898</c:v>
                </c:pt>
                <c:pt idx="57" formatCode="0.0">
                  <c:v>107.51457287031015</c:v>
                </c:pt>
                <c:pt idx="58" formatCode="0.0">
                  <c:v>98.61609220018083</c:v>
                </c:pt>
                <c:pt idx="59" formatCode="0.0">
                  <c:v>81.911591947906516</c:v>
                </c:pt>
                <c:pt idx="60" formatCode="0.0">
                  <c:v>60.220189693202812</c:v>
                </c:pt>
                <c:pt idx="61" formatCode="0.0">
                  <c:v>54.186844499064705</c:v>
                </c:pt>
                <c:pt idx="62" formatCode="0.0">
                  <c:v>49.306584869916968</c:v>
                </c:pt>
                <c:pt idx="63" formatCode="0.0">
                  <c:v>43.106392112319028</c:v>
                </c:pt>
                <c:pt idx="64" formatCode="0.0">
                  <c:v>77.987756763293689</c:v>
                </c:pt>
                <c:pt idx="65" formatCode="0.0">
                  <c:v>117.0861075943388</c:v>
                </c:pt>
                <c:pt idx="66" formatCode="0.0">
                  <c:v>125.95892846359939</c:v>
                </c:pt>
                <c:pt idx="67" formatCode="0.0">
                  <c:v>119.4282104221591</c:v>
                </c:pt>
                <c:pt idx="68" formatCode="0.0">
                  <c:v>103.41245858422445</c:v>
                </c:pt>
                <c:pt idx="69" formatCode="0.0">
                  <c:v>96.184795100226879</c:v>
                </c:pt>
                <c:pt idx="70" formatCode="0.0">
                  <c:v>88.69405012044794</c:v>
                </c:pt>
                <c:pt idx="71" formatCode="0.0">
                  <c:v>74.04613601120198</c:v>
                </c:pt>
                <c:pt idx="72">
                  <c:v>54.65</c:v>
                </c:pt>
                <c:pt idx="73">
                  <c:v>54.65</c:v>
                </c:pt>
                <c:pt idx="74">
                  <c:v>50.001388397983654</c:v>
                </c:pt>
                <c:pt idx="75">
                  <c:v>43.885970037020236</c:v>
                </c:pt>
                <c:pt idx="76">
                  <c:v>79.728167982265063</c:v>
                </c:pt>
                <c:pt idx="77">
                  <c:v>120.17704175067189</c:v>
                </c:pt>
                <c:pt idx="78">
                  <c:v>129.72613794778354</c:v>
                </c:pt>
                <c:pt idx="79">
                  <c:v>123.46229742137527</c:v>
                </c:pt>
                <c:pt idx="80">
                  <c:v>107.27241337049647</c:v>
                </c:pt>
                <c:pt idx="81">
                  <c:v>100.12106885870251</c:v>
                </c:pt>
                <c:pt idx="82">
                  <c:v>92.60793285818194</c:v>
                </c:pt>
                <c:pt idx="83">
                  <c:v>77.558789961721672</c:v>
                </c:pt>
                <c:pt idx="84">
                  <c:v>57.415837293435203</c:v>
                </c:pt>
                <c:pt idx="85">
                  <c:v>52.03534014550084</c:v>
                </c:pt>
                <c:pt idx="86">
                  <c:v>47.681669525514707</c:v>
                </c:pt>
                <c:pt idx="87">
                  <c:v>41.947738537208259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0326528"/>
        <c:axId val="280329216"/>
      </c:lineChart>
      <c:dateAx>
        <c:axId val="280326528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numFmt formatCode="[$-411]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0329216"/>
        <c:crossesAt val="1E-3"/>
        <c:auto val="0"/>
        <c:lblOffset val="100"/>
        <c:baseTimeUnit val="days"/>
        <c:majorUnit val="6"/>
        <c:majorTimeUnit val="months"/>
        <c:minorUnit val="2"/>
      </c:dateAx>
      <c:valAx>
        <c:axId val="280329216"/>
        <c:scaling>
          <c:orientation val="minMax"/>
        </c:scaling>
        <c:delete val="0"/>
        <c:axPos val="l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en-US" altLang="ja-JP" sz="900">
                    <a:latin typeface="Meiryo UI" panose="020B0604030504040204" pitchFamily="50" charset="-128"/>
                    <a:ea typeface="Meiryo UI" panose="020B0604030504040204" pitchFamily="50" charset="-128"/>
                  </a:rPr>
                  <a:t>Bq/kg</a:t>
                </a:r>
                <a:endParaRPr lang="ja-JP" altLang="en-US" sz="900">
                  <a:latin typeface="Meiryo UI" panose="020B0604030504040204" pitchFamily="50" charset="-128"/>
                  <a:ea typeface="Meiryo UI" panose="020B0604030504040204" pitchFamily="50" charset="-128"/>
                </a:endParaRPr>
              </a:p>
            </c:rich>
          </c:tx>
          <c:layout>
            <c:manualLayout>
              <c:xMode val="edge"/>
              <c:yMode val="edge"/>
              <c:x val="1.0081913563071301E-2"/>
              <c:y val="0.455167362883311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032652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961955513136615"/>
          <c:y val="0.12166120656812317"/>
          <c:w val="0.61638502257924832"/>
          <c:h val="0.15607391873870524"/>
        </c:manualLayout>
      </c:layout>
      <c:overlay val="0"/>
      <c:spPr>
        <a:noFill/>
      </c:spPr>
      <c:txPr>
        <a:bodyPr/>
        <a:lstStyle/>
        <a:p>
          <a:pPr>
            <a:defRPr sz="1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200"/>
              <a:t>焼却灰</a:t>
            </a:r>
            <a:r>
              <a:rPr lang="en-US" altLang="ja-JP" sz="1200"/>
              <a:t>(</a:t>
            </a:r>
            <a:r>
              <a:rPr lang="ja-JP" altLang="en-US" sz="1200"/>
              <a:t>主灰</a:t>
            </a:r>
            <a:r>
              <a:rPr lang="en-US" altLang="ja-JP" sz="1200"/>
              <a:t>)</a:t>
            </a:r>
            <a:r>
              <a:rPr lang="ja-JP" altLang="en-US" sz="1200"/>
              <a:t>中の</a:t>
            </a:r>
            <a:r>
              <a:rPr lang="en-US" altLang="ja-JP" sz="1200"/>
              <a:t>Cs</a:t>
            </a:r>
            <a:r>
              <a:rPr lang="ja-JP" altLang="en-US" sz="1200"/>
              <a:t>濃度の推移</a:t>
            </a:r>
          </a:p>
        </c:rich>
      </c:tx>
      <c:layout>
        <c:manualLayout>
          <c:xMode val="edge"/>
          <c:yMode val="edge"/>
          <c:x val="0.38475456202759467"/>
          <c:y val="2.8939330214148868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115133804150769E-2"/>
          <c:y val="5.189028696994271E-2"/>
          <c:w val="0.88368121510584374"/>
          <c:h val="0.82916263374054988"/>
        </c:manualLayout>
      </c:layout>
      <c:lineChart>
        <c:grouping val="standard"/>
        <c:varyColors val="0"/>
        <c:ser>
          <c:idx val="3"/>
          <c:order val="0"/>
          <c:tx>
            <c:strRef>
              <c:f>まとめ!$X$29:$X$31</c:f>
              <c:strCache>
                <c:ptCount val="1"/>
                <c:pt idx="0">
                  <c:v>仙南クリーセンター 焼却灰(主灰)※ 両Cs濃度 (Bq/kg)</c:v>
                </c:pt>
              </c:strCache>
            </c:strRef>
          </c:tx>
          <c:spPr>
            <a:ln w="3175">
              <a:solidFill>
                <a:srgbClr val="0070C0"/>
              </a:solidFill>
              <a:prstDash val="solid"/>
            </a:ln>
          </c:spPr>
          <c:marker>
            <c:symbol val="square"/>
            <c:size val="5"/>
            <c:spPr>
              <a:solidFill>
                <a:sysClr val="window" lastClr="FFFFFF"/>
              </a:solidFill>
              <a:ln>
                <a:solidFill>
                  <a:srgbClr val="0070C0"/>
                </a:solidFill>
              </a:ln>
            </c:spPr>
          </c:marker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まとめ!$X$32:$X$119</c:f>
              <c:numCache>
                <c:formatCode>0.0</c:formatCode>
                <c:ptCount val="88"/>
                <c:pt idx="4">
                  <c:v>103.39173151897734</c:v>
                </c:pt>
                <c:pt idx="5">
                  <c:v>147.92324245756697</c:v>
                </c:pt>
                <c:pt idx="6">
                  <c:v>151.40479735184047</c:v>
                </c:pt>
                <c:pt idx="7">
                  <c:v>136.86308753667728</c:v>
                </c:pt>
                <c:pt idx="8">
                  <c:v>112.82175381920929</c:v>
                </c:pt>
                <c:pt idx="9">
                  <c:v>99.955530138342681</c:v>
                </c:pt>
                <c:pt idx="10">
                  <c:v>87.940414887084557</c:v>
                </c:pt>
                <c:pt idx="11">
                  <c:v>69.961128038876765</c:v>
                </c:pt>
                <c:pt idx="12">
                  <c:v>49.355347603454661</c:v>
                </c:pt>
                <c:pt idx="13">
                  <c:v>42.550746942775426</c:v>
                </c:pt>
                <c:pt idx="14">
                  <c:v>37.113375258660035</c:v>
                </c:pt>
                <c:pt idx="15">
                  <c:v>33.112229913035819</c:v>
                </c:pt>
                <c:pt idx="16">
                  <c:v>54.190418488097478</c:v>
                </c:pt>
                <c:pt idx="17">
                  <c:v>78.175998536558865</c:v>
                </c:pt>
                <c:pt idx="18">
                  <c:v>80.707803070591467</c:v>
                </c:pt>
                <c:pt idx="19">
                  <c:v>73.593355789551367</c:v>
                </c:pt>
                <c:pt idx="20">
                  <c:v>61.219181686071259</c:v>
                </c:pt>
                <c:pt idx="21">
                  <c:v>54.742850608545808</c:v>
                </c:pt>
                <c:pt idx="22">
                  <c:v>48.616472810544387</c:v>
                </c:pt>
                <c:pt idx="23">
                  <c:v>39.05973962060694</c:v>
                </c:pt>
                <c:pt idx="24">
                  <c:v>27.822544452213315</c:v>
                </c:pt>
                <c:pt idx="25">
                  <c:v>24.24031365629649</c:v>
                </c:pt>
                <c:pt idx="26">
                  <c:v>21.367277794895429</c:v>
                </c:pt>
                <c:pt idx="27">
                  <c:v>18.159052293657261</c:v>
                </c:pt>
                <c:pt idx="28">
                  <c:v>31.859351424061529</c:v>
                </c:pt>
                <c:pt idx="29">
                  <c:v>46.451723045530237</c:v>
                </c:pt>
                <c:pt idx="30">
                  <c:v>48.505172240044679</c:v>
                </c:pt>
                <c:pt idx="31">
                  <c:v>44.719742660447331</c:v>
                </c:pt>
                <c:pt idx="32">
                  <c:v>37.642957980040649</c:v>
                </c:pt>
                <c:pt idx="33">
                  <c:v>34.056930437220174</c:v>
                </c:pt>
                <c:pt idx="34">
                  <c:v>30.595364377944026</c:v>
                </c:pt>
                <c:pt idx="35">
                  <c:v>24.879873322938707</c:v>
                </c:pt>
                <c:pt idx="36">
                  <c:v>17.930784594938949</c:v>
                </c:pt>
                <c:pt idx="37">
                  <c:v>15.814265145755215</c:v>
                </c:pt>
                <c:pt idx="38">
                  <c:v>14.110747592183264</c:v>
                </c:pt>
                <c:pt idx="39">
                  <c:v>12.124237471876413</c:v>
                </c:pt>
                <c:pt idx="40">
                  <c:v>21.531856813819591</c:v>
                </c:pt>
                <c:pt idx="41">
                  <c:v>31.76973463995008</c:v>
                </c:pt>
                <c:pt idx="42">
                  <c:v>33.580355629567812</c:v>
                </c:pt>
                <c:pt idx="43">
                  <c:v>31.321953410926643</c:v>
                </c:pt>
                <c:pt idx="44">
                  <c:v>26.685869842755309</c:v>
                </c:pt>
                <c:pt idx="45">
                  <c:v>24.435249029171484</c:v>
                </c:pt>
                <c:pt idx="46">
                  <c:v>22.201534156644293</c:v>
                </c:pt>
                <c:pt idx="47">
                  <c:v>18.264201939393413</c:v>
                </c:pt>
                <c:pt idx="48">
                  <c:v>13.311767698577288</c:v>
                </c:pt>
                <c:pt idx="49">
                  <c:v>11.872737168108031</c:v>
                </c:pt>
                <c:pt idx="50">
                  <c:v>10.710105238773941</c:v>
                </c:pt>
                <c:pt idx="51">
                  <c:v>9.2916231484821559</c:v>
                </c:pt>
                <c:pt idx="52">
                  <c:v>16.680730847462918</c:v>
                </c:pt>
                <c:pt idx="53">
                  <c:v>24.86244484302453</c:v>
                </c:pt>
                <c:pt idx="54">
                  <c:v>26.547019030968716</c:v>
                </c:pt>
                <c:pt idx="55">
                  <c:v>25.006255289924596</c:v>
                </c:pt>
                <c:pt idx="56">
                  <c:v>21.511783103339898</c:v>
                </c:pt>
                <c:pt idx="57">
                  <c:v>19.888792037558144</c:v>
                </c:pt>
                <c:pt idx="58">
                  <c:v>18.231545294640568</c:v>
                </c:pt>
                <c:pt idx="59">
                  <c:v>15.134625261802451</c:v>
                </c:pt>
                <c:pt idx="60">
                  <c:v>11.121469843608825</c:v>
                </c:pt>
                <c:pt idx="61">
                  <c:v>10.002631895899526</c:v>
                </c:pt>
                <c:pt idx="62">
                  <c:v>9.0981149052541639</c:v>
                </c:pt>
                <c:pt idx="63">
                  <c:v>7.9515563059000378</c:v>
                </c:pt>
                <c:pt idx="64">
                  <c:v>14.381882964354823</c:v>
                </c:pt>
                <c:pt idx="65">
                  <c:v>21.587031559847485</c:v>
                </c:pt>
                <c:pt idx="66">
                  <c:v>23.217577663534815</c:v>
                </c:pt>
                <c:pt idx="67">
                  <c:v>22.009752563463522</c:v>
                </c:pt>
                <c:pt idx="68">
                  <c:v>19.055202425168435</c:v>
                </c:pt>
                <c:pt idx="69">
                  <c:v>17.72125891576826</c:v>
                </c:pt>
                <c:pt idx="70">
                  <c:v>16.339446270661771</c:v>
                </c:pt>
                <c:pt idx="71">
                  <c:v>13.63995993690682</c:v>
                </c:pt>
                <c:pt idx="72">
                  <c:v>10.067538166944409</c:v>
                </c:pt>
                <c:pt idx="73">
                  <c:v>10.067538166944409</c:v>
                </c:pt>
                <c:pt idx="74">
                  <c:v>9.2100123579477966</c:v>
                </c:pt>
                <c:pt idx="75">
                  <c:v>8.083566779713518</c:v>
                </c:pt>
                <c:pt idx="76">
                  <c:v>14.685977033615709</c:v>
                </c:pt>
                <c:pt idx="77">
                  <c:v>22.137456389832835</c:v>
                </c:pt>
                <c:pt idx="78">
                  <c:v>23.897816076880467</c:v>
                </c:pt>
                <c:pt idx="79">
                  <c:v>22.744289055907867</c:v>
                </c:pt>
                <c:pt idx="80">
                  <c:v>19.762652784361226</c:v>
                </c:pt>
                <c:pt idx="81">
                  <c:v>18.446010830918908</c:v>
                </c:pt>
                <c:pt idx="82">
                  <c:v>17.062652046197876</c:v>
                </c:pt>
                <c:pt idx="83">
                  <c:v>14.290802918366236</c:v>
                </c:pt>
                <c:pt idx="84">
                  <c:v>10.580412745694703</c:v>
                </c:pt>
                <c:pt idx="85">
                  <c:v>9.5897458267055313</c:v>
                </c:pt>
                <c:pt idx="86">
                  <c:v>8.7880393765739413</c:v>
                </c:pt>
                <c:pt idx="87">
                  <c:v>7.7319074373691832</c:v>
                </c:pt>
              </c:numCache>
            </c:numRef>
          </c:val>
          <c:smooth val="0"/>
        </c:ser>
        <c:ser>
          <c:idx val="11"/>
          <c:order val="1"/>
          <c:tx>
            <c:strRef>
              <c:f>まとめ!$V$30:$V$31</c:f>
              <c:strCache>
                <c:ptCount val="1"/>
                <c:pt idx="0">
                  <c:v>焼却灰(主灰)※ Cs134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ysClr val="window" lastClr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まとめ!$V$32:$V$119</c:f>
              <c:numCache>
                <c:formatCode>0.00</c:formatCode>
                <c:ptCount val="88"/>
                <c:pt idx="4">
                  <c:v>30.815283361539116</c:v>
                </c:pt>
                <c:pt idx="5">
                  <c:v>43.225601267060689</c:v>
                </c:pt>
                <c:pt idx="6">
                  <c:v>43.334471000257828</c:v>
                </c:pt>
                <c:pt idx="7">
                  <c:v>38.381384628264122</c:v>
                </c:pt>
                <c:pt idx="8">
                  <c:v>30.971623153635118</c:v>
                </c:pt>
                <c:pt idx="9">
                  <c:v>26.852901356692545</c:v>
                </c:pt>
                <c:pt idx="10">
                  <c:v>23.131332701429379</c:v>
                </c:pt>
                <c:pt idx="11">
                  <c:v>18.001200713516809</c:v>
                </c:pt>
                <c:pt idx="12">
                  <c:v>12.428023613227241</c:v>
                </c:pt>
                <c:pt idx="13">
                  <c:v>10.476345245526952</c:v>
                </c:pt>
                <c:pt idx="14">
                  <c:v>8.9322420762831065</c:v>
                </c:pt>
                <c:pt idx="15">
                  <c:v>7.8070791721801314</c:v>
                </c:pt>
                <c:pt idx="16">
                  <c:v>12.487224062769881</c:v>
                </c:pt>
                <c:pt idx="17">
                  <c:v>17.616137373393741</c:v>
                </c:pt>
                <c:pt idx="18">
                  <c:v>17.76839226406997</c:v>
                </c:pt>
                <c:pt idx="19">
                  <c:v>15.838660420229859</c:v>
                </c:pt>
                <c:pt idx="20">
                  <c:v>12.86967458975915</c:v>
                </c:pt>
                <c:pt idx="21">
                  <c:v>11.241843638581836</c:v>
                </c:pt>
                <c:pt idx="22">
                  <c:v>9.7586759702915113</c:v>
                </c:pt>
                <c:pt idx="23">
                  <c:v>7.6590039227532491</c:v>
                </c:pt>
                <c:pt idx="24">
                  <c:v>5.333396810600691</c:v>
                </c:pt>
                <c:pt idx="25">
                  <c:v>4.5394015201508324</c:v>
                </c:pt>
                <c:pt idx="26">
                  <c:v>3.909648697048322</c:v>
                </c:pt>
                <c:pt idx="27">
                  <c:v>3.2543980563603725</c:v>
                </c:pt>
                <c:pt idx="28">
                  <c:v>5.5816060046260514</c:v>
                </c:pt>
                <c:pt idx="29">
                  <c:v>7.9631015575611075</c:v>
                </c:pt>
                <c:pt idx="30">
                  <c:v>8.1331213146091859</c:v>
                </c:pt>
                <c:pt idx="31">
                  <c:v>7.3413967144456072</c:v>
                </c:pt>
                <c:pt idx="32">
                  <c:v>6.0477468064202551</c:v>
                </c:pt>
                <c:pt idx="33">
                  <c:v>5.3579379394104203</c:v>
                </c:pt>
                <c:pt idx="34">
                  <c:v>4.7183640347253126</c:v>
                </c:pt>
                <c:pt idx="35">
                  <c:v>3.760717516989982</c:v>
                </c:pt>
                <c:pt idx="36">
                  <c:v>2.6595599838333661</c:v>
                </c:pt>
                <c:pt idx="37">
                  <c:v>2.3016341646554856</c:v>
                </c:pt>
                <c:pt idx="38">
                  <c:v>2.0164347471432791</c:v>
                </c:pt>
                <c:pt idx="39">
                  <c:v>1.705226603530628</c:v>
                </c:pt>
                <c:pt idx="40">
                  <c:v>2.9774594008067097</c:v>
                </c:pt>
                <c:pt idx="41">
                  <c:v>4.3244366125921108</c:v>
                </c:pt>
                <c:pt idx="42">
                  <c:v>4.500690679317505</c:v>
                </c:pt>
                <c:pt idx="43">
                  <c:v>4.1378852651079816</c:v>
                </c:pt>
                <c:pt idx="44">
                  <c:v>3.475699181135262</c:v>
                </c:pt>
                <c:pt idx="45">
                  <c:v>3.1402354305601348</c:v>
                </c:pt>
                <c:pt idx="46">
                  <c:v>2.8184872983797384</c:v>
                </c:pt>
                <c:pt idx="47">
                  <c:v>2.2911384418770249</c:v>
                </c:pt>
                <c:pt idx="48">
                  <c:v>1.6518201259136052</c:v>
                </c:pt>
                <c:pt idx="49">
                  <c:v>1.4579270921325467</c:v>
                </c:pt>
                <c:pt idx="50">
                  <c:v>1.3024631415989898</c:v>
                </c:pt>
                <c:pt idx="51">
                  <c:v>1.1203034737780302</c:v>
                </c:pt>
                <c:pt idx="52">
                  <c:v>1.9947042811930797</c:v>
                </c:pt>
                <c:pt idx="53">
                  <c:v>2.9512911253989365</c:v>
                </c:pt>
                <c:pt idx="54">
                  <c:v>3.1289699474865462</c:v>
                </c:pt>
                <c:pt idx="55">
                  <c:v>2.9288435225662433</c:v>
                </c:pt>
                <c:pt idx="56">
                  <c:v>2.5046408452488449</c:v>
                </c:pt>
                <c:pt idx="57">
                  <c:v>2.3029745578737679</c:v>
                </c:pt>
                <c:pt idx="58">
                  <c:v>2.1012240582436661</c:v>
                </c:pt>
                <c:pt idx="59">
                  <c:v>1.7366061188174766</c:v>
                </c:pt>
                <c:pt idx="60">
                  <c:v>1.2714445283049784</c:v>
                </c:pt>
                <c:pt idx="61">
                  <c:v>1.1394617067749826</c:v>
                </c:pt>
                <c:pt idx="62">
                  <c:v>1.0331932958378696</c:v>
                </c:pt>
                <c:pt idx="63">
                  <c:v>0.90078054911623195</c:v>
                </c:pt>
                <c:pt idx="64">
                  <c:v>1.6256730899626821</c:v>
                </c:pt>
                <c:pt idx="65">
                  <c:v>2.4356285212615321</c:v>
                </c:pt>
                <c:pt idx="66">
                  <c:v>2.6148754738563835</c:v>
                </c:pt>
                <c:pt idx="67">
                  <c:v>2.4752591981515031</c:v>
                </c:pt>
                <c:pt idx="68">
                  <c:v>2.1403547609241196</c:v>
                </c:pt>
                <c:pt idx="69">
                  <c:v>1.988617230126315</c:v>
                </c:pt>
                <c:pt idx="70">
                  <c:v>1.8320419689803746</c:v>
                </c:pt>
                <c:pt idx="71">
                  <c:v>1.5284684599363425</c:v>
                </c:pt>
                <c:pt idx="72">
                  <c:v>1.1286111023869445</c:v>
                </c:pt>
                <c:pt idx="73">
                  <c:v>1.1286111023869445</c:v>
                </c:pt>
                <c:pt idx="74">
                  <c:v>1.0314439404512585</c:v>
                </c:pt>
                <c:pt idx="75">
                  <c:v>0.90527793582919602</c:v>
                </c:pt>
                <c:pt idx="76">
                  <c:v>1.645093619448222</c:v>
                </c:pt>
                <c:pt idx="77">
                  <c:v>2.4804790605824536</c:v>
                </c:pt>
                <c:pt idx="78">
                  <c:v>2.6789233873661464</c:v>
                </c:pt>
                <c:pt idx="79">
                  <c:v>2.5499528825798756</c:v>
                </c:pt>
                <c:pt idx="80">
                  <c:v>2.2164445655519498</c:v>
                </c:pt>
                <c:pt idx="81">
                  <c:v>2.0695253386320354</c:v>
                </c:pt>
                <c:pt idx="82">
                  <c:v>1.9150663660748544</c:v>
                </c:pt>
                <c:pt idx="83">
                  <c:v>1.6047577823522974</c:v>
                </c:pt>
                <c:pt idx="84">
                  <c:v>1.1890864526203075</c:v>
                </c:pt>
                <c:pt idx="85">
                  <c:v>1.0784903767499769</c:v>
                </c:pt>
                <c:pt idx="86">
                  <c:v>0.98890001326363342</c:v>
                </c:pt>
                <c:pt idx="87">
                  <c:v>0.87064896880136844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まとめ!$W$30:$W$31</c:f>
              <c:strCache>
                <c:ptCount val="1"/>
                <c:pt idx="0">
                  <c:v>焼却灰(主灰)※ Cs137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まとめ!$R$32:$R$119</c:f>
              <c:numCache>
                <c:formatCode>[$-411]ge\.m</c:formatCode>
                <c:ptCount val="88"/>
                <c:pt idx="0">
                  <c:v>40614</c:v>
                </c:pt>
                <c:pt idx="1">
                  <c:v>40923</c:v>
                </c:pt>
                <c:pt idx="2">
                  <c:v>40954</c:v>
                </c:pt>
                <c:pt idx="3">
                  <c:v>40983</c:v>
                </c:pt>
                <c:pt idx="4">
                  <c:v>41014</c:v>
                </c:pt>
                <c:pt idx="5">
                  <c:v>41044</c:v>
                </c:pt>
                <c:pt idx="6">
                  <c:v>41075</c:v>
                </c:pt>
                <c:pt idx="7">
                  <c:v>41105</c:v>
                </c:pt>
                <c:pt idx="8">
                  <c:v>41136</c:v>
                </c:pt>
                <c:pt idx="9">
                  <c:v>41167</c:v>
                </c:pt>
                <c:pt idx="10">
                  <c:v>41197</c:v>
                </c:pt>
                <c:pt idx="11">
                  <c:v>41228</c:v>
                </c:pt>
                <c:pt idx="12">
                  <c:v>41258</c:v>
                </c:pt>
                <c:pt idx="13">
                  <c:v>41289</c:v>
                </c:pt>
                <c:pt idx="14">
                  <c:v>41320</c:v>
                </c:pt>
                <c:pt idx="15">
                  <c:v>41348</c:v>
                </c:pt>
                <c:pt idx="16">
                  <c:v>41379</c:v>
                </c:pt>
                <c:pt idx="17">
                  <c:v>41409</c:v>
                </c:pt>
                <c:pt idx="18">
                  <c:v>41440</c:v>
                </c:pt>
                <c:pt idx="19">
                  <c:v>41470</c:v>
                </c:pt>
                <c:pt idx="20">
                  <c:v>41501</c:v>
                </c:pt>
                <c:pt idx="21">
                  <c:v>41532</c:v>
                </c:pt>
                <c:pt idx="22">
                  <c:v>41562</c:v>
                </c:pt>
                <c:pt idx="23">
                  <c:v>41593</c:v>
                </c:pt>
                <c:pt idx="24">
                  <c:v>41623</c:v>
                </c:pt>
                <c:pt idx="25">
                  <c:v>41654</c:v>
                </c:pt>
                <c:pt idx="26">
                  <c:v>41685</c:v>
                </c:pt>
                <c:pt idx="27">
                  <c:v>41713</c:v>
                </c:pt>
                <c:pt idx="28">
                  <c:v>41744</c:v>
                </c:pt>
                <c:pt idx="29">
                  <c:v>41774</c:v>
                </c:pt>
                <c:pt idx="30">
                  <c:v>41805</c:v>
                </c:pt>
                <c:pt idx="31">
                  <c:v>41835</c:v>
                </c:pt>
                <c:pt idx="32">
                  <c:v>41866</c:v>
                </c:pt>
                <c:pt idx="33">
                  <c:v>41897</c:v>
                </c:pt>
                <c:pt idx="34">
                  <c:v>41927</c:v>
                </c:pt>
                <c:pt idx="35">
                  <c:v>41958</c:v>
                </c:pt>
                <c:pt idx="36">
                  <c:v>41988</c:v>
                </c:pt>
                <c:pt idx="37">
                  <c:v>42019</c:v>
                </c:pt>
                <c:pt idx="38">
                  <c:v>42050</c:v>
                </c:pt>
                <c:pt idx="39">
                  <c:v>42078</c:v>
                </c:pt>
                <c:pt idx="40">
                  <c:v>42109</c:v>
                </c:pt>
                <c:pt idx="41">
                  <c:v>42139</c:v>
                </c:pt>
                <c:pt idx="42">
                  <c:v>42170</c:v>
                </c:pt>
                <c:pt idx="43">
                  <c:v>42200</c:v>
                </c:pt>
                <c:pt idx="44">
                  <c:v>42231</c:v>
                </c:pt>
                <c:pt idx="45">
                  <c:v>42262</c:v>
                </c:pt>
                <c:pt idx="46">
                  <c:v>42292</c:v>
                </c:pt>
                <c:pt idx="47">
                  <c:v>42323</c:v>
                </c:pt>
                <c:pt idx="48">
                  <c:v>42353</c:v>
                </c:pt>
                <c:pt idx="49">
                  <c:v>42384</c:v>
                </c:pt>
                <c:pt idx="50">
                  <c:v>42415</c:v>
                </c:pt>
                <c:pt idx="51">
                  <c:v>42444</c:v>
                </c:pt>
                <c:pt idx="52">
                  <c:v>42475</c:v>
                </c:pt>
                <c:pt idx="53">
                  <c:v>42505</c:v>
                </c:pt>
                <c:pt idx="54">
                  <c:v>42536</c:v>
                </c:pt>
                <c:pt idx="55">
                  <c:v>42566</c:v>
                </c:pt>
                <c:pt idx="56">
                  <c:v>42597</c:v>
                </c:pt>
                <c:pt idx="57">
                  <c:v>42628</c:v>
                </c:pt>
                <c:pt idx="58">
                  <c:v>42658</c:v>
                </c:pt>
                <c:pt idx="59">
                  <c:v>42689</c:v>
                </c:pt>
                <c:pt idx="60">
                  <c:v>42719</c:v>
                </c:pt>
                <c:pt idx="61">
                  <c:v>42750</c:v>
                </c:pt>
                <c:pt idx="62">
                  <c:v>42781</c:v>
                </c:pt>
                <c:pt idx="63">
                  <c:v>42809</c:v>
                </c:pt>
                <c:pt idx="64">
                  <c:v>42840</c:v>
                </c:pt>
                <c:pt idx="65">
                  <c:v>42870</c:v>
                </c:pt>
                <c:pt idx="66">
                  <c:v>42901</c:v>
                </c:pt>
                <c:pt idx="67">
                  <c:v>42931</c:v>
                </c:pt>
                <c:pt idx="68">
                  <c:v>42962</c:v>
                </c:pt>
                <c:pt idx="69">
                  <c:v>42993</c:v>
                </c:pt>
                <c:pt idx="70">
                  <c:v>43023</c:v>
                </c:pt>
                <c:pt idx="71">
                  <c:v>43054</c:v>
                </c:pt>
                <c:pt idx="72">
                  <c:v>43084</c:v>
                </c:pt>
                <c:pt idx="73">
                  <c:v>43115</c:v>
                </c:pt>
                <c:pt idx="74">
                  <c:v>43146</c:v>
                </c:pt>
                <c:pt idx="75">
                  <c:v>43174</c:v>
                </c:pt>
                <c:pt idx="76">
                  <c:v>43205</c:v>
                </c:pt>
                <c:pt idx="77">
                  <c:v>43235</c:v>
                </c:pt>
                <c:pt idx="78">
                  <c:v>43266</c:v>
                </c:pt>
                <c:pt idx="79">
                  <c:v>43296</c:v>
                </c:pt>
                <c:pt idx="80">
                  <c:v>43327</c:v>
                </c:pt>
                <c:pt idx="81">
                  <c:v>43358</c:v>
                </c:pt>
                <c:pt idx="82">
                  <c:v>43388</c:v>
                </c:pt>
                <c:pt idx="83">
                  <c:v>43419</c:v>
                </c:pt>
                <c:pt idx="84">
                  <c:v>43449</c:v>
                </c:pt>
                <c:pt idx="85">
                  <c:v>43480</c:v>
                </c:pt>
                <c:pt idx="86">
                  <c:v>43511</c:v>
                </c:pt>
                <c:pt idx="87">
                  <c:v>43539</c:v>
                </c:pt>
              </c:numCache>
            </c:numRef>
          </c:cat>
          <c:val>
            <c:numRef>
              <c:f>まとめ!$W$32:$W$119</c:f>
              <c:numCache>
                <c:formatCode>0.00</c:formatCode>
                <c:ptCount val="88"/>
                <c:pt idx="4">
                  <c:v>72.576448157438222</c:v>
                </c:pt>
                <c:pt idx="5">
                  <c:v>104.69764119050629</c:v>
                </c:pt>
                <c:pt idx="6">
                  <c:v>108.07032635158264</c:v>
                </c:pt>
                <c:pt idx="7">
                  <c:v>98.481702908413155</c:v>
                </c:pt>
                <c:pt idx="8">
                  <c:v>81.85013066557417</c:v>
                </c:pt>
                <c:pt idx="9">
                  <c:v>73.102628781650139</c:v>
                </c:pt>
                <c:pt idx="10">
                  <c:v>64.809082185655186</c:v>
                </c:pt>
                <c:pt idx="11">
                  <c:v>51.959927325359956</c:v>
                </c:pt>
                <c:pt idx="12">
                  <c:v>36.927323990227421</c:v>
                </c:pt>
                <c:pt idx="13">
                  <c:v>32.074401697248476</c:v>
                </c:pt>
                <c:pt idx="14">
                  <c:v>28.181133182376929</c:v>
                </c:pt>
                <c:pt idx="15">
                  <c:v>25.305150740855684</c:v>
                </c:pt>
                <c:pt idx="16">
                  <c:v>41.703194425327595</c:v>
                </c:pt>
                <c:pt idx="17">
                  <c:v>60.559861163165131</c:v>
                </c:pt>
                <c:pt idx="18">
                  <c:v>62.939410806521501</c:v>
                </c:pt>
                <c:pt idx="19">
                  <c:v>57.754695369321503</c:v>
                </c:pt>
                <c:pt idx="20">
                  <c:v>48.349507096312109</c:v>
                </c:pt>
                <c:pt idx="21">
                  <c:v>43.501006969963974</c:v>
                </c:pt>
                <c:pt idx="22">
                  <c:v>38.857796840252874</c:v>
                </c:pt>
                <c:pt idx="23">
                  <c:v>31.40073569785369</c:v>
                </c:pt>
                <c:pt idx="24">
                  <c:v>22.489147641612625</c:v>
                </c:pt>
                <c:pt idx="25">
                  <c:v>19.700912136145657</c:v>
                </c:pt>
                <c:pt idx="26">
                  <c:v>17.457629097847107</c:v>
                </c:pt>
                <c:pt idx="27">
                  <c:v>14.90465423729689</c:v>
                </c:pt>
                <c:pt idx="28">
                  <c:v>26.27774541943548</c:v>
                </c:pt>
                <c:pt idx="29">
                  <c:v>38.488621487969127</c:v>
                </c:pt>
                <c:pt idx="30">
                  <c:v>40.372050925435495</c:v>
                </c:pt>
                <c:pt idx="31">
                  <c:v>37.378345946001723</c:v>
                </c:pt>
                <c:pt idx="32">
                  <c:v>31.595211173620395</c:v>
                </c:pt>
                <c:pt idx="33">
                  <c:v>28.698992497809755</c:v>
                </c:pt>
                <c:pt idx="34">
                  <c:v>25.877000343218715</c:v>
                </c:pt>
                <c:pt idx="35">
                  <c:v>21.119155805948726</c:v>
                </c:pt>
                <c:pt idx="36">
                  <c:v>15.271224611105584</c:v>
                </c:pt>
                <c:pt idx="37">
                  <c:v>13.512630981099729</c:v>
                </c:pt>
                <c:pt idx="38">
                  <c:v>12.094312845039985</c:v>
                </c:pt>
                <c:pt idx="39">
                  <c:v>10.419010868345785</c:v>
                </c:pt>
                <c:pt idx="40">
                  <c:v>18.554397413012882</c:v>
                </c:pt>
                <c:pt idx="41">
                  <c:v>27.445298027357971</c:v>
                </c:pt>
                <c:pt idx="42">
                  <c:v>29.079664950250308</c:v>
                </c:pt>
                <c:pt idx="43">
                  <c:v>27.18406814581866</c:v>
                </c:pt>
                <c:pt idx="44">
                  <c:v>23.210170661620047</c:v>
                </c:pt>
                <c:pt idx="45">
                  <c:v>21.295013598611348</c:v>
                </c:pt>
                <c:pt idx="46">
                  <c:v>19.383046858264553</c:v>
                </c:pt>
                <c:pt idx="47">
                  <c:v>15.973063497516389</c:v>
                </c:pt>
                <c:pt idx="48">
                  <c:v>11.659947572663683</c:v>
                </c:pt>
                <c:pt idx="49">
                  <c:v>10.414810075975485</c:v>
                </c:pt>
                <c:pt idx="50">
                  <c:v>9.4076420971749517</c:v>
                </c:pt>
                <c:pt idx="51">
                  <c:v>8.1713196747041259</c:v>
                </c:pt>
                <c:pt idx="52">
                  <c:v>14.68602656626984</c:v>
                </c:pt>
                <c:pt idx="53">
                  <c:v>21.911153717625595</c:v>
                </c:pt>
                <c:pt idx="54">
                  <c:v>23.41804908348217</c:v>
                </c:pt>
                <c:pt idx="55">
                  <c:v>22.077411767358353</c:v>
                </c:pt>
                <c:pt idx="56">
                  <c:v>19.007142258091054</c:v>
                </c:pt>
                <c:pt idx="57">
                  <c:v>17.585817479684376</c:v>
                </c:pt>
                <c:pt idx="58">
                  <c:v>16.130321236396902</c:v>
                </c:pt>
                <c:pt idx="59">
                  <c:v>13.398019142984975</c:v>
                </c:pt>
                <c:pt idx="60">
                  <c:v>9.8500253153038457</c:v>
                </c:pt>
                <c:pt idx="61">
                  <c:v>8.8631701891245438</c:v>
                </c:pt>
                <c:pt idx="62">
                  <c:v>8.0649216094162934</c:v>
                </c:pt>
                <c:pt idx="63">
                  <c:v>7.0507757567838061</c:v>
                </c:pt>
                <c:pt idx="64">
                  <c:v>12.756209874392141</c:v>
                </c:pt>
                <c:pt idx="65">
                  <c:v>19.151403038585954</c:v>
                </c:pt>
                <c:pt idx="66">
                  <c:v>20.602702189678432</c:v>
                </c:pt>
                <c:pt idx="67">
                  <c:v>19.53449336531202</c:v>
                </c:pt>
                <c:pt idx="68">
                  <c:v>16.914847664244316</c:v>
                </c:pt>
                <c:pt idx="69">
                  <c:v>15.732641685641946</c:v>
                </c:pt>
                <c:pt idx="70">
                  <c:v>14.507404301681397</c:v>
                </c:pt>
                <c:pt idx="71">
                  <c:v>12.111491476970476</c:v>
                </c:pt>
                <c:pt idx="72">
                  <c:v>8.9389270645574648</c:v>
                </c:pt>
                <c:pt idx="73">
                  <c:v>8.9389270645574648</c:v>
                </c:pt>
                <c:pt idx="74">
                  <c:v>8.1785684174965372</c:v>
                </c:pt>
                <c:pt idx="75">
                  <c:v>7.1782888438843218</c:v>
                </c:pt>
                <c:pt idx="76">
                  <c:v>13.040883414167487</c:v>
                </c:pt>
                <c:pt idx="77">
                  <c:v>19.656977329250381</c:v>
                </c:pt>
                <c:pt idx="78">
                  <c:v>21.21889268951432</c:v>
                </c:pt>
                <c:pt idx="79">
                  <c:v>20.19433617332799</c:v>
                </c:pt>
                <c:pt idx="80">
                  <c:v>17.546208218809277</c:v>
                </c:pt>
                <c:pt idx="81">
                  <c:v>16.376485492286871</c:v>
                </c:pt>
                <c:pt idx="82">
                  <c:v>15.147585680123022</c:v>
                </c:pt>
                <c:pt idx="83">
                  <c:v>12.686045136013938</c:v>
                </c:pt>
                <c:pt idx="84">
                  <c:v>9.3913262930743961</c:v>
                </c:pt>
                <c:pt idx="85">
                  <c:v>8.5112554499555539</c:v>
                </c:pt>
                <c:pt idx="86">
                  <c:v>7.7991393633103074</c:v>
                </c:pt>
                <c:pt idx="87">
                  <c:v>6.8612584685678151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0038016"/>
        <c:axId val="280048768"/>
      </c:lineChart>
      <c:dateAx>
        <c:axId val="280038016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numFmt formatCode="[$-411]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0048768"/>
        <c:crossesAt val="1E-3"/>
        <c:auto val="0"/>
        <c:lblOffset val="100"/>
        <c:baseTimeUnit val="days"/>
        <c:majorUnit val="6"/>
        <c:majorTimeUnit val="months"/>
        <c:minorUnit val="2"/>
      </c:dateAx>
      <c:valAx>
        <c:axId val="280048768"/>
        <c:scaling>
          <c:orientation val="minMax"/>
        </c:scaling>
        <c:delete val="0"/>
        <c:axPos val="l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en-US" altLang="ja-JP" sz="900">
                    <a:latin typeface="Meiryo UI" panose="020B0604030504040204" pitchFamily="50" charset="-128"/>
                    <a:ea typeface="Meiryo UI" panose="020B0604030504040204" pitchFamily="50" charset="-128"/>
                  </a:rPr>
                  <a:t>Bq/kg</a:t>
                </a:r>
                <a:endParaRPr lang="ja-JP" altLang="en-US" sz="900">
                  <a:latin typeface="Meiryo UI" panose="020B0604030504040204" pitchFamily="50" charset="-128"/>
                  <a:ea typeface="Meiryo UI" panose="020B0604030504040204" pitchFamily="50" charset="-128"/>
                </a:endParaRPr>
              </a:p>
            </c:rich>
          </c:tx>
          <c:layout>
            <c:manualLayout>
              <c:xMode val="edge"/>
              <c:yMode val="edge"/>
              <c:x val="1.0081913563071301E-2"/>
              <c:y val="0.455167362883311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003801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961955513136615"/>
          <c:y val="0.12166120656812317"/>
          <c:w val="0.61638502257924832"/>
          <c:h val="0.15607391873870524"/>
        </c:manualLayout>
      </c:layout>
      <c:overlay val="0"/>
      <c:spPr>
        <a:noFill/>
      </c:spPr>
      <c:txPr>
        <a:bodyPr/>
        <a:lstStyle/>
        <a:p>
          <a:pPr>
            <a:defRPr sz="1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3.2805462876462479E-2"/>
          <c:y val="3.3250843644544434E-2"/>
          <c:w val="0.95405311624182565"/>
          <c:h val="0.85973753280839893"/>
        </c:manualLayout>
      </c:layout>
      <c:lineChart>
        <c:grouping val="standard"/>
        <c:varyColors val="0"/>
        <c:ser>
          <c:idx val="1"/>
          <c:order val="0"/>
          <c:tx>
            <c:strRef>
              <c:f>まとめ!$X$7</c:f>
              <c:strCache>
                <c:ptCount val="1"/>
                <c:pt idx="0">
                  <c:v>焼却 t/年</c:v>
                </c:pt>
              </c:strCache>
            </c:strRef>
          </c:tx>
          <c:spPr>
            <a:ln w="25400" cmpd="dbl">
              <a:solidFill>
                <a:srgbClr val="FF0000"/>
              </a:solidFill>
              <a:prstDash val="sysDash"/>
            </a:ln>
          </c:spPr>
          <c:marker>
            <c:symbol val="square"/>
            <c:size val="5"/>
          </c:marker>
          <c:trendline>
            <c:trendlineType val="poly"/>
            <c:order val="2"/>
            <c:dispRSqr val="0"/>
            <c:dispEq val="1"/>
            <c:trendlineLbl>
              <c:layout>
                <c:manualLayout>
                  <c:x val="-3.6077124974762773E-2"/>
                  <c:y val="0.3288465708090836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50"/>
                  </a:pPr>
                  <a:endParaRPr lang="ja-JP"/>
                </a:p>
              </c:txPr>
            </c:trendlineLbl>
          </c:trendline>
          <c:cat>
            <c:numRef>
              <c:f>まとめ!$W$8:$W$15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まとめ!$X$8:$X$15</c:f>
              <c:numCache>
                <c:formatCode>General</c:formatCode>
                <c:ptCount val="8"/>
                <c:pt idx="0">
                  <c:v>47256</c:v>
                </c:pt>
                <c:pt idx="1">
                  <c:v>46563</c:v>
                </c:pt>
                <c:pt idx="2">
                  <c:v>45226</c:v>
                </c:pt>
                <c:pt idx="3">
                  <c:v>45025</c:v>
                </c:pt>
                <c:pt idx="4">
                  <c:v>45098</c:v>
                </c:pt>
                <c:pt idx="5">
                  <c:v>44404</c:v>
                </c:pt>
                <c:pt idx="6">
                  <c:v>44892</c:v>
                </c:pt>
                <c:pt idx="7" formatCode="0">
                  <c:v>45234.400000000001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0094976"/>
        <c:axId val="280096768"/>
      </c:lineChart>
      <c:catAx>
        <c:axId val="280094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0096768"/>
        <c:crosses val="autoZero"/>
        <c:auto val="0"/>
        <c:lblAlgn val="ctr"/>
        <c:lblOffset val="0"/>
        <c:tickMarkSkip val="6"/>
        <c:noMultiLvlLbl val="0"/>
      </c:catAx>
      <c:valAx>
        <c:axId val="280096768"/>
        <c:scaling>
          <c:orientation val="minMax"/>
          <c:min val="4000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0094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918819762914251"/>
          <c:y val="4.7044961771082951E-2"/>
          <c:w val="0.45783853941334257"/>
          <c:h val="0.1146371105785689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3.6195255004889092E-2"/>
          <c:y val="0.12360257784678323"/>
          <c:w val="0.8595291182661573"/>
          <c:h val="0.75979534816212491"/>
        </c:manualLayout>
      </c:layout>
      <c:lineChart>
        <c:grouping val="standard"/>
        <c:varyColors val="0"/>
        <c:ser>
          <c:idx val="0"/>
          <c:order val="0"/>
          <c:tx>
            <c:strRef>
              <c:f>月間量回帰式!$C$3:$C$4</c:f>
              <c:strCache>
                <c:ptCount val="1"/>
                <c:pt idx="0">
                  <c:v>石巻広域クリセ 230(115tx2炉〉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4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月間量回帰式!$B$20:$B$103</c:f>
              <c:numCache>
                <c:formatCode>[$-411]ge\.m</c:formatCode>
                <c:ptCount val="84"/>
                <c:pt idx="0">
                  <c:v>41012</c:v>
                </c:pt>
                <c:pt idx="1">
                  <c:v>41045</c:v>
                </c:pt>
                <c:pt idx="2">
                  <c:v>41073</c:v>
                </c:pt>
                <c:pt idx="3">
                  <c:v>41101</c:v>
                </c:pt>
                <c:pt idx="4">
                  <c:v>41129</c:v>
                </c:pt>
                <c:pt idx="5">
                  <c:v>41164</c:v>
                </c:pt>
                <c:pt idx="6">
                  <c:v>41199</c:v>
                </c:pt>
                <c:pt idx="7">
                  <c:v>41234</c:v>
                </c:pt>
                <c:pt idx="8">
                  <c:v>41262</c:v>
                </c:pt>
                <c:pt idx="9">
                  <c:v>41290</c:v>
                </c:pt>
                <c:pt idx="10">
                  <c:v>41318</c:v>
                </c:pt>
                <c:pt idx="11">
                  <c:v>41346</c:v>
                </c:pt>
                <c:pt idx="12">
                  <c:v>41376</c:v>
                </c:pt>
                <c:pt idx="13">
                  <c:v>41410</c:v>
                </c:pt>
                <c:pt idx="14">
                  <c:v>41437</c:v>
                </c:pt>
                <c:pt idx="15">
                  <c:v>41465</c:v>
                </c:pt>
                <c:pt idx="16">
                  <c:v>41493</c:v>
                </c:pt>
                <c:pt idx="17">
                  <c:v>41521</c:v>
                </c:pt>
                <c:pt idx="18">
                  <c:v>41557</c:v>
                </c:pt>
                <c:pt idx="19">
                  <c:v>41591</c:v>
                </c:pt>
                <c:pt idx="20">
                  <c:v>41619</c:v>
                </c:pt>
                <c:pt idx="21">
                  <c:v>41647</c:v>
                </c:pt>
                <c:pt idx="22">
                  <c:v>41675</c:v>
                </c:pt>
                <c:pt idx="23">
                  <c:v>41703</c:v>
                </c:pt>
                <c:pt idx="24">
                  <c:v>41739</c:v>
                </c:pt>
                <c:pt idx="25">
                  <c:v>41773</c:v>
                </c:pt>
                <c:pt idx="26">
                  <c:v>41801</c:v>
                </c:pt>
                <c:pt idx="27">
                  <c:v>41829</c:v>
                </c:pt>
                <c:pt idx="28">
                  <c:v>41857</c:v>
                </c:pt>
                <c:pt idx="29">
                  <c:v>41892</c:v>
                </c:pt>
                <c:pt idx="30">
                  <c:v>41920</c:v>
                </c:pt>
                <c:pt idx="31">
                  <c:v>41948</c:v>
                </c:pt>
                <c:pt idx="32">
                  <c:v>41984</c:v>
                </c:pt>
                <c:pt idx="33">
                  <c:v>42012</c:v>
                </c:pt>
                <c:pt idx="34">
                  <c:v>42039</c:v>
                </c:pt>
                <c:pt idx="35">
                  <c:v>42067</c:v>
                </c:pt>
                <c:pt idx="36">
                  <c:v>42095</c:v>
                </c:pt>
                <c:pt idx="37">
                  <c:v>42131</c:v>
                </c:pt>
                <c:pt idx="38">
                  <c:v>42158</c:v>
                </c:pt>
                <c:pt idx="39">
                  <c:v>42193</c:v>
                </c:pt>
                <c:pt idx="40">
                  <c:v>42221</c:v>
                </c:pt>
                <c:pt idx="41">
                  <c:v>42249</c:v>
                </c:pt>
                <c:pt idx="42">
                  <c:v>42284</c:v>
                </c:pt>
                <c:pt idx="43">
                  <c:v>42312</c:v>
                </c:pt>
                <c:pt idx="44">
                  <c:v>42340</c:v>
                </c:pt>
                <c:pt idx="45">
                  <c:v>42375</c:v>
                </c:pt>
                <c:pt idx="46">
                  <c:v>42403</c:v>
                </c:pt>
                <c:pt idx="47">
                  <c:v>42431</c:v>
                </c:pt>
                <c:pt idx="48">
                  <c:v>42461</c:v>
                </c:pt>
                <c:pt idx="49">
                  <c:v>42492</c:v>
                </c:pt>
                <c:pt idx="50">
                  <c:v>42522</c:v>
                </c:pt>
                <c:pt idx="51">
                  <c:v>42552</c:v>
                </c:pt>
                <c:pt idx="52">
                  <c:v>42585</c:v>
                </c:pt>
                <c:pt idx="53">
                  <c:v>42614</c:v>
                </c:pt>
                <c:pt idx="54">
                  <c:v>42647</c:v>
                </c:pt>
                <c:pt idx="55">
                  <c:v>42678</c:v>
                </c:pt>
                <c:pt idx="56">
                  <c:v>42705</c:v>
                </c:pt>
                <c:pt idx="57">
                  <c:v>42741</c:v>
                </c:pt>
                <c:pt idx="58">
                  <c:v>42767</c:v>
                </c:pt>
                <c:pt idx="59">
                  <c:v>42797</c:v>
                </c:pt>
                <c:pt idx="60">
                  <c:v>42828</c:v>
                </c:pt>
                <c:pt idx="61">
                  <c:v>42857</c:v>
                </c:pt>
                <c:pt idx="62">
                  <c:v>42887</c:v>
                </c:pt>
                <c:pt idx="63">
                  <c:v>42919</c:v>
                </c:pt>
                <c:pt idx="64">
                  <c:v>42948</c:v>
                </c:pt>
                <c:pt idx="65">
                  <c:v>42979</c:v>
                </c:pt>
                <c:pt idx="66">
                  <c:v>43010</c:v>
                </c:pt>
                <c:pt idx="67">
                  <c:v>43055</c:v>
                </c:pt>
                <c:pt idx="68">
                  <c:v>43070</c:v>
                </c:pt>
                <c:pt idx="69">
                  <c:v>43105</c:v>
                </c:pt>
                <c:pt idx="70">
                  <c:v>43132</c:v>
                </c:pt>
                <c:pt idx="71">
                  <c:v>43160</c:v>
                </c:pt>
                <c:pt idx="72">
                  <c:v>43192</c:v>
                </c:pt>
                <c:pt idx="73">
                  <c:v>43221</c:v>
                </c:pt>
                <c:pt idx="74">
                  <c:v>43252</c:v>
                </c:pt>
                <c:pt idx="75">
                  <c:v>43283</c:v>
                </c:pt>
                <c:pt idx="76">
                  <c:v>43313</c:v>
                </c:pt>
                <c:pt idx="77">
                  <c:v>43346</c:v>
                </c:pt>
                <c:pt idx="78">
                  <c:v>43374</c:v>
                </c:pt>
                <c:pt idx="79">
                  <c:v>43405</c:v>
                </c:pt>
                <c:pt idx="80">
                  <c:v>43437</c:v>
                </c:pt>
                <c:pt idx="81">
                  <c:v>43472</c:v>
                </c:pt>
                <c:pt idx="82">
                  <c:v>43504</c:v>
                </c:pt>
                <c:pt idx="83">
                  <c:v>43525</c:v>
                </c:pt>
              </c:numCache>
            </c:numRef>
          </c:cat>
          <c:val>
            <c:numRef>
              <c:f>月間量回帰式!$C$20:$C$103</c:f>
              <c:numCache>
                <c:formatCode>0</c:formatCode>
                <c:ptCount val="84"/>
                <c:pt idx="0">
                  <c:v>5693.7099343496038</c:v>
                </c:pt>
                <c:pt idx="1">
                  <c:v>6461.0235251811728</c:v>
                </c:pt>
                <c:pt idx="2">
                  <c:v>6179.5927881937196</c:v>
                </c:pt>
                <c:pt idx="3">
                  <c:v>6411.8394300434275</c:v>
                </c:pt>
                <c:pt idx="4">
                  <c:v>6767.281654590066</c:v>
                </c:pt>
                <c:pt idx="5">
                  <c:v>6054.9434296986519</c:v>
                </c:pt>
                <c:pt idx="6">
                  <c:v>6164.2626032404287</c:v>
                </c:pt>
                <c:pt idx="7">
                  <c:v>5754.4110320193013</c:v>
                </c:pt>
                <c:pt idx="8">
                  <c:v>5830.9070462498912</c:v>
                </c:pt>
                <c:pt idx="9">
                  <c:v>5508.7884612072394</c:v>
                </c:pt>
                <c:pt idx="10">
                  <c:v>4728.3759929486159</c:v>
                </c:pt>
                <c:pt idx="11">
                  <c:v>5774.2107831388548</c:v>
                </c:pt>
                <c:pt idx="12">
                  <c:v>5482.3589469097042</c:v>
                </c:pt>
                <c:pt idx="13">
                  <c:v>6221.1897932797165</c:v>
                </c:pt>
                <c:pt idx="14">
                  <c:v>5950.2057887117353</c:v>
                </c:pt>
                <c:pt idx="15">
                  <c:v>6173.8314158538951</c:v>
                </c:pt>
                <c:pt idx="16">
                  <c:v>6516.079595392629</c:v>
                </c:pt>
                <c:pt idx="17">
                  <c:v>5830.1834247958523</c:v>
                </c:pt>
                <c:pt idx="18">
                  <c:v>5935.444661501966</c:v>
                </c:pt>
                <c:pt idx="19">
                  <c:v>5540.8068147733347</c:v>
                </c:pt>
                <c:pt idx="20">
                  <c:v>5614.4632905783164</c:v>
                </c:pt>
                <c:pt idx="21">
                  <c:v>5304.3017742670354</c:v>
                </c:pt>
                <c:pt idx="22">
                  <c:v>4552.8582818920968</c:v>
                </c:pt>
                <c:pt idx="23">
                  <c:v>5559.8715974806528</c:v>
                </c:pt>
                <c:pt idx="24">
                  <c:v>5397.9493997803338</c:v>
                </c:pt>
                <c:pt idx="25">
                  <c:v>6125.4047820935002</c:v>
                </c:pt>
                <c:pt idx="26">
                  <c:v>5858.5930028990097</c:v>
                </c:pt>
                <c:pt idx="27">
                  <c:v>6078.7755614467223</c:v>
                </c:pt>
                <c:pt idx="28">
                  <c:v>6415.7542914436672</c:v>
                </c:pt>
                <c:pt idx="29">
                  <c:v>5740.4185722325992</c:v>
                </c:pt>
                <c:pt idx="30">
                  <c:v>5844.0591464817899</c:v>
                </c:pt>
                <c:pt idx="31">
                  <c:v>5455.4973707009112</c:v>
                </c:pt>
                <c:pt idx="32">
                  <c:v>5528.019789099938</c:v>
                </c:pt>
                <c:pt idx="33">
                  <c:v>5222.633697634481</c:v>
                </c:pt>
                <c:pt idx="34">
                  <c:v>4482.7598608583294</c:v>
                </c:pt>
                <c:pt idx="35">
                  <c:v>5474.268621063844</c:v>
                </c:pt>
                <c:pt idx="36">
                  <c:v>4911.22</c:v>
                </c:pt>
                <c:pt idx="37">
                  <c:v>5017.6899999999996</c:v>
                </c:pt>
                <c:pt idx="38">
                  <c:v>5245.7</c:v>
                </c:pt>
                <c:pt idx="39">
                  <c:v>5444.63</c:v>
                </c:pt>
                <c:pt idx="40">
                  <c:v>5507.05</c:v>
                </c:pt>
                <c:pt idx="41">
                  <c:v>5124.37</c:v>
                </c:pt>
                <c:pt idx="42">
                  <c:v>5005.3</c:v>
                </c:pt>
                <c:pt idx="43">
                  <c:v>4810.2299999999996</c:v>
                </c:pt>
                <c:pt idx="44">
                  <c:v>5090.9399999999996</c:v>
                </c:pt>
                <c:pt idx="45">
                  <c:v>4515.71</c:v>
                </c:pt>
                <c:pt idx="46">
                  <c:v>4193.24</c:v>
                </c:pt>
                <c:pt idx="47">
                  <c:v>4900.29</c:v>
                </c:pt>
                <c:pt idx="48">
                  <c:v>4802.12</c:v>
                </c:pt>
                <c:pt idx="49">
                  <c:v>5502.55</c:v>
                </c:pt>
                <c:pt idx="50">
                  <c:v>4991.43</c:v>
                </c:pt>
                <c:pt idx="51">
                  <c:v>5226.55</c:v>
                </c:pt>
                <c:pt idx="52">
                  <c:v>5805.25</c:v>
                </c:pt>
                <c:pt idx="53">
                  <c:v>5310.79</c:v>
                </c:pt>
                <c:pt idx="54">
                  <c:v>4948.62</c:v>
                </c:pt>
                <c:pt idx="55">
                  <c:v>4702.2700000000004</c:v>
                </c:pt>
                <c:pt idx="56">
                  <c:v>5076.05</c:v>
                </c:pt>
                <c:pt idx="57">
                  <c:v>4597.87</c:v>
                </c:pt>
                <c:pt idx="58">
                  <c:v>3936.52</c:v>
                </c:pt>
                <c:pt idx="59">
                  <c:v>4818.8599999999997</c:v>
                </c:pt>
                <c:pt idx="60">
                  <c:v>4574.25</c:v>
                </c:pt>
                <c:pt idx="61">
                  <c:v>5535.09</c:v>
                </c:pt>
                <c:pt idx="62">
                  <c:v>5442.01</c:v>
                </c:pt>
                <c:pt idx="63">
                  <c:v>5365.97</c:v>
                </c:pt>
                <c:pt idx="64">
                  <c:v>5947.22</c:v>
                </c:pt>
                <c:pt idx="65">
                  <c:v>5135.9799999999996</c:v>
                </c:pt>
                <c:pt idx="66">
                  <c:v>5397.84</c:v>
                </c:pt>
                <c:pt idx="67">
                  <c:v>4808.5200000000004</c:v>
                </c:pt>
                <c:pt idx="68">
                  <c:v>4770.28</c:v>
                </c:pt>
                <c:pt idx="69">
                  <c:v>4593.75</c:v>
                </c:pt>
                <c:pt idx="70">
                  <c:v>3827.41</c:v>
                </c:pt>
                <c:pt idx="71">
                  <c:v>4817.8999999999996</c:v>
                </c:pt>
                <c:pt idx="72">
                  <c:v>4824.92</c:v>
                </c:pt>
                <c:pt idx="73">
                  <c:v>5632.88</c:v>
                </c:pt>
                <c:pt idx="74">
                  <c:v>5064.37</c:v>
                </c:pt>
                <c:pt idx="75">
                  <c:v>5485.96</c:v>
                </c:pt>
                <c:pt idx="76">
                  <c:v>5456.73</c:v>
                </c:pt>
                <c:pt idx="77">
                  <c:v>4753.95</c:v>
                </c:pt>
                <c:pt idx="78">
                  <c:v>5340.29</c:v>
                </c:pt>
                <c:pt idx="79">
                  <c:v>4995.25</c:v>
                </c:pt>
                <c:pt idx="80">
                  <c:v>4635.78</c:v>
                </c:pt>
                <c:pt idx="81">
                  <c:v>4784.4399999999996</c:v>
                </c:pt>
                <c:pt idx="82">
                  <c:v>3914.93</c:v>
                </c:pt>
                <c:pt idx="83">
                  <c:v>4000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月間量回帰式!$M$3:$M$4</c:f>
              <c:strCache>
                <c:ptCount val="1"/>
                <c:pt idx="0">
                  <c:v>今泉 600(200tx3炉)</c:v>
                </c:pt>
              </c:strCache>
            </c:strRef>
          </c:tx>
          <c:spPr>
            <a:ln w="0">
              <a:solidFill>
                <a:srgbClr val="FF0000"/>
              </a:solidFill>
              <a:prstDash val="solid"/>
            </a:ln>
          </c:spPr>
          <c:marker>
            <c:symbol val="square"/>
            <c:size val="4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月間量回帰式!$B$20:$B$103</c:f>
              <c:numCache>
                <c:formatCode>[$-411]ge\.m</c:formatCode>
                <c:ptCount val="84"/>
                <c:pt idx="0">
                  <c:v>41012</c:v>
                </c:pt>
                <c:pt idx="1">
                  <c:v>41045</c:v>
                </c:pt>
                <c:pt idx="2">
                  <c:v>41073</c:v>
                </c:pt>
                <c:pt idx="3">
                  <c:v>41101</c:v>
                </c:pt>
                <c:pt idx="4">
                  <c:v>41129</c:v>
                </c:pt>
                <c:pt idx="5">
                  <c:v>41164</c:v>
                </c:pt>
                <c:pt idx="6">
                  <c:v>41199</c:v>
                </c:pt>
                <c:pt idx="7">
                  <c:v>41234</c:v>
                </c:pt>
                <c:pt idx="8">
                  <c:v>41262</c:v>
                </c:pt>
                <c:pt idx="9">
                  <c:v>41290</c:v>
                </c:pt>
                <c:pt idx="10">
                  <c:v>41318</c:v>
                </c:pt>
                <c:pt idx="11">
                  <c:v>41346</c:v>
                </c:pt>
                <c:pt idx="12">
                  <c:v>41376</c:v>
                </c:pt>
                <c:pt idx="13">
                  <c:v>41410</c:v>
                </c:pt>
                <c:pt idx="14">
                  <c:v>41437</c:v>
                </c:pt>
                <c:pt idx="15">
                  <c:v>41465</c:v>
                </c:pt>
                <c:pt idx="16">
                  <c:v>41493</c:v>
                </c:pt>
                <c:pt idx="17">
                  <c:v>41521</c:v>
                </c:pt>
                <c:pt idx="18">
                  <c:v>41557</c:v>
                </c:pt>
                <c:pt idx="19">
                  <c:v>41591</c:v>
                </c:pt>
                <c:pt idx="20">
                  <c:v>41619</c:v>
                </c:pt>
                <c:pt idx="21">
                  <c:v>41647</c:v>
                </c:pt>
                <c:pt idx="22">
                  <c:v>41675</c:v>
                </c:pt>
                <c:pt idx="23">
                  <c:v>41703</c:v>
                </c:pt>
                <c:pt idx="24">
                  <c:v>41739</c:v>
                </c:pt>
                <c:pt idx="25">
                  <c:v>41773</c:v>
                </c:pt>
                <c:pt idx="26">
                  <c:v>41801</c:v>
                </c:pt>
                <c:pt idx="27">
                  <c:v>41829</c:v>
                </c:pt>
                <c:pt idx="28">
                  <c:v>41857</c:v>
                </c:pt>
                <c:pt idx="29">
                  <c:v>41892</c:v>
                </c:pt>
                <c:pt idx="30">
                  <c:v>41920</c:v>
                </c:pt>
                <c:pt idx="31">
                  <c:v>41948</c:v>
                </c:pt>
                <c:pt idx="32">
                  <c:v>41984</c:v>
                </c:pt>
                <c:pt idx="33">
                  <c:v>42012</c:v>
                </c:pt>
                <c:pt idx="34">
                  <c:v>42039</c:v>
                </c:pt>
                <c:pt idx="35">
                  <c:v>42067</c:v>
                </c:pt>
                <c:pt idx="36">
                  <c:v>42095</c:v>
                </c:pt>
                <c:pt idx="37">
                  <c:v>42131</c:v>
                </c:pt>
                <c:pt idx="38">
                  <c:v>42158</c:v>
                </c:pt>
                <c:pt idx="39">
                  <c:v>42193</c:v>
                </c:pt>
                <c:pt idx="40">
                  <c:v>42221</c:v>
                </c:pt>
                <c:pt idx="41">
                  <c:v>42249</c:v>
                </c:pt>
                <c:pt idx="42">
                  <c:v>42284</c:v>
                </c:pt>
                <c:pt idx="43">
                  <c:v>42312</c:v>
                </c:pt>
                <c:pt idx="44">
                  <c:v>42340</c:v>
                </c:pt>
                <c:pt idx="45">
                  <c:v>42375</c:v>
                </c:pt>
                <c:pt idx="46">
                  <c:v>42403</c:v>
                </c:pt>
                <c:pt idx="47">
                  <c:v>42431</c:v>
                </c:pt>
                <c:pt idx="48">
                  <c:v>42461</c:v>
                </c:pt>
                <c:pt idx="49">
                  <c:v>42492</c:v>
                </c:pt>
                <c:pt idx="50">
                  <c:v>42522</c:v>
                </c:pt>
                <c:pt idx="51">
                  <c:v>42552</c:v>
                </c:pt>
                <c:pt idx="52">
                  <c:v>42585</c:v>
                </c:pt>
                <c:pt idx="53">
                  <c:v>42614</c:v>
                </c:pt>
                <c:pt idx="54">
                  <c:v>42647</c:v>
                </c:pt>
                <c:pt idx="55">
                  <c:v>42678</c:v>
                </c:pt>
                <c:pt idx="56">
                  <c:v>42705</c:v>
                </c:pt>
                <c:pt idx="57">
                  <c:v>42741</c:v>
                </c:pt>
                <c:pt idx="58">
                  <c:v>42767</c:v>
                </c:pt>
                <c:pt idx="59">
                  <c:v>42797</c:v>
                </c:pt>
                <c:pt idx="60">
                  <c:v>42828</c:v>
                </c:pt>
                <c:pt idx="61">
                  <c:v>42857</c:v>
                </c:pt>
                <c:pt idx="62">
                  <c:v>42887</c:v>
                </c:pt>
                <c:pt idx="63">
                  <c:v>42919</c:v>
                </c:pt>
                <c:pt idx="64">
                  <c:v>42948</c:v>
                </c:pt>
                <c:pt idx="65">
                  <c:v>42979</c:v>
                </c:pt>
                <c:pt idx="66">
                  <c:v>43010</c:v>
                </c:pt>
                <c:pt idx="67">
                  <c:v>43055</c:v>
                </c:pt>
                <c:pt idx="68">
                  <c:v>43070</c:v>
                </c:pt>
                <c:pt idx="69">
                  <c:v>43105</c:v>
                </c:pt>
                <c:pt idx="70">
                  <c:v>43132</c:v>
                </c:pt>
                <c:pt idx="71">
                  <c:v>43160</c:v>
                </c:pt>
                <c:pt idx="72">
                  <c:v>43192</c:v>
                </c:pt>
                <c:pt idx="73">
                  <c:v>43221</c:v>
                </c:pt>
                <c:pt idx="74">
                  <c:v>43252</c:v>
                </c:pt>
                <c:pt idx="75">
                  <c:v>43283</c:v>
                </c:pt>
                <c:pt idx="76">
                  <c:v>43313</c:v>
                </c:pt>
                <c:pt idx="77">
                  <c:v>43346</c:v>
                </c:pt>
                <c:pt idx="78">
                  <c:v>43374</c:v>
                </c:pt>
                <c:pt idx="79">
                  <c:v>43405</c:v>
                </c:pt>
                <c:pt idx="80">
                  <c:v>43437</c:v>
                </c:pt>
                <c:pt idx="81">
                  <c:v>43472</c:v>
                </c:pt>
                <c:pt idx="82">
                  <c:v>43504</c:v>
                </c:pt>
                <c:pt idx="83">
                  <c:v>43525</c:v>
                </c:pt>
              </c:numCache>
            </c:numRef>
          </c:cat>
          <c:val>
            <c:numRef>
              <c:f>月間量回帰式!$M$20:$M$103</c:f>
              <c:numCache>
                <c:formatCode>General</c:formatCode>
                <c:ptCount val="84"/>
                <c:pt idx="5" formatCode="0">
                  <c:v>8409.4314775882813</c:v>
                </c:pt>
                <c:pt idx="6" formatCode="0">
                  <c:v>9585.8354394091002</c:v>
                </c:pt>
                <c:pt idx="7" formatCode="0">
                  <c:v>8357.6193886384335</c:v>
                </c:pt>
                <c:pt idx="8" formatCode="0">
                  <c:v>8213.8633036908795</c:v>
                </c:pt>
                <c:pt idx="9" formatCode="0">
                  <c:v>7647.8237192098841</c:v>
                </c:pt>
                <c:pt idx="10" formatCode="0">
                  <c:v>6563.3637533867723</c:v>
                </c:pt>
                <c:pt idx="11" formatCode="0">
                  <c:v>8125.8127016605022</c:v>
                </c:pt>
                <c:pt idx="12" formatCode="0">
                  <c:v>7499.9095391172968</c:v>
                </c:pt>
                <c:pt idx="13" formatCode="0">
                  <c:v>7905.3246838054365</c:v>
                </c:pt>
                <c:pt idx="14" formatCode="0">
                  <c:v>7716.419629738466</c:v>
                </c:pt>
                <c:pt idx="15" formatCode="0">
                  <c:v>8796.5343443248239</c:v>
                </c:pt>
                <c:pt idx="16" formatCode="0">
                  <c:v>8420.8893370970945</c:v>
                </c:pt>
                <c:pt idx="17" formatCode="0">
                  <c:v>7801.9411155338275</c:v>
                </c:pt>
                <c:pt idx="18" formatCode="0">
                  <c:v>8108.5735313760588</c:v>
                </c:pt>
                <c:pt idx="19" formatCode="0">
                  <c:v>7360.2605306666428</c:v>
                </c:pt>
                <c:pt idx="20" formatCode="0">
                  <c:v>7594.903341377335</c:v>
                </c:pt>
                <c:pt idx="21" formatCode="0">
                  <c:v>6974.6019317476857</c:v>
                </c:pt>
                <c:pt idx="22" formatCode="0">
                  <c:v>5756.1913967770561</c:v>
                </c:pt>
                <c:pt idx="23" formatCode="0">
                  <c:v>7241.4506184382763</c:v>
                </c:pt>
                <c:pt idx="24" formatCode="0">
                  <c:v>7833.835950621431</c:v>
                </c:pt>
                <c:pt idx="25" formatCode="0">
                  <c:v>8075.534268678919</c:v>
                </c:pt>
                <c:pt idx="26" formatCode="0">
                  <c:v>7912.5284262680552</c:v>
                </c:pt>
                <c:pt idx="27" formatCode="0">
                  <c:v>8763.2502969192374</c:v>
                </c:pt>
                <c:pt idx="28" formatCode="0">
                  <c:v>8350.9579334421032</c:v>
                </c:pt>
                <c:pt idx="29" formatCode="0">
                  <c:v>8393.957750491867</c:v>
                </c:pt>
                <c:pt idx="30" formatCode="0">
                  <c:v>8218.5859476222467</c:v>
                </c:pt>
                <c:pt idx="31" formatCode="0">
                  <c:v>7370.6745225298719</c:v>
                </c:pt>
                <c:pt idx="32" formatCode="0">
                  <c:v>8057.547417102548</c:v>
                </c:pt>
                <c:pt idx="33" formatCode="0">
                  <c:v>7003.9113771054272</c:v>
                </c:pt>
                <c:pt idx="34" formatCode="0">
                  <c:v>6073.9349416958585</c:v>
                </c:pt>
                <c:pt idx="35" formatCode="0">
                  <c:v>7652.2811675224339</c:v>
                </c:pt>
                <c:pt idx="36" formatCode="0">
                  <c:v>8009.8359520671502</c:v>
                </c:pt>
                <c:pt idx="37" formatCode="0">
                  <c:v>8153.4174020783857</c:v>
                </c:pt>
                <c:pt idx="38" formatCode="0">
                  <c:v>8347.8136862499778</c:v>
                </c:pt>
                <c:pt idx="39" formatCode="0">
                  <c:v>8943.4108122225116</c:v>
                </c:pt>
                <c:pt idx="40" formatCode="0">
                  <c:v>8601.2969868870987</c:v>
                </c:pt>
                <c:pt idx="41" formatCode="0">
                  <c:v>8687.8594660090985</c:v>
                </c:pt>
                <c:pt idx="42" formatCode="0">
                  <c:v>8333.3373672159232</c:v>
                </c:pt>
                <c:pt idx="43" formatCode="0">
                  <c:v>7892.8436594654013</c:v>
                </c:pt>
                <c:pt idx="44" formatCode="0">
                  <c:v>8564.3676015961428</c:v>
                </c:pt>
                <c:pt idx="45" formatCode="0">
                  <c:v>7034.0138751389331</c:v>
                </c:pt>
                <c:pt idx="46" formatCode="0">
                  <c:v>6707.5581091668846</c:v>
                </c:pt>
                <c:pt idx="47" formatCode="0">
                  <c:v>8009.2450819024943</c:v>
                </c:pt>
                <c:pt idx="48" formatCode="0">
                  <c:v>7538.2372178224805</c:v>
                </c:pt>
                <c:pt idx="49" formatCode="0">
                  <c:v>8314.6120901004288</c:v>
                </c:pt>
                <c:pt idx="50" formatCode="0">
                  <c:v>8225.2201421895479</c:v>
                </c:pt>
                <c:pt idx="51" formatCode="0">
                  <c:v>8460.889823045507</c:v>
                </c:pt>
                <c:pt idx="52" formatCode="0">
                  <c:v>8870.9898957665318</c:v>
                </c:pt>
                <c:pt idx="53" formatCode="0">
                  <c:v>8382.8169854220432</c:v>
                </c:pt>
                <c:pt idx="54" formatCode="0">
                  <c:v>8154.1129108968007</c:v>
                </c:pt>
                <c:pt idx="55" formatCode="0">
                  <c:v>7741.400735801757</c:v>
                </c:pt>
                <c:pt idx="56" formatCode="0">
                  <c:v>7960.2368680251484</c:v>
                </c:pt>
                <c:pt idx="57" formatCode="0">
                  <c:v>7017.5581446013075</c:v>
                </c:pt>
                <c:pt idx="58" formatCode="0">
                  <c:v>6293.135086206632</c:v>
                </c:pt>
                <c:pt idx="59" formatCode="0">
                  <c:v>7628.7901001218152</c:v>
                </c:pt>
                <c:pt idx="60" formatCode="0">
                  <c:v>6586.8765184825643</c:v>
                </c:pt>
                <c:pt idx="61" formatCode="0">
                  <c:v>8127.2404467861415</c:v>
                </c:pt>
                <c:pt idx="62" formatCode="0">
                  <c:v>8128.9561098090298</c:v>
                </c:pt>
                <c:pt idx="63" formatCode="0">
                  <c:v>8198.1312915328872</c:v>
                </c:pt>
                <c:pt idx="64" formatCode="0">
                  <c:v>9044.2260410248309</c:v>
                </c:pt>
                <c:pt idx="65" formatCode="0">
                  <c:v>7784.280018694195</c:v>
                </c:pt>
                <c:pt idx="66" formatCode="0">
                  <c:v>8020.1829728712382</c:v>
                </c:pt>
                <c:pt idx="67" formatCode="0">
                  <c:v>7189.3567011107125</c:v>
                </c:pt>
                <c:pt idx="68" formatCode="0">
                  <c:v>6895.7601202333353</c:v>
                </c:pt>
                <c:pt idx="69" formatCode="0">
                  <c:v>6555.1002270469198</c:v>
                </c:pt>
                <c:pt idx="70" formatCode="0">
                  <c:v>5446.2173286946254</c:v>
                </c:pt>
                <c:pt idx="71" formatCode="0">
                  <c:v>6909.5182998407727</c:v>
                </c:pt>
                <c:pt idx="72" formatCode="0">
                  <c:v>8260</c:v>
                </c:pt>
                <c:pt idx="73" formatCode="0">
                  <c:v>5792</c:v>
                </c:pt>
                <c:pt idx="74" formatCode="0">
                  <c:v>9199</c:v>
                </c:pt>
                <c:pt idx="75" formatCode="0">
                  <c:v>5673</c:v>
                </c:pt>
                <c:pt idx="76" formatCode="0">
                  <c:v>9118</c:v>
                </c:pt>
                <c:pt idx="77" formatCode="0">
                  <c:v>5957</c:v>
                </c:pt>
                <c:pt idx="78" formatCode="0">
                  <c:v>7116</c:v>
                </c:pt>
                <c:pt idx="79" formatCode="0">
                  <c:v>562</c:v>
                </c:pt>
                <c:pt idx="80" formatCode="0">
                  <c:v>4125</c:v>
                </c:pt>
                <c:pt idx="81" formatCode="0">
                  <c:v>2719</c:v>
                </c:pt>
                <c:pt idx="82" formatCode="0">
                  <c:v>4970</c:v>
                </c:pt>
                <c:pt idx="83" formatCode="0">
                  <c:v>6717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月間量回帰式!$R$3:$R$4</c:f>
              <c:strCache>
                <c:ptCount val="1"/>
                <c:pt idx="0">
                  <c:v>葛岡 600(300tx2炉〉</c:v>
                </c:pt>
              </c:strCache>
            </c:strRef>
          </c:tx>
          <c:spPr>
            <a:ln w="0">
              <a:solidFill>
                <a:srgbClr val="008000"/>
              </a:solidFill>
              <a:prstDash val="solid"/>
            </a:ln>
          </c:spPr>
          <c:marker>
            <c:symbol val="triangle"/>
            <c:size val="4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月間量回帰式!$B$20:$B$103</c:f>
              <c:numCache>
                <c:formatCode>[$-411]ge\.m</c:formatCode>
                <c:ptCount val="84"/>
                <c:pt idx="0">
                  <c:v>41012</c:v>
                </c:pt>
                <c:pt idx="1">
                  <c:v>41045</c:v>
                </c:pt>
                <c:pt idx="2">
                  <c:v>41073</c:v>
                </c:pt>
                <c:pt idx="3">
                  <c:v>41101</c:v>
                </c:pt>
                <c:pt idx="4">
                  <c:v>41129</c:v>
                </c:pt>
                <c:pt idx="5">
                  <c:v>41164</c:v>
                </c:pt>
                <c:pt idx="6">
                  <c:v>41199</c:v>
                </c:pt>
                <c:pt idx="7">
                  <c:v>41234</c:v>
                </c:pt>
                <c:pt idx="8">
                  <c:v>41262</c:v>
                </c:pt>
                <c:pt idx="9">
                  <c:v>41290</c:v>
                </c:pt>
                <c:pt idx="10">
                  <c:v>41318</c:v>
                </c:pt>
                <c:pt idx="11">
                  <c:v>41346</c:v>
                </c:pt>
                <c:pt idx="12">
                  <c:v>41376</c:v>
                </c:pt>
                <c:pt idx="13">
                  <c:v>41410</c:v>
                </c:pt>
                <c:pt idx="14">
                  <c:v>41437</c:v>
                </c:pt>
                <c:pt idx="15">
                  <c:v>41465</c:v>
                </c:pt>
                <c:pt idx="16">
                  <c:v>41493</c:v>
                </c:pt>
                <c:pt idx="17">
                  <c:v>41521</c:v>
                </c:pt>
                <c:pt idx="18">
                  <c:v>41557</c:v>
                </c:pt>
                <c:pt idx="19">
                  <c:v>41591</c:v>
                </c:pt>
                <c:pt idx="20">
                  <c:v>41619</c:v>
                </c:pt>
                <c:pt idx="21">
                  <c:v>41647</c:v>
                </c:pt>
                <c:pt idx="22">
                  <c:v>41675</c:v>
                </c:pt>
                <c:pt idx="23">
                  <c:v>41703</c:v>
                </c:pt>
                <c:pt idx="24">
                  <c:v>41739</c:v>
                </c:pt>
                <c:pt idx="25">
                  <c:v>41773</c:v>
                </c:pt>
                <c:pt idx="26">
                  <c:v>41801</c:v>
                </c:pt>
                <c:pt idx="27">
                  <c:v>41829</c:v>
                </c:pt>
                <c:pt idx="28">
                  <c:v>41857</c:v>
                </c:pt>
                <c:pt idx="29">
                  <c:v>41892</c:v>
                </c:pt>
                <c:pt idx="30">
                  <c:v>41920</c:v>
                </c:pt>
                <c:pt idx="31">
                  <c:v>41948</c:v>
                </c:pt>
                <c:pt idx="32">
                  <c:v>41984</c:v>
                </c:pt>
                <c:pt idx="33">
                  <c:v>42012</c:v>
                </c:pt>
                <c:pt idx="34">
                  <c:v>42039</c:v>
                </c:pt>
                <c:pt idx="35">
                  <c:v>42067</c:v>
                </c:pt>
                <c:pt idx="36">
                  <c:v>42095</c:v>
                </c:pt>
                <c:pt idx="37">
                  <c:v>42131</c:v>
                </c:pt>
                <c:pt idx="38">
                  <c:v>42158</c:v>
                </c:pt>
                <c:pt idx="39">
                  <c:v>42193</c:v>
                </c:pt>
                <c:pt idx="40">
                  <c:v>42221</c:v>
                </c:pt>
                <c:pt idx="41">
                  <c:v>42249</c:v>
                </c:pt>
                <c:pt idx="42">
                  <c:v>42284</c:v>
                </c:pt>
                <c:pt idx="43">
                  <c:v>42312</c:v>
                </c:pt>
                <c:pt idx="44">
                  <c:v>42340</c:v>
                </c:pt>
                <c:pt idx="45">
                  <c:v>42375</c:v>
                </c:pt>
                <c:pt idx="46">
                  <c:v>42403</c:v>
                </c:pt>
                <c:pt idx="47">
                  <c:v>42431</c:v>
                </c:pt>
                <c:pt idx="48">
                  <c:v>42461</c:v>
                </c:pt>
                <c:pt idx="49">
                  <c:v>42492</c:v>
                </c:pt>
                <c:pt idx="50">
                  <c:v>42522</c:v>
                </c:pt>
                <c:pt idx="51">
                  <c:v>42552</c:v>
                </c:pt>
                <c:pt idx="52">
                  <c:v>42585</c:v>
                </c:pt>
                <c:pt idx="53">
                  <c:v>42614</c:v>
                </c:pt>
                <c:pt idx="54">
                  <c:v>42647</c:v>
                </c:pt>
                <c:pt idx="55">
                  <c:v>42678</c:v>
                </c:pt>
                <c:pt idx="56">
                  <c:v>42705</c:v>
                </c:pt>
                <c:pt idx="57">
                  <c:v>42741</c:v>
                </c:pt>
                <c:pt idx="58">
                  <c:v>42767</c:v>
                </c:pt>
                <c:pt idx="59">
                  <c:v>42797</c:v>
                </c:pt>
                <c:pt idx="60">
                  <c:v>42828</c:v>
                </c:pt>
                <c:pt idx="61">
                  <c:v>42857</c:v>
                </c:pt>
                <c:pt idx="62">
                  <c:v>42887</c:v>
                </c:pt>
                <c:pt idx="63">
                  <c:v>42919</c:v>
                </c:pt>
                <c:pt idx="64">
                  <c:v>42948</c:v>
                </c:pt>
                <c:pt idx="65">
                  <c:v>42979</c:v>
                </c:pt>
                <c:pt idx="66">
                  <c:v>43010</c:v>
                </c:pt>
                <c:pt idx="67">
                  <c:v>43055</c:v>
                </c:pt>
                <c:pt idx="68">
                  <c:v>43070</c:v>
                </c:pt>
                <c:pt idx="69">
                  <c:v>43105</c:v>
                </c:pt>
                <c:pt idx="70">
                  <c:v>43132</c:v>
                </c:pt>
                <c:pt idx="71">
                  <c:v>43160</c:v>
                </c:pt>
                <c:pt idx="72">
                  <c:v>43192</c:v>
                </c:pt>
                <c:pt idx="73">
                  <c:v>43221</c:v>
                </c:pt>
                <c:pt idx="74">
                  <c:v>43252</c:v>
                </c:pt>
                <c:pt idx="75">
                  <c:v>43283</c:v>
                </c:pt>
                <c:pt idx="76">
                  <c:v>43313</c:v>
                </c:pt>
                <c:pt idx="77">
                  <c:v>43346</c:v>
                </c:pt>
                <c:pt idx="78">
                  <c:v>43374</c:v>
                </c:pt>
                <c:pt idx="79">
                  <c:v>43405</c:v>
                </c:pt>
                <c:pt idx="80">
                  <c:v>43437</c:v>
                </c:pt>
                <c:pt idx="81">
                  <c:v>43472</c:v>
                </c:pt>
                <c:pt idx="82">
                  <c:v>43504</c:v>
                </c:pt>
                <c:pt idx="83">
                  <c:v>43525</c:v>
                </c:pt>
              </c:numCache>
            </c:numRef>
          </c:cat>
          <c:val>
            <c:numRef>
              <c:f>月間量回帰式!$R$20:$R$103</c:f>
              <c:numCache>
                <c:formatCode>General</c:formatCode>
                <c:ptCount val="84"/>
                <c:pt idx="5" formatCode="0">
                  <c:v>9981.4154262554948</c:v>
                </c:pt>
                <c:pt idx="6" formatCode="0">
                  <c:v>11377.725828845743</c:v>
                </c:pt>
                <c:pt idx="7" formatCode="0">
                  <c:v>9919.9180485446723</c:v>
                </c:pt>
                <c:pt idx="8" formatCode="0">
                  <c:v>9749.2894861100176</c:v>
                </c:pt>
                <c:pt idx="9" formatCode="0">
                  <c:v>9077.4395215235691</c:v>
                </c:pt>
                <c:pt idx="10" formatCode="0">
                  <c:v>7790.2603036571518</c:v>
                </c:pt>
                <c:pt idx="11" formatCode="0">
                  <c:v>9644.7794916187922</c:v>
                </c:pt>
                <c:pt idx="12" formatCode="0">
                  <c:v>9834.7629809704449</c:v>
                </c:pt>
                <c:pt idx="13" formatCode="0">
                  <c:v>10366.390974095941</c:v>
                </c:pt>
                <c:pt idx="14" formatCode="0">
                  <c:v>10118.676461945342</c:v>
                </c:pt>
                <c:pt idx="15" formatCode="0">
                  <c:v>11535.049840158861</c:v>
                </c:pt>
                <c:pt idx="16" formatCode="0">
                  <c:v>11042.459950667415</c:v>
                </c:pt>
                <c:pt idx="17" formatCode="0">
                  <c:v>10230.822286930426</c:v>
                </c:pt>
                <c:pt idx="18" formatCode="0">
                  <c:v>10632.914754361125</c:v>
                </c:pt>
                <c:pt idx="19" formatCode="0">
                  <c:v>9651.6387857416357</c:v>
                </c:pt>
                <c:pt idx="20" formatCode="0">
                  <c:v>9959.3300207481807</c:v>
                </c:pt>
                <c:pt idx="21" formatCode="0">
                  <c:v>9145.9178977551001</c:v>
                </c:pt>
                <c:pt idx="22" formatCode="0">
                  <c:v>7548.1947835688652</c:v>
                </c:pt>
                <c:pt idx="23" formatCode="0">
                  <c:v>9495.8412630566618</c:v>
                </c:pt>
                <c:pt idx="24" formatCode="0">
                  <c:v>9919.4703140745714</c:v>
                </c:pt>
                <c:pt idx="25" formatCode="0">
                  <c:v>10225.516969384327</c:v>
                </c:pt>
                <c:pt idx="26" formatCode="0">
                  <c:v>10019.113411152166</c:v>
                </c:pt>
                <c:pt idx="27" formatCode="0">
                  <c:v>11096.326464201737</c:v>
                </c:pt>
                <c:pt idx="28" formatCode="0">
                  <c:v>10574.26780915591</c:v>
                </c:pt>
                <c:pt idx="29" formatCode="0">
                  <c:v>10628.715644344738</c:v>
                </c:pt>
                <c:pt idx="30" formatCode="0">
                  <c:v>10406.653885143241</c:v>
                </c:pt>
                <c:pt idx="31" formatCode="0">
                  <c:v>9332.999514132156</c:v>
                </c:pt>
                <c:pt idx="32" formatCode="0">
                  <c:v>10202.741404338019</c:v>
                </c:pt>
                <c:pt idx="33" formatCode="0">
                  <c:v>8868.5915081097937</c:v>
                </c:pt>
                <c:pt idx="34" formatCode="0">
                  <c:v>7691.0236215749319</c:v>
                </c:pt>
                <c:pt idx="35" formatCode="0">
                  <c:v>9689.5794543884058</c:v>
                </c:pt>
                <c:pt idx="36" formatCode="0">
                  <c:v>8939.3013173638155</c:v>
                </c:pt>
                <c:pt idx="37" formatCode="0">
                  <c:v>9099.5440305623542</c:v>
                </c:pt>
                <c:pt idx="38" formatCode="0">
                  <c:v>9316.4981566624356</c:v>
                </c:pt>
                <c:pt idx="39" formatCode="0">
                  <c:v>9981.2086706711943</c:v>
                </c:pt>
                <c:pt idx="40" formatCode="0">
                  <c:v>9599.3957861364015</c:v>
                </c:pt>
                <c:pt idx="41" formatCode="0">
                  <c:v>9696.003018579142</c:v>
                </c:pt>
                <c:pt idx="42" formatCode="0">
                  <c:v>9300.3419983358344</c:v>
                </c:pt>
                <c:pt idx="43" formatCode="0">
                  <c:v>8808.7331806835227</c:v>
                </c:pt>
                <c:pt idx="44" formatCode="0">
                  <c:v>9558.1810965277236</c:v>
                </c:pt>
                <c:pt idx="45" formatCode="0">
                  <c:v>7850.2443591441079</c:v>
                </c:pt>
                <c:pt idx="46" formatCode="0">
                  <c:v>7485.9065030033953</c:v>
                </c:pt>
                <c:pt idx="47" formatCode="0">
                  <c:v>8938.6418823300755</c:v>
                </c:pt>
                <c:pt idx="48" formatCode="0">
                  <c:v>7880.8481388634045</c:v>
                </c:pt>
                <c:pt idx="49" formatCode="0">
                  <c:v>8692.5090471704771</c:v>
                </c:pt>
                <c:pt idx="50" formatCode="0">
                  <c:v>8599.0542584756822</c:v>
                </c:pt>
                <c:pt idx="51" formatCode="0">
                  <c:v>8845.4350650346878</c:v>
                </c:pt>
                <c:pt idx="52" formatCode="0">
                  <c:v>9274.1740794039943</c:v>
                </c:pt>
                <c:pt idx="53" formatCode="0">
                  <c:v>8763.8138372460526</c:v>
                </c:pt>
                <c:pt idx="54" formatCode="0">
                  <c:v>8524.7152220139124</c:v>
                </c:pt>
                <c:pt idx="55" formatCode="0">
                  <c:v>8093.2453858970312</c:v>
                </c:pt>
                <c:pt idx="56" formatCode="0">
                  <c:v>8322.027563416108</c:v>
                </c:pt>
                <c:pt idx="57" formatCode="0">
                  <c:v>7336.5043371800812</c:v>
                </c:pt>
                <c:pt idx="58" formatCode="0">
                  <c:v>6579.1564391858929</c:v>
                </c:pt>
                <c:pt idx="59" formatCode="0">
                  <c:v>7975.5166261126778</c:v>
                </c:pt>
                <c:pt idx="60" formatCode="0">
                  <c:v>8597.7094317537703</c:v>
                </c:pt>
                <c:pt idx="61" formatCode="0">
                  <c:v>10608.313613803917</c:v>
                </c:pt>
                <c:pt idx="62" formatCode="0">
                  <c:v>10610.553032155271</c:v>
                </c:pt>
                <c:pt idx="63" formatCode="0">
                  <c:v>10700.84592146049</c:v>
                </c:pt>
                <c:pt idx="64" formatCode="0">
                  <c:v>11805.235352088539</c:v>
                </c:pt>
                <c:pt idx="65" formatCode="0">
                  <c:v>10160.6546818275</c:v>
                </c:pt>
                <c:pt idx="66" formatCode="0">
                  <c:v>10468.573776472042</c:v>
                </c:pt>
                <c:pt idx="67" formatCode="0">
                  <c:v>9384.1139641739519</c:v>
                </c:pt>
                <c:pt idx="68" formatCode="0">
                  <c:v>9000.8886091127042</c:v>
                </c:pt>
                <c:pt idx="69" formatCode="0">
                  <c:v>8556.2325162816487</c:v>
                </c:pt>
                <c:pt idx="70" formatCode="0">
                  <c:v>7108.8313198082842</c:v>
                </c:pt>
                <c:pt idx="71" formatCode="0">
                  <c:v>9018.8468675137392</c:v>
                </c:pt>
                <c:pt idx="72" formatCode="0">
                  <c:v>7180</c:v>
                </c:pt>
                <c:pt idx="73" formatCode="0">
                  <c:v>8158</c:v>
                </c:pt>
                <c:pt idx="74" formatCode="0">
                  <c:v>2246</c:v>
                </c:pt>
                <c:pt idx="75" formatCode="0">
                  <c:v>8431</c:v>
                </c:pt>
                <c:pt idx="76" formatCode="0">
                  <c:v>9175</c:v>
                </c:pt>
                <c:pt idx="77" formatCode="0">
                  <c:v>16153</c:v>
                </c:pt>
                <c:pt idx="78" formatCode="0">
                  <c:v>14477</c:v>
                </c:pt>
                <c:pt idx="79" formatCode="0">
                  <c:v>14199</c:v>
                </c:pt>
                <c:pt idx="80" formatCode="0">
                  <c:v>10566</c:v>
                </c:pt>
                <c:pt idx="81" formatCode="0">
                  <c:v>10461</c:v>
                </c:pt>
                <c:pt idx="82" formatCode="0">
                  <c:v>10958</c:v>
                </c:pt>
                <c:pt idx="83" formatCode="0">
                  <c:v>12260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月間量回帰式!$V$3:$V$4</c:f>
              <c:strCache>
                <c:ptCount val="1"/>
                <c:pt idx="0">
                  <c:v>松森 600(200tx3炉〉</c:v>
                </c:pt>
              </c:strCache>
            </c:strRef>
          </c:tx>
          <c:spPr>
            <a:ln w="0">
              <a:solidFill>
                <a:srgbClr val="66FFFF"/>
              </a:solidFill>
              <a:prstDash val="solid"/>
            </a:ln>
          </c:spPr>
          <c:marker>
            <c:symbol val="circle"/>
            <c:size val="4"/>
            <c:spPr>
              <a:noFill/>
              <a:ln>
                <a:solidFill>
                  <a:srgbClr val="66FFFF"/>
                </a:solidFill>
              </a:ln>
            </c:spPr>
          </c:marker>
          <c:cat>
            <c:numRef>
              <c:f>月間量回帰式!$B$20:$B$103</c:f>
              <c:numCache>
                <c:formatCode>[$-411]ge\.m</c:formatCode>
                <c:ptCount val="84"/>
                <c:pt idx="0">
                  <c:v>41012</c:v>
                </c:pt>
                <c:pt idx="1">
                  <c:v>41045</c:v>
                </c:pt>
                <c:pt idx="2">
                  <c:v>41073</c:v>
                </c:pt>
                <c:pt idx="3">
                  <c:v>41101</c:v>
                </c:pt>
                <c:pt idx="4">
                  <c:v>41129</c:v>
                </c:pt>
                <c:pt idx="5">
                  <c:v>41164</c:v>
                </c:pt>
                <c:pt idx="6">
                  <c:v>41199</c:v>
                </c:pt>
                <c:pt idx="7">
                  <c:v>41234</c:v>
                </c:pt>
                <c:pt idx="8">
                  <c:v>41262</c:v>
                </c:pt>
                <c:pt idx="9">
                  <c:v>41290</c:v>
                </c:pt>
                <c:pt idx="10">
                  <c:v>41318</c:v>
                </c:pt>
                <c:pt idx="11">
                  <c:v>41346</c:v>
                </c:pt>
                <c:pt idx="12">
                  <c:v>41376</c:v>
                </c:pt>
                <c:pt idx="13">
                  <c:v>41410</c:v>
                </c:pt>
                <c:pt idx="14">
                  <c:v>41437</c:v>
                </c:pt>
                <c:pt idx="15">
                  <c:v>41465</c:v>
                </c:pt>
                <c:pt idx="16">
                  <c:v>41493</c:v>
                </c:pt>
                <c:pt idx="17">
                  <c:v>41521</c:v>
                </c:pt>
                <c:pt idx="18">
                  <c:v>41557</c:v>
                </c:pt>
                <c:pt idx="19">
                  <c:v>41591</c:v>
                </c:pt>
                <c:pt idx="20">
                  <c:v>41619</c:v>
                </c:pt>
                <c:pt idx="21">
                  <c:v>41647</c:v>
                </c:pt>
                <c:pt idx="22">
                  <c:v>41675</c:v>
                </c:pt>
                <c:pt idx="23">
                  <c:v>41703</c:v>
                </c:pt>
                <c:pt idx="24">
                  <c:v>41739</c:v>
                </c:pt>
                <c:pt idx="25">
                  <c:v>41773</c:v>
                </c:pt>
                <c:pt idx="26">
                  <c:v>41801</c:v>
                </c:pt>
                <c:pt idx="27">
                  <c:v>41829</c:v>
                </c:pt>
                <c:pt idx="28">
                  <c:v>41857</c:v>
                </c:pt>
                <c:pt idx="29">
                  <c:v>41892</c:v>
                </c:pt>
                <c:pt idx="30">
                  <c:v>41920</c:v>
                </c:pt>
                <c:pt idx="31">
                  <c:v>41948</c:v>
                </c:pt>
                <c:pt idx="32">
                  <c:v>41984</c:v>
                </c:pt>
                <c:pt idx="33">
                  <c:v>42012</c:v>
                </c:pt>
                <c:pt idx="34">
                  <c:v>42039</c:v>
                </c:pt>
                <c:pt idx="35">
                  <c:v>42067</c:v>
                </c:pt>
                <c:pt idx="36">
                  <c:v>42095</c:v>
                </c:pt>
                <c:pt idx="37">
                  <c:v>42131</c:v>
                </c:pt>
                <c:pt idx="38">
                  <c:v>42158</c:v>
                </c:pt>
                <c:pt idx="39">
                  <c:v>42193</c:v>
                </c:pt>
                <c:pt idx="40">
                  <c:v>42221</c:v>
                </c:pt>
                <c:pt idx="41">
                  <c:v>42249</c:v>
                </c:pt>
                <c:pt idx="42">
                  <c:v>42284</c:v>
                </c:pt>
                <c:pt idx="43">
                  <c:v>42312</c:v>
                </c:pt>
                <c:pt idx="44">
                  <c:v>42340</c:v>
                </c:pt>
                <c:pt idx="45">
                  <c:v>42375</c:v>
                </c:pt>
                <c:pt idx="46">
                  <c:v>42403</c:v>
                </c:pt>
                <c:pt idx="47">
                  <c:v>42431</c:v>
                </c:pt>
                <c:pt idx="48">
                  <c:v>42461</c:v>
                </c:pt>
                <c:pt idx="49">
                  <c:v>42492</c:v>
                </c:pt>
                <c:pt idx="50">
                  <c:v>42522</c:v>
                </c:pt>
                <c:pt idx="51">
                  <c:v>42552</c:v>
                </c:pt>
                <c:pt idx="52">
                  <c:v>42585</c:v>
                </c:pt>
                <c:pt idx="53">
                  <c:v>42614</c:v>
                </c:pt>
                <c:pt idx="54">
                  <c:v>42647</c:v>
                </c:pt>
                <c:pt idx="55">
                  <c:v>42678</c:v>
                </c:pt>
                <c:pt idx="56">
                  <c:v>42705</c:v>
                </c:pt>
                <c:pt idx="57">
                  <c:v>42741</c:v>
                </c:pt>
                <c:pt idx="58">
                  <c:v>42767</c:v>
                </c:pt>
                <c:pt idx="59">
                  <c:v>42797</c:v>
                </c:pt>
                <c:pt idx="60">
                  <c:v>42828</c:v>
                </c:pt>
                <c:pt idx="61">
                  <c:v>42857</c:v>
                </c:pt>
                <c:pt idx="62">
                  <c:v>42887</c:v>
                </c:pt>
                <c:pt idx="63">
                  <c:v>42919</c:v>
                </c:pt>
                <c:pt idx="64">
                  <c:v>42948</c:v>
                </c:pt>
                <c:pt idx="65">
                  <c:v>42979</c:v>
                </c:pt>
                <c:pt idx="66">
                  <c:v>43010</c:v>
                </c:pt>
                <c:pt idx="67">
                  <c:v>43055</c:v>
                </c:pt>
                <c:pt idx="68">
                  <c:v>43070</c:v>
                </c:pt>
                <c:pt idx="69">
                  <c:v>43105</c:v>
                </c:pt>
                <c:pt idx="70">
                  <c:v>43132</c:v>
                </c:pt>
                <c:pt idx="71">
                  <c:v>43160</c:v>
                </c:pt>
                <c:pt idx="72">
                  <c:v>43192</c:v>
                </c:pt>
                <c:pt idx="73">
                  <c:v>43221</c:v>
                </c:pt>
                <c:pt idx="74">
                  <c:v>43252</c:v>
                </c:pt>
                <c:pt idx="75">
                  <c:v>43283</c:v>
                </c:pt>
                <c:pt idx="76">
                  <c:v>43313</c:v>
                </c:pt>
                <c:pt idx="77">
                  <c:v>43346</c:v>
                </c:pt>
                <c:pt idx="78">
                  <c:v>43374</c:v>
                </c:pt>
                <c:pt idx="79">
                  <c:v>43405</c:v>
                </c:pt>
                <c:pt idx="80">
                  <c:v>43437</c:v>
                </c:pt>
                <c:pt idx="81">
                  <c:v>43472</c:v>
                </c:pt>
                <c:pt idx="82">
                  <c:v>43504</c:v>
                </c:pt>
                <c:pt idx="83">
                  <c:v>43525</c:v>
                </c:pt>
              </c:numCache>
            </c:numRef>
          </c:cat>
          <c:val>
            <c:numRef>
              <c:f>月間量回帰式!$V$20:$V$103</c:f>
              <c:numCache>
                <c:formatCode>General</c:formatCode>
                <c:ptCount val="84"/>
                <c:pt idx="5" formatCode="0">
                  <c:v>9688.1530961562239</c:v>
                </c:pt>
                <c:pt idx="6" formatCode="0">
                  <c:v>11043.438731745156</c:v>
                </c:pt>
                <c:pt idx="7" formatCode="0">
                  <c:v>9628.4625628168942</c:v>
                </c:pt>
                <c:pt idx="8" formatCode="0">
                  <c:v>9462.8472101991028</c:v>
                </c:pt>
                <c:pt idx="9" formatCode="0">
                  <c:v>8810.7367592665469</c:v>
                </c:pt>
                <c:pt idx="10" formatCode="0">
                  <c:v>7561.375942956076</c:v>
                </c:pt>
                <c:pt idx="11" formatCode="0">
                  <c:v>9361.4078067207047</c:v>
                </c:pt>
                <c:pt idx="12" formatCode="0">
                  <c:v>11670.401149312698</c:v>
                </c:pt>
                <c:pt idx="13" formatCode="0">
                  <c:v>12301.256407744801</c:v>
                </c:pt>
                <c:pt idx="14" formatCode="0">
                  <c:v>12007.306494269762</c:v>
                </c:pt>
                <c:pt idx="15" formatCode="0">
                  <c:v>13688.043033924316</c:v>
                </c:pt>
                <c:pt idx="16" formatCode="0">
                  <c:v>13103.512260423809</c:v>
                </c:pt>
                <c:pt idx="17" formatCode="0">
                  <c:v>12140.384105527803</c:v>
                </c:pt>
                <c:pt idx="18" formatCode="0">
                  <c:v>12617.526300323245</c:v>
                </c:pt>
                <c:pt idx="19" formatCode="0">
                  <c:v>11453.097201815392</c:v>
                </c:pt>
                <c:pt idx="20" formatCode="0">
                  <c:v>11818.218369412611</c:v>
                </c:pt>
                <c:pt idx="21" formatCode="0">
                  <c:v>10852.984556110621</c:v>
                </c:pt>
                <c:pt idx="22" formatCode="0">
                  <c:v>8957.0497273647434</c:v>
                </c:pt>
                <c:pt idx="23" formatCode="0">
                  <c:v>11268.220393770203</c:v>
                </c:pt>
                <c:pt idx="24" formatCode="0">
                  <c:v>11451.259573396037</c:v>
                </c:pt>
                <c:pt idx="25" formatCode="0">
                  <c:v>11804.566713853832</c:v>
                </c:pt>
                <c:pt idx="26" formatCode="0">
                  <c:v>11566.289805172994</c:v>
                </c:pt>
                <c:pt idx="27" formatCode="0">
                  <c:v>12809.848775133163</c:v>
                </c:pt>
                <c:pt idx="28" formatCode="0">
                  <c:v>12207.17252507318</c:v>
                </c:pt>
                <c:pt idx="29" formatCode="0">
                  <c:v>12270.028330294161</c:v>
                </c:pt>
                <c:pt idx="30" formatCode="0">
                  <c:v>12013.675242334086</c:v>
                </c:pt>
                <c:pt idx="31" formatCode="0">
                  <c:v>10774.224494937376</c:v>
                </c:pt>
                <c:pt idx="32" formatCode="0">
                  <c:v>11778.27408944767</c:v>
                </c:pt>
                <c:pt idx="33" formatCode="0">
                  <c:v>10238.101450405489</c:v>
                </c:pt>
                <c:pt idx="34" formatCode="0">
                  <c:v>8878.6906041556704</c:v>
                </c:pt>
                <c:pt idx="35" formatCode="0">
                  <c:v>11185.868395796344</c:v>
                </c:pt>
                <c:pt idx="36" formatCode="0">
                  <c:v>11442.987409427442</c:v>
                </c:pt>
                <c:pt idx="37" formatCode="0">
                  <c:v>11648.110302647483</c:v>
                </c:pt>
                <c:pt idx="38" formatCode="0">
                  <c:v>11925.8281292705</c:v>
                </c:pt>
                <c:pt idx="39" formatCode="0">
                  <c:v>12776.708278924001</c:v>
                </c:pt>
                <c:pt idx="40" formatCode="0">
                  <c:v>12287.958669152793</c:v>
                </c:pt>
                <c:pt idx="41" formatCode="0">
                  <c:v>12411.623294077634</c:v>
                </c:pt>
                <c:pt idx="42" formatCode="0">
                  <c:v>11905.147014521977</c:v>
                </c:pt>
                <c:pt idx="43" formatCode="0">
                  <c:v>11275.850237174076</c:v>
                </c:pt>
                <c:pt idx="44" formatCode="0">
                  <c:v>12235.200723365746</c:v>
                </c:pt>
                <c:pt idx="45" formatCode="0">
                  <c:v>10048.911449950499</c:v>
                </c:pt>
                <c:pt idx="46" formatCode="0">
                  <c:v>9582.5312091930009</c:v>
                </c:pt>
                <c:pt idx="47" formatCode="0">
                  <c:v>11442.143282294848</c:v>
                </c:pt>
                <c:pt idx="48" formatCode="0">
                  <c:v>11813.18311583508</c:v>
                </c:pt>
                <c:pt idx="49" formatCode="0">
                  <c:v>13029.841369978183</c:v>
                </c:pt>
                <c:pt idx="50" formatCode="0">
                  <c:v>12889.755111183389</c:v>
                </c:pt>
                <c:pt idx="51" formatCode="0">
                  <c:v>13259.073429824211</c:v>
                </c:pt>
                <c:pt idx="52" formatCode="0">
                  <c:v>13901.74188332111</c:v>
                </c:pt>
                <c:pt idx="53" formatCode="0">
                  <c:v>13136.72536613655</c:v>
                </c:pt>
                <c:pt idx="54" formatCode="0">
                  <c:v>12778.322859869348</c:v>
                </c:pt>
                <c:pt idx="55" formatCode="0">
                  <c:v>12131.56097673234</c:v>
                </c:pt>
                <c:pt idx="56" formatCode="0">
                  <c:v>12474.499415470247</c:v>
                </c:pt>
                <c:pt idx="57" formatCode="0">
                  <c:v>10997.226140906958</c:v>
                </c:pt>
                <c:pt idx="58" formatCode="0">
                  <c:v>9861.981654050438</c:v>
                </c:pt>
                <c:pt idx="59" formatCode="0">
                  <c:v>11955.088676692145</c:v>
                </c:pt>
                <c:pt idx="60" formatCode="0">
                  <c:v>9158.978953961845</c:v>
                </c:pt>
                <c:pt idx="61" formatCode="0">
                  <c:v>11300.837961214738</c:v>
                </c:pt>
                <c:pt idx="62" formatCode="0">
                  <c:v>11303.223571674358</c:v>
                </c:pt>
                <c:pt idx="63" formatCode="0">
                  <c:v>11399.410896845478</c:v>
                </c:pt>
                <c:pt idx="64" formatCode="0">
                  <c:v>12575.89628895961</c:v>
                </c:pt>
                <c:pt idx="65" formatCode="0">
                  <c:v>10823.955278789786</c:v>
                </c:pt>
                <c:pt idx="66" formatCode="0">
                  <c:v>11151.975727696383</c:v>
                </c:pt>
                <c:pt idx="67" formatCode="0">
                  <c:v>9996.7209850120216</c:v>
                </c:pt>
                <c:pt idx="68" formatCode="0">
                  <c:v>9588.478186218741</c:v>
                </c:pt>
                <c:pt idx="69" formatCode="0">
                  <c:v>9114.7943721380652</c:v>
                </c:pt>
                <c:pt idx="70" formatCode="0">
                  <c:v>7572.9049652365075</c:v>
                </c:pt>
                <c:pt idx="71" formatCode="0">
                  <c:v>9607.6087828096697</c:v>
                </c:pt>
                <c:pt idx="72" formatCode="0">
                  <c:v>13619</c:v>
                </c:pt>
                <c:pt idx="73" formatCode="0">
                  <c:v>12139</c:v>
                </c:pt>
                <c:pt idx="74" formatCode="0">
                  <c:v>12060</c:v>
                </c:pt>
                <c:pt idx="75" formatCode="0">
                  <c:v>9208</c:v>
                </c:pt>
                <c:pt idx="76" formatCode="0">
                  <c:v>12284</c:v>
                </c:pt>
                <c:pt idx="77" formatCode="0">
                  <c:v>12338</c:v>
                </c:pt>
                <c:pt idx="78" formatCode="0">
                  <c:v>770</c:v>
                </c:pt>
                <c:pt idx="79" formatCode="0">
                  <c:v>11814</c:v>
                </c:pt>
                <c:pt idx="80" formatCode="0">
                  <c:v>12084</c:v>
                </c:pt>
                <c:pt idx="81" formatCode="0">
                  <c:v>9318</c:v>
                </c:pt>
                <c:pt idx="82" formatCode="0">
                  <c:v>10658</c:v>
                </c:pt>
                <c:pt idx="83" formatCode="0">
                  <c:v>11827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月間量回帰式!$F$3:$F$4</c:f>
              <c:strCache>
                <c:ptCount val="1"/>
                <c:pt idx="0">
                  <c:v>宮城東部 180(90tx2炉〉</c:v>
                </c:pt>
              </c:strCache>
            </c:strRef>
          </c:tx>
          <c:spPr>
            <a:ln w="0">
              <a:solidFill>
                <a:srgbClr val="FF00FF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FF00FF"/>
                </a:solidFill>
              </a:ln>
            </c:spPr>
          </c:marker>
          <c:cat>
            <c:numRef>
              <c:f>月間量回帰式!$B$20:$B$103</c:f>
              <c:numCache>
                <c:formatCode>[$-411]ge\.m</c:formatCode>
                <c:ptCount val="84"/>
                <c:pt idx="0">
                  <c:v>41012</c:v>
                </c:pt>
                <c:pt idx="1">
                  <c:v>41045</c:v>
                </c:pt>
                <c:pt idx="2">
                  <c:v>41073</c:v>
                </c:pt>
                <c:pt idx="3">
                  <c:v>41101</c:v>
                </c:pt>
                <c:pt idx="4">
                  <c:v>41129</c:v>
                </c:pt>
                <c:pt idx="5">
                  <c:v>41164</c:v>
                </c:pt>
                <c:pt idx="6">
                  <c:v>41199</c:v>
                </c:pt>
                <c:pt idx="7">
                  <c:v>41234</c:v>
                </c:pt>
                <c:pt idx="8">
                  <c:v>41262</c:v>
                </c:pt>
                <c:pt idx="9">
                  <c:v>41290</c:v>
                </c:pt>
                <c:pt idx="10">
                  <c:v>41318</c:v>
                </c:pt>
                <c:pt idx="11">
                  <c:v>41346</c:v>
                </c:pt>
                <c:pt idx="12">
                  <c:v>41376</c:v>
                </c:pt>
                <c:pt idx="13">
                  <c:v>41410</c:v>
                </c:pt>
                <c:pt idx="14">
                  <c:v>41437</c:v>
                </c:pt>
                <c:pt idx="15">
                  <c:v>41465</c:v>
                </c:pt>
                <c:pt idx="16">
                  <c:v>41493</c:v>
                </c:pt>
                <c:pt idx="17">
                  <c:v>41521</c:v>
                </c:pt>
                <c:pt idx="18">
                  <c:v>41557</c:v>
                </c:pt>
                <c:pt idx="19">
                  <c:v>41591</c:v>
                </c:pt>
                <c:pt idx="20">
                  <c:v>41619</c:v>
                </c:pt>
                <c:pt idx="21">
                  <c:v>41647</c:v>
                </c:pt>
                <c:pt idx="22">
                  <c:v>41675</c:v>
                </c:pt>
                <c:pt idx="23">
                  <c:v>41703</c:v>
                </c:pt>
                <c:pt idx="24">
                  <c:v>41739</c:v>
                </c:pt>
                <c:pt idx="25">
                  <c:v>41773</c:v>
                </c:pt>
                <c:pt idx="26">
                  <c:v>41801</c:v>
                </c:pt>
                <c:pt idx="27">
                  <c:v>41829</c:v>
                </c:pt>
                <c:pt idx="28">
                  <c:v>41857</c:v>
                </c:pt>
                <c:pt idx="29">
                  <c:v>41892</c:v>
                </c:pt>
                <c:pt idx="30">
                  <c:v>41920</c:v>
                </c:pt>
                <c:pt idx="31">
                  <c:v>41948</c:v>
                </c:pt>
                <c:pt idx="32">
                  <c:v>41984</c:v>
                </c:pt>
                <c:pt idx="33">
                  <c:v>42012</c:v>
                </c:pt>
                <c:pt idx="34">
                  <c:v>42039</c:v>
                </c:pt>
                <c:pt idx="35">
                  <c:v>42067</c:v>
                </c:pt>
                <c:pt idx="36">
                  <c:v>42095</c:v>
                </c:pt>
                <c:pt idx="37">
                  <c:v>42131</c:v>
                </c:pt>
                <c:pt idx="38">
                  <c:v>42158</c:v>
                </c:pt>
                <c:pt idx="39">
                  <c:v>42193</c:v>
                </c:pt>
                <c:pt idx="40">
                  <c:v>42221</c:v>
                </c:pt>
                <c:pt idx="41">
                  <c:v>42249</c:v>
                </c:pt>
                <c:pt idx="42">
                  <c:v>42284</c:v>
                </c:pt>
                <c:pt idx="43">
                  <c:v>42312</c:v>
                </c:pt>
                <c:pt idx="44">
                  <c:v>42340</c:v>
                </c:pt>
                <c:pt idx="45">
                  <c:v>42375</c:v>
                </c:pt>
                <c:pt idx="46">
                  <c:v>42403</c:v>
                </c:pt>
                <c:pt idx="47">
                  <c:v>42431</c:v>
                </c:pt>
                <c:pt idx="48">
                  <c:v>42461</c:v>
                </c:pt>
                <c:pt idx="49">
                  <c:v>42492</c:v>
                </c:pt>
                <c:pt idx="50">
                  <c:v>42522</c:v>
                </c:pt>
                <c:pt idx="51">
                  <c:v>42552</c:v>
                </c:pt>
                <c:pt idx="52">
                  <c:v>42585</c:v>
                </c:pt>
                <c:pt idx="53">
                  <c:v>42614</c:v>
                </c:pt>
                <c:pt idx="54">
                  <c:v>42647</c:v>
                </c:pt>
                <c:pt idx="55">
                  <c:v>42678</c:v>
                </c:pt>
                <c:pt idx="56">
                  <c:v>42705</c:v>
                </c:pt>
                <c:pt idx="57">
                  <c:v>42741</c:v>
                </c:pt>
                <c:pt idx="58">
                  <c:v>42767</c:v>
                </c:pt>
                <c:pt idx="59">
                  <c:v>42797</c:v>
                </c:pt>
                <c:pt idx="60">
                  <c:v>42828</c:v>
                </c:pt>
                <c:pt idx="61">
                  <c:v>42857</c:v>
                </c:pt>
                <c:pt idx="62">
                  <c:v>42887</c:v>
                </c:pt>
                <c:pt idx="63">
                  <c:v>42919</c:v>
                </c:pt>
                <c:pt idx="64">
                  <c:v>42948</c:v>
                </c:pt>
                <c:pt idx="65">
                  <c:v>42979</c:v>
                </c:pt>
                <c:pt idx="66">
                  <c:v>43010</c:v>
                </c:pt>
                <c:pt idx="67">
                  <c:v>43055</c:v>
                </c:pt>
                <c:pt idx="68">
                  <c:v>43070</c:v>
                </c:pt>
                <c:pt idx="69">
                  <c:v>43105</c:v>
                </c:pt>
                <c:pt idx="70">
                  <c:v>43132</c:v>
                </c:pt>
                <c:pt idx="71">
                  <c:v>43160</c:v>
                </c:pt>
                <c:pt idx="72">
                  <c:v>43192</c:v>
                </c:pt>
                <c:pt idx="73">
                  <c:v>43221</c:v>
                </c:pt>
                <c:pt idx="74">
                  <c:v>43252</c:v>
                </c:pt>
                <c:pt idx="75">
                  <c:v>43283</c:v>
                </c:pt>
                <c:pt idx="76">
                  <c:v>43313</c:v>
                </c:pt>
                <c:pt idx="77">
                  <c:v>43346</c:v>
                </c:pt>
                <c:pt idx="78">
                  <c:v>43374</c:v>
                </c:pt>
                <c:pt idx="79">
                  <c:v>43405</c:v>
                </c:pt>
                <c:pt idx="80">
                  <c:v>43437</c:v>
                </c:pt>
                <c:pt idx="81">
                  <c:v>43472</c:v>
                </c:pt>
                <c:pt idx="82">
                  <c:v>43504</c:v>
                </c:pt>
                <c:pt idx="83">
                  <c:v>43525</c:v>
                </c:pt>
              </c:numCache>
            </c:numRef>
          </c:cat>
          <c:val>
            <c:numRef>
              <c:f>月間量回帰式!$F$20:$F$103</c:f>
              <c:numCache>
                <c:formatCode>0</c:formatCode>
                <c:ptCount val="84"/>
                <c:pt idx="0">
                  <c:v>3453.58</c:v>
                </c:pt>
                <c:pt idx="1">
                  <c:v>3056.66</c:v>
                </c:pt>
                <c:pt idx="2">
                  <c:v>3703.76</c:v>
                </c:pt>
                <c:pt idx="3">
                  <c:v>3890.44</c:v>
                </c:pt>
                <c:pt idx="4">
                  <c:v>4693.46</c:v>
                </c:pt>
                <c:pt idx="5">
                  <c:v>4639.37</c:v>
                </c:pt>
                <c:pt idx="6">
                  <c:v>4819.8100000000004</c:v>
                </c:pt>
                <c:pt idx="7">
                  <c:v>4550.29</c:v>
                </c:pt>
                <c:pt idx="8">
                  <c:v>4161.66</c:v>
                </c:pt>
                <c:pt idx="9">
                  <c:v>3121.59</c:v>
                </c:pt>
                <c:pt idx="10">
                  <c:v>2658.44</c:v>
                </c:pt>
                <c:pt idx="11">
                  <c:v>3137.77</c:v>
                </c:pt>
                <c:pt idx="12">
                  <c:v>3274.12</c:v>
                </c:pt>
                <c:pt idx="13">
                  <c:v>3669.2</c:v>
                </c:pt>
                <c:pt idx="14">
                  <c:v>3632.79</c:v>
                </c:pt>
                <c:pt idx="15">
                  <c:v>4241.7700000000004</c:v>
                </c:pt>
                <c:pt idx="16">
                  <c:v>4204.96</c:v>
                </c:pt>
                <c:pt idx="17">
                  <c:v>3639.07</c:v>
                </c:pt>
                <c:pt idx="18">
                  <c:v>3922.53</c:v>
                </c:pt>
                <c:pt idx="19">
                  <c:v>3376.88</c:v>
                </c:pt>
                <c:pt idx="20">
                  <c:v>3260.82</c:v>
                </c:pt>
                <c:pt idx="21">
                  <c:v>3094.86</c:v>
                </c:pt>
                <c:pt idx="22">
                  <c:v>2416.7399999999998</c:v>
                </c:pt>
                <c:pt idx="23">
                  <c:v>3025.7</c:v>
                </c:pt>
                <c:pt idx="24">
                  <c:v>3232.15</c:v>
                </c:pt>
                <c:pt idx="25">
                  <c:v>3633.7</c:v>
                </c:pt>
                <c:pt idx="26">
                  <c:v>3717.2</c:v>
                </c:pt>
                <c:pt idx="27">
                  <c:v>3963.2</c:v>
                </c:pt>
                <c:pt idx="28">
                  <c:v>3892.13</c:v>
                </c:pt>
                <c:pt idx="29">
                  <c:v>3780.22</c:v>
                </c:pt>
                <c:pt idx="30">
                  <c:v>3844.77</c:v>
                </c:pt>
                <c:pt idx="31">
                  <c:v>3193.13</c:v>
                </c:pt>
                <c:pt idx="32">
                  <c:v>3325.02</c:v>
                </c:pt>
                <c:pt idx="33">
                  <c:v>3093.86</c:v>
                </c:pt>
                <c:pt idx="34">
                  <c:v>2539.4899999999998</c:v>
                </c:pt>
                <c:pt idx="35">
                  <c:v>3137.62</c:v>
                </c:pt>
                <c:pt idx="36">
                  <c:v>3213.16</c:v>
                </c:pt>
                <c:pt idx="37">
                  <c:v>3508.9</c:v>
                </c:pt>
                <c:pt idx="38">
                  <c:v>3648.39</c:v>
                </c:pt>
                <c:pt idx="39">
                  <c:v>3828.38</c:v>
                </c:pt>
                <c:pt idx="40">
                  <c:v>3788.74</c:v>
                </c:pt>
                <c:pt idx="41">
                  <c:v>3700.23</c:v>
                </c:pt>
                <c:pt idx="42">
                  <c:v>3571.69</c:v>
                </c:pt>
                <c:pt idx="43">
                  <c:v>3233.36</c:v>
                </c:pt>
                <c:pt idx="44">
                  <c:v>3359.44</c:v>
                </c:pt>
                <c:pt idx="45">
                  <c:v>2915.17</c:v>
                </c:pt>
                <c:pt idx="46">
                  <c:v>2728.16</c:v>
                </c:pt>
                <c:pt idx="47">
                  <c:v>3122.56</c:v>
                </c:pt>
                <c:pt idx="48">
                  <c:v>3162.5</c:v>
                </c:pt>
                <c:pt idx="49">
                  <c:v>3654.06</c:v>
                </c:pt>
                <c:pt idx="50">
                  <c:v>3658.47</c:v>
                </c:pt>
                <c:pt idx="51">
                  <c:v>3848.64</c:v>
                </c:pt>
                <c:pt idx="52">
                  <c:v>3988.3</c:v>
                </c:pt>
                <c:pt idx="53">
                  <c:v>3674.49</c:v>
                </c:pt>
                <c:pt idx="54">
                  <c:v>3668.54</c:v>
                </c:pt>
                <c:pt idx="55">
                  <c:v>3240.38</c:v>
                </c:pt>
                <c:pt idx="56">
                  <c:v>3200.46</c:v>
                </c:pt>
                <c:pt idx="57">
                  <c:v>2885.05</c:v>
                </c:pt>
                <c:pt idx="58">
                  <c:v>2475.5</c:v>
                </c:pt>
                <c:pt idx="59">
                  <c:v>2975.21</c:v>
                </c:pt>
                <c:pt idx="60">
                  <c:v>2943.86</c:v>
                </c:pt>
                <c:pt idx="61">
                  <c:v>3705.96</c:v>
                </c:pt>
                <c:pt idx="62">
                  <c:v>3770.52</c:v>
                </c:pt>
                <c:pt idx="63">
                  <c:v>3885.4</c:v>
                </c:pt>
                <c:pt idx="64">
                  <c:v>4267.82</c:v>
                </c:pt>
                <c:pt idx="65">
                  <c:v>3661.59</c:v>
                </c:pt>
                <c:pt idx="66">
                  <c:v>3700.68</c:v>
                </c:pt>
                <c:pt idx="67">
                  <c:v>3337.72</c:v>
                </c:pt>
                <c:pt idx="68">
                  <c:v>3094.41</c:v>
                </c:pt>
                <c:pt idx="69">
                  <c:v>2901.53</c:v>
                </c:pt>
                <c:pt idx="70">
                  <c:v>2403.42</c:v>
                </c:pt>
                <c:pt idx="71">
                  <c:v>3074.8</c:v>
                </c:pt>
                <c:pt idx="72">
                  <c:v>2997.38</c:v>
                </c:pt>
                <c:pt idx="73">
                  <c:v>3801.51</c:v>
                </c:pt>
                <c:pt idx="74">
                  <c:v>3646.96</c:v>
                </c:pt>
                <c:pt idx="75">
                  <c:v>3865.93</c:v>
                </c:pt>
                <c:pt idx="76">
                  <c:v>3797.17</c:v>
                </c:pt>
                <c:pt idx="77">
                  <c:v>3534.99</c:v>
                </c:pt>
                <c:pt idx="78">
                  <c:v>3963.28</c:v>
                </c:pt>
                <c:pt idx="79">
                  <c:v>3357.65</c:v>
                </c:pt>
                <c:pt idx="80">
                  <c:v>3025.6</c:v>
                </c:pt>
                <c:pt idx="81">
                  <c:v>2986.16</c:v>
                </c:pt>
                <c:pt idx="82">
                  <c:v>2479.9899999999998</c:v>
                </c:pt>
                <c:pt idx="83">
                  <c:v>2988.55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0713856"/>
        <c:axId val="280720896"/>
      </c:lineChart>
      <c:catAx>
        <c:axId val="280713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0720896"/>
        <c:crosses val="autoZero"/>
        <c:auto val="0"/>
        <c:lblAlgn val="ctr"/>
        <c:lblOffset val="0"/>
        <c:tickLblSkip val="6"/>
        <c:tickMarkSkip val="6"/>
        <c:noMultiLvlLbl val="0"/>
      </c:catAx>
      <c:valAx>
        <c:axId val="28072089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0713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1721654842649619"/>
          <c:y val="1.4121474252337099E-4"/>
          <c:w val="0.5419510927470701"/>
          <c:h val="0.227341582302212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2398950131233596"/>
          <c:y val="3.4776368518234818E-2"/>
          <c:w val="0.87334611670950457"/>
          <c:h val="0.84553093905542276"/>
        </c:manualLayout>
      </c:layout>
      <c:lineChart>
        <c:grouping val="standard"/>
        <c:varyColors val="0"/>
        <c:ser>
          <c:idx val="0"/>
          <c:order val="0"/>
          <c:tx>
            <c:strRef>
              <c:f>月間量回帰式!$C$3:$C$4</c:f>
              <c:strCache>
                <c:ptCount val="1"/>
                <c:pt idx="0">
                  <c:v>石巻広域クリセ 230(115tx2炉〉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4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月間量回帰式!$B$5:$B$16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月間量回帰式!$E$5:$E$16</c:f>
              <c:numCache>
                <c:formatCode>0.000</c:formatCode>
                <c:ptCount val="12"/>
                <c:pt idx="0">
                  <c:v>7.9992816066502742E-2</c:v>
                </c:pt>
                <c:pt idx="1">
                  <c:v>9.0772615392838429E-2</c:v>
                </c:pt>
                <c:pt idx="2">
                  <c:v>8.6804076534505711E-2</c:v>
                </c:pt>
                <c:pt idx="3">
                  <c:v>9.0079743785774907E-2</c:v>
                </c:pt>
                <c:pt idx="4">
                  <c:v>9.5056963183888205E-2</c:v>
                </c:pt>
                <c:pt idx="5">
                  <c:v>8.5050031214917471E-2</c:v>
                </c:pt>
                <c:pt idx="6">
                  <c:v>8.6599482936585273E-2</c:v>
                </c:pt>
                <c:pt idx="7">
                  <c:v>8.0846255404083966E-2</c:v>
                </c:pt>
                <c:pt idx="8">
                  <c:v>8.1908249764947372E-2</c:v>
                </c:pt>
                <c:pt idx="9">
                  <c:v>7.7395832614512952E-2</c:v>
                </c:pt>
                <c:pt idx="10">
                  <c:v>6.6426641054386296E-2</c:v>
                </c:pt>
                <c:pt idx="11">
                  <c:v>7.9067334425156469E-2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月間量回帰式!$M$3:$M$4</c:f>
              <c:strCache>
                <c:ptCount val="1"/>
                <c:pt idx="0">
                  <c:v>今泉 600(200tx3炉)</c:v>
                </c:pt>
              </c:strCache>
            </c:strRef>
          </c:tx>
          <c:spPr>
            <a:ln w="0">
              <a:solidFill>
                <a:srgbClr val="FF0000"/>
              </a:solidFill>
              <a:prstDash val="solid"/>
            </a:ln>
          </c:spPr>
          <c:marker>
            <c:symbol val="square"/>
            <c:size val="4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月間量回帰式!$B$5:$B$16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月間量回帰式!$P$5:$P$16</c:f>
              <c:numCache>
                <c:formatCode>0.000</c:formatCode>
                <c:ptCount val="12"/>
                <c:pt idx="0">
                  <c:v>8.1971266995696179E-2</c:v>
                </c:pt>
                <c:pt idx="1">
                  <c:v>8.61486694425114E-2</c:v>
                </c:pt>
                <c:pt idx="2">
                  <c:v>8.5459112238232091E-2</c:v>
                </c:pt>
                <c:pt idx="3">
                  <c:v>9.284376445839071E-2</c:v>
                </c:pt>
                <c:pt idx="4">
                  <c:v>9.0918583138403744E-2</c:v>
                </c:pt>
                <c:pt idx="5">
                  <c:v>8.8268380080710113E-2</c:v>
                </c:pt>
                <c:pt idx="6">
                  <c:v>8.7125754441793143E-2</c:v>
                </c:pt>
                <c:pt idx="7">
                  <c:v>8.0589023142928984E-2</c:v>
                </c:pt>
                <c:pt idx="8">
                  <c:v>8.5368950939801916E-2</c:v>
                </c:pt>
                <c:pt idx="9">
                  <c:v>7.4432954139816931E-2</c:v>
                </c:pt>
                <c:pt idx="10">
                  <c:v>6.5857499191818117E-2</c:v>
                </c:pt>
                <c:pt idx="11">
                  <c:v>8.1016041789896673E-2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月間量回帰式!$R$3:$R$4</c:f>
              <c:strCache>
                <c:ptCount val="1"/>
                <c:pt idx="0">
                  <c:v>葛岡 600(300tx2炉〉</c:v>
                </c:pt>
              </c:strCache>
            </c:strRef>
          </c:tx>
          <c:spPr>
            <a:ln w="0">
              <a:solidFill>
                <a:srgbClr val="008000"/>
              </a:solidFill>
              <a:prstDash val="solid"/>
            </a:ln>
          </c:spPr>
          <c:marker>
            <c:symbol val="triangle"/>
            <c:size val="4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月間量回帰式!$B$5:$B$16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月間量回帰式!$U$5:$U$16</c:f>
              <c:numCache>
                <c:formatCode>0.000</c:formatCode>
                <c:ptCount val="12"/>
                <c:pt idx="0">
                  <c:v>8.1971266995696179E-2</c:v>
                </c:pt>
                <c:pt idx="1">
                  <c:v>8.61486694425114E-2</c:v>
                </c:pt>
                <c:pt idx="2">
                  <c:v>8.5459112238232091E-2</c:v>
                </c:pt>
                <c:pt idx="3">
                  <c:v>9.284376445839071E-2</c:v>
                </c:pt>
                <c:pt idx="4">
                  <c:v>9.0918583138403758E-2</c:v>
                </c:pt>
                <c:pt idx="5">
                  <c:v>8.8268380080710113E-2</c:v>
                </c:pt>
                <c:pt idx="6">
                  <c:v>8.7125754441793143E-2</c:v>
                </c:pt>
                <c:pt idx="7">
                  <c:v>8.0589023142928984E-2</c:v>
                </c:pt>
                <c:pt idx="8">
                  <c:v>8.5368950939801916E-2</c:v>
                </c:pt>
                <c:pt idx="9">
                  <c:v>7.4432954139816931E-2</c:v>
                </c:pt>
                <c:pt idx="10">
                  <c:v>6.5857499191818117E-2</c:v>
                </c:pt>
                <c:pt idx="11">
                  <c:v>8.1167817239138546E-2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月間量回帰式!$V$3:$V$4</c:f>
              <c:strCache>
                <c:ptCount val="1"/>
                <c:pt idx="0">
                  <c:v>松森 600(200tx3炉〉</c:v>
                </c:pt>
              </c:strCache>
            </c:strRef>
          </c:tx>
          <c:spPr>
            <a:ln w="0">
              <a:solidFill>
                <a:srgbClr val="66FFFF"/>
              </a:solidFill>
              <a:prstDash val="solid"/>
            </a:ln>
          </c:spPr>
          <c:marker>
            <c:symbol val="circle"/>
            <c:size val="4"/>
            <c:spPr>
              <a:noFill/>
              <a:ln>
                <a:solidFill>
                  <a:srgbClr val="66FFFF"/>
                </a:solidFill>
              </a:ln>
            </c:spPr>
          </c:marker>
          <c:cat>
            <c:strRef>
              <c:f>月間量回帰式!$B$5:$B$16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月間量回帰式!$Y$5:$Y$16</c:f>
              <c:numCache>
                <c:formatCode>0.000</c:formatCode>
                <c:ptCount val="12"/>
                <c:pt idx="0">
                  <c:v>8.1675098411791908E-2</c:v>
                </c:pt>
                <c:pt idx="1">
                  <c:v>8.5843363132333275E-2</c:v>
                </c:pt>
                <c:pt idx="2">
                  <c:v>8.5159968580657261E-2</c:v>
                </c:pt>
                <c:pt idx="3">
                  <c:v>9.2512458129384509E-2</c:v>
                </c:pt>
                <c:pt idx="4">
                  <c:v>9.0602864070378653E-2</c:v>
                </c:pt>
                <c:pt idx="5">
                  <c:v>8.7951035347429332E-2</c:v>
                </c:pt>
                <c:pt idx="6">
                  <c:v>8.6815039872692457E-2</c:v>
                </c:pt>
                <c:pt idx="7">
                  <c:v>8.0310364992628586E-2</c:v>
                </c:pt>
                <c:pt idx="8">
                  <c:v>8.5064324646462783E-2</c:v>
                </c:pt>
                <c:pt idx="9">
                  <c:v>7.4168161957873957E-2</c:v>
                </c:pt>
                <c:pt idx="10">
                  <c:v>6.5627866005503313E-2</c:v>
                </c:pt>
                <c:pt idx="11">
                  <c:v>8.0726737125960915E-2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月間量回帰式!$F$3:$F$4</c:f>
              <c:strCache>
                <c:ptCount val="1"/>
                <c:pt idx="0">
                  <c:v>宮城東部 180(90tx2炉〉</c:v>
                </c:pt>
              </c:strCache>
            </c:strRef>
          </c:tx>
          <c:spPr>
            <a:ln w="0">
              <a:solidFill>
                <a:srgbClr val="FF00FF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FF00FF"/>
                </a:solidFill>
              </a:ln>
            </c:spPr>
          </c:marker>
          <c:cat>
            <c:strRef>
              <c:f>月間量回帰式!$B$5:$B$16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月間量回帰式!$H$5:$H$16</c:f>
              <c:numCache>
                <c:formatCode>0.000</c:formatCode>
                <c:ptCount val="12"/>
                <c:pt idx="0">
                  <c:v>7.6501400928994254E-2</c:v>
                </c:pt>
                <c:pt idx="1">
                  <c:v>8.6293553760327171E-2</c:v>
                </c:pt>
                <c:pt idx="2">
                  <c:v>8.8658664053806027E-2</c:v>
                </c:pt>
                <c:pt idx="3">
                  <c:v>9.4654152965531743E-2</c:v>
                </c:pt>
                <c:pt idx="4">
                  <c:v>9.8234579568867289E-2</c:v>
                </c:pt>
                <c:pt idx="5">
                  <c:v>9.1272178635522935E-2</c:v>
                </c:pt>
                <c:pt idx="6">
                  <c:v>9.4203355868508101E-2</c:v>
                </c:pt>
                <c:pt idx="7">
                  <c:v>8.3132019547620395E-2</c:v>
                </c:pt>
                <c:pt idx="8">
                  <c:v>8.0257245665374927E-2</c:v>
                </c:pt>
                <c:pt idx="9">
                  <c:v>7.2160448244430783E-2</c:v>
                </c:pt>
                <c:pt idx="10">
                  <c:v>6.084459991821816E-2</c:v>
                </c:pt>
                <c:pt idx="11">
                  <c:v>7.3789273141264447E-2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月間量回帰式!$AB$3</c:f>
              <c:strCache>
                <c:ptCount val="1"/>
                <c:pt idx="0">
                  <c:v>3事業体平均</c:v>
                </c:pt>
              </c:strCache>
            </c:strRef>
          </c:tx>
          <c:cat>
            <c:strRef>
              <c:f>月間量回帰式!$B$5:$B$16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月間量回帰式!$AB$5:$AB$16</c:f>
              <c:numCache>
                <c:formatCode>0.000</c:formatCode>
                <c:ptCount val="12"/>
                <c:pt idx="0">
                  <c:v>7.9322176308980252E-2</c:v>
                </c:pt>
                <c:pt idx="1">
                  <c:v>8.9128643618102618E-2</c:v>
                </c:pt>
                <c:pt idx="2">
                  <c:v>8.7466418700092655E-2</c:v>
                </c:pt>
                <c:pt idx="3">
                  <c:v>9.3057188641443564E-2</c:v>
                </c:pt>
                <c:pt idx="4">
                  <c:v>9.4364251114423536E-2</c:v>
                </c:pt>
                <c:pt idx="5">
                  <c:v>8.7498753172037952E-2</c:v>
                </c:pt>
                <c:pt idx="6">
                  <c:v>9.00306780289966E-2</c:v>
                </c:pt>
                <c:pt idx="7">
                  <c:v>8.1438010045640843E-2</c:v>
                </c:pt>
                <c:pt idx="8">
                  <c:v>8.1735217189744303E-2</c:v>
                </c:pt>
                <c:pt idx="9">
                  <c:v>7.4890020694885998E-2</c:v>
                </c:pt>
                <c:pt idx="10">
                  <c:v>6.4081858761377689E-2</c:v>
                </c:pt>
                <c:pt idx="11">
                  <c:v>7.7688555125821387E-2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0798336"/>
        <c:axId val="280799872"/>
      </c:lineChart>
      <c:catAx>
        <c:axId val="280798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0799872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280799872"/>
        <c:scaling>
          <c:orientation val="minMax"/>
          <c:min val="6.0000000000000012E-2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0798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0305418355447502"/>
          <c:y val="0.60253684635845717"/>
          <c:w val="0.55651826384850789"/>
          <c:h val="0.2192077984403477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3229951827366013"/>
          <c:y val="2.9827313942753019E-2"/>
          <c:w val="0.84649455658221817"/>
          <c:h val="0.85357051377042836"/>
        </c:manualLayout>
      </c:layout>
      <c:lineChart>
        <c:grouping val="standard"/>
        <c:varyColors val="0"/>
        <c:ser>
          <c:idx val="0"/>
          <c:order val="0"/>
          <c:tx>
            <c:strRef>
              <c:f>月間量回帰式!$C$3:$C$4</c:f>
              <c:strCache>
                <c:ptCount val="1"/>
                <c:pt idx="0">
                  <c:v>石巻広域クリセ 230(115tx2炉〉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4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月間量回帰式!$Z$20:$Z$103</c:f>
              <c:numCache>
                <c:formatCode>[$-411]ge\.m</c:formatCode>
                <c:ptCount val="84"/>
                <c:pt idx="0">
                  <c:v>41000</c:v>
                </c:pt>
                <c:pt idx="1">
                  <c:v>41030</c:v>
                </c:pt>
                <c:pt idx="2">
                  <c:v>41061</c:v>
                </c:pt>
                <c:pt idx="3">
                  <c:v>41091</c:v>
                </c:pt>
                <c:pt idx="4">
                  <c:v>41122</c:v>
                </c:pt>
                <c:pt idx="5">
                  <c:v>41153</c:v>
                </c:pt>
                <c:pt idx="6">
                  <c:v>41183</c:v>
                </c:pt>
                <c:pt idx="7">
                  <c:v>41214</c:v>
                </c:pt>
                <c:pt idx="8">
                  <c:v>41244</c:v>
                </c:pt>
                <c:pt idx="9">
                  <c:v>41275</c:v>
                </c:pt>
                <c:pt idx="10">
                  <c:v>41306</c:v>
                </c:pt>
                <c:pt idx="11">
                  <c:v>41334</c:v>
                </c:pt>
                <c:pt idx="12">
                  <c:v>41365</c:v>
                </c:pt>
                <c:pt idx="13">
                  <c:v>41395</c:v>
                </c:pt>
                <c:pt idx="14">
                  <c:v>41426</c:v>
                </c:pt>
                <c:pt idx="15">
                  <c:v>41456</c:v>
                </c:pt>
                <c:pt idx="16">
                  <c:v>41487</c:v>
                </c:pt>
                <c:pt idx="17">
                  <c:v>41518</c:v>
                </c:pt>
                <c:pt idx="18">
                  <c:v>41548</c:v>
                </c:pt>
                <c:pt idx="19">
                  <c:v>41579</c:v>
                </c:pt>
                <c:pt idx="20">
                  <c:v>41609</c:v>
                </c:pt>
                <c:pt idx="21">
                  <c:v>41640</c:v>
                </c:pt>
                <c:pt idx="22">
                  <c:v>41671</c:v>
                </c:pt>
                <c:pt idx="23">
                  <c:v>41699</c:v>
                </c:pt>
                <c:pt idx="24">
                  <c:v>41730</c:v>
                </c:pt>
                <c:pt idx="25">
                  <c:v>41760</c:v>
                </c:pt>
                <c:pt idx="26">
                  <c:v>41791</c:v>
                </c:pt>
                <c:pt idx="27">
                  <c:v>41821</c:v>
                </c:pt>
                <c:pt idx="28">
                  <c:v>41852</c:v>
                </c:pt>
                <c:pt idx="29">
                  <c:v>41883</c:v>
                </c:pt>
                <c:pt idx="30">
                  <c:v>41913</c:v>
                </c:pt>
                <c:pt idx="31">
                  <c:v>41944</c:v>
                </c:pt>
                <c:pt idx="32">
                  <c:v>41974</c:v>
                </c:pt>
                <c:pt idx="33">
                  <c:v>42005</c:v>
                </c:pt>
                <c:pt idx="34">
                  <c:v>42036</c:v>
                </c:pt>
                <c:pt idx="35">
                  <c:v>42064</c:v>
                </c:pt>
                <c:pt idx="36">
                  <c:v>42095</c:v>
                </c:pt>
                <c:pt idx="37">
                  <c:v>42125</c:v>
                </c:pt>
                <c:pt idx="38">
                  <c:v>42156</c:v>
                </c:pt>
                <c:pt idx="39">
                  <c:v>42186</c:v>
                </c:pt>
                <c:pt idx="40">
                  <c:v>42217</c:v>
                </c:pt>
                <c:pt idx="41">
                  <c:v>42248</c:v>
                </c:pt>
                <c:pt idx="42">
                  <c:v>42278</c:v>
                </c:pt>
                <c:pt idx="43">
                  <c:v>42309</c:v>
                </c:pt>
                <c:pt idx="44">
                  <c:v>42339</c:v>
                </c:pt>
                <c:pt idx="45">
                  <c:v>42370</c:v>
                </c:pt>
                <c:pt idx="46">
                  <c:v>42401</c:v>
                </c:pt>
                <c:pt idx="47">
                  <c:v>42430</c:v>
                </c:pt>
                <c:pt idx="48">
                  <c:v>42461</c:v>
                </c:pt>
                <c:pt idx="49">
                  <c:v>42491</c:v>
                </c:pt>
                <c:pt idx="50">
                  <c:v>42522</c:v>
                </c:pt>
                <c:pt idx="51">
                  <c:v>42552</c:v>
                </c:pt>
                <c:pt idx="52">
                  <c:v>42583</c:v>
                </c:pt>
                <c:pt idx="53">
                  <c:v>42614</c:v>
                </c:pt>
                <c:pt idx="54">
                  <c:v>42644</c:v>
                </c:pt>
                <c:pt idx="55">
                  <c:v>42675</c:v>
                </c:pt>
                <c:pt idx="56">
                  <c:v>42705</c:v>
                </c:pt>
                <c:pt idx="57">
                  <c:v>42736</c:v>
                </c:pt>
                <c:pt idx="58">
                  <c:v>42767</c:v>
                </c:pt>
                <c:pt idx="59">
                  <c:v>42795</c:v>
                </c:pt>
                <c:pt idx="60">
                  <c:v>42826</c:v>
                </c:pt>
                <c:pt idx="61">
                  <c:v>42856</c:v>
                </c:pt>
                <c:pt idx="62">
                  <c:v>42887</c:v>
                </c:pt>
                <c:pt idx="63">
                  <c:v>42917</c:v>
                </c:pt>
                <c:pt idx="64">
                  <c:v>42948</c:v>
                </c:pt>
                <c:pt idx="65">
                  <c:v>42979</c:v>
                </c:pt>
                <c:pt idx="66">
                  <c:v>43009</c:v>
                </c:pt>
                <c:pt idx="67">
                  <c:v>43040</c:v>
                </c:pt>
                <c:pt idx="68">
                  <c:v>43070</c:v>
                </c:pt>
                <c:pt idx="69">
                  <c:v>43101</c:v>
                </c:pt>
                <c:pt idx="70">
                  <c:v>43132</c:v>
                </c:pt>
                <c:pt idx="71">
                  <c:v>43160</c:v>
                </c:pt>
                <c:pt idx="72">
                  <c:v>43191</c:v>
                </c:pt>
                <c:pt idx="73">
                  <c:v>43221</c:v>
                </c:pt>
                <c:pt idx="74">
                  <c:v>43252</c:v>
                </c:pt>
                <c:pt idx="75">
                  <c:v>43282</c:v>
                </c:pt>
                <c:pt idx="76">
                  <c:v>43313</c:v>
                </c:pt>
                <c:pt idx="77">
                  <c:v>43344</c:v>
                </c:pt>
                <c:pt idx="78">
                  <c:v>43374</c:v>
                </c:pt>
                <c:pt idx="79">
                  <c:v>43405</c:v>
                </c:pt>
                <c:pt idx="80">
                  <c:v>43435</c:v>
                </c:pt>
                <c:pt idx="81">
                  <c:v>43466</c:v>
                </c:pt>
                <c:pt idx="82">
                  <c:v>43497</c:v>
                </c:pt>
                <c:pt idx="83">
                  <c:v>43525</c:v>
                </c:pt>
              </c:numCache>
            </c:numRef>
          </c:cat>
          <c:val>
            <c:numRef>
              <c:f>月間量回帰式!$C$20:$C$103</c:f>
              <c:numCache>
                <c:formatCode>0</c:formatCode>
                <c:ptCount val="84"/>
                <c:pt idx="0">
                  <c:v>5693.7099343496038</c:v>
                </c:pt>
                <c:pt idx="1">
                  <c:v>6461.0235251811728</c:v>
                </c:pt>
                <c:pt idx="2">
                  <c:v>6179.5927881937196</c:v>
                </c:pt>
                <c:pt idx="3">
                  <c:v>6411.8394300434275</c:v>
                </c:pt>
                <c:pt idx="4">
                  <c:v>6767.281654590066</c:v>
                </c:pt>
                <c:pt idx="5">
                  <c:v>6054.9434296986519</c:v>
                </c:pt>
                <c:pt idx="6">
                  <c:v>6164.2626032404287</c:v>
                </c:pt>
                <c:pt idx="7">
                  <c:v>5754.4110320193013</c:v>
                </c:pt>
                <c:pt idx="8">
                  <c:v>5830.9070462498912</c:v>
                </c:pt>
                <c:pt idx="9">
                  <c:v>5508.7884612072394</c:v>
                </c:pt>
                <c:pt idx="10">
                  <c:v>4728.3759929486159</c:v>
                </c:pt>
                <c:pt idx="11">
                  <c:v>5774.2107831388548</c:v>
                </c:pt>
                <c:pt idx="12">
                  <c:v>5482.3589469097042</c:v>
                </c:pt>
                <c:pt idx="13">
                  <c:v>6221.1897932797165</c:v>
                </c:pt>
                <c:pt idx="14">
                  <c:v>5950.2057887117353</c:v>
                </c:pt>
                <c:pt idx="15">
                  <c:v>6173.8314158538951</c:v>
                </c:pt>
                <c:pt idx="16">
                  <c:v>6516.079595392629</c:v>
                </c:pt>
                <c:pt idx="17">
                  <c:v>5830.1834247958523</c:v>
                </c:pt>
                <c:pt idx="18">
                  <c:v>5935.444661501966</c:v>
                </c:pt>
                <c:pt idx="19">
                  <c:v>5540.8068147733347</c:v>
                </c:pt>
                <c:pt idx="20">
                  <c:v>5614.4632905783164</c:v>
                </c:pt>
                <c:pt idx="21">
                  <c:v>5304.3017742670354</c:v>
                </c:pt>
                <c:pt idx="22">
                  <c:v>4552.8582818920968</c:v>
                </c:pt>
                <c:pt idx="23">
                  <c:v>5559.8715974806528</c:v>
                </c:pt>
                <c:pt idx="24">
                  <c:v>5397.9493997803338</c:v>
                </c:pt>
                <c:pt idx="25">
                  <c:v>6125.4047820935002</c:v>
                </c:pt>
                <c:pt idx="26">
                  <c:v>5858.5930028990097</c:v>
                </c:pt>
                <c:pt idx="27">
                  <c:v>6078.7755614467223</c:v>
                </c:pt>
                <c:pt idx="28">
                  <c:v>6415.7542914436672</c:v>
                </c:pt>
                <c:pt idx="29">
                  <c:v>5740.4185722325992</c:v>
                </c:pt>
                <c:pt idx="30">
                  <c:v>5844.0591464817899</c:v>
                </c:pt>
                <c:pt idx="31">
                  <c:v>5455.4973707009112</c:v>
                </c:pt>
                <c:pt idx="32">
                  <c:v>5528.019789099938</c:v>
                </c:pt>
                <c:pt idx="33">
                  <c:v>5222.633697634481</c:v>
                </c:pt>
                <c:pt idx="34">
                  <c:v>4482.7598608583294</c:v>
                </c:pt>
                <c:pt idx="35">
                  <c:v>5474.268621063844</c:v>
                </c:pt>
                <c:pt idx="36">
                  <c:v>4911.22</c:v>
                </c:pt>
                <c:pt idx="37">
                  <c:v>5017.6899999999996</c:v>
                </c:pt>
                <c:pt idx="38">
                  <c:v>5245.7</c:v>
                </c:pt>
                <c:pt idx="39">
                  <c:v>5444.63</c:v>
                </c:pt>
                <c:pt idx="40">
                  <c:v>5507.05</c:v>
                </c:pt>
                <c:pt idx="41">
                  <c:v>5124.37</c:v>
                </c:pt>
                <c:pt idx="42">
                  <c:v>5005.3</c:v>
                </c:pt>
                <c:pt idx="43">
                  <c:v>4810.2299999999996</c:v>
                </c:pt>
                <c:pt idx="44">
                  <c:v>5090.9399999999996</c:v>
                </c:pt>
                <c:pt idx="45">
                  <c:v>4515.71</c:v>
                </c:pt>
                <c:pt idx="46">
                  <c:v>4193.24</c:v>
                </c:pt>
                <c:pt idx="47">
                  <c:v>4900.29</c:v>
                </c:pt>
                <c:pt idx="48">
                  <c:v>4802.12</c:v>
                </c:pt>
                <c:pt idx="49">
                  <c:v>5502.55</c:v>
                </c:pt>
                <c:pt idx="50">
                  <c:v>4991.43</c:v>
                </c:pt>
                <c:pt idx="51">
                  <c:v>5226.55</c:v>
                </c:pt>
                <c:pt idx="52">
                  <c:v>5805.25</c:v>
                </c:pt>
                <c:pt idx="53">
                  <c:v>5310.79</c:v>
                </c:pt>
                <c:pt idx="54">
                  <c:v>4948.62</c:v>
                </c:pt>
                <c:pt idx="55">
                  <c:v>4702.2700000000004</c:v>
                </c:pt>
                <c:pt idx="56">
                  <c:v>5076.05</c:v>
                </c:pt>
                <c:pt idx="57">
                  <c:v>4597.87</c:v>
                </c:pt>
                <c:pt idx="58">
                  <c:v>3936.52</c:v>
                </c:pt>
                <c:pt idx="59">
                  <c:v>4818.8599999999997</c:v>
                </c:pt>
                <c:pt idx="60">
                  <c:v>4574.25</c:v>
                </c:pt>
                <c:pt idx="61">
                  <c:v>5535.09</c:v>
                </c:pt>
                <c:pt idx="62">
                  <c:v>5442.01</c:v>
                </c:pt>
                <c:pt idx="63">
                  <c:v>5365.97</c:v>
                </c:pt>
                <c:pt idx="64">
                  <c:v>5947.22</c:v>
                </c:pt>
                <c:pt idx="65">
                  <c:v>5135.9799999999996</c:v>
                </c:pt>
                <c:pt idx="66">
                  <c:v>5397.84</c:v>
                </c:pt>
                <c:pt idx="67">
                  <c:v>4808.5200000000004</c:v>
                </c:pt>
                <c:pt idx="68">
                  <c:v>4770.28</c:v>
                </c:pt>
                <c:pt idx="69">
                  <c:v>4593.75</c:v>
                </c:pt>
                <c:pt idx="70">
                  <c:v>3827.41</c:v>
                </c:pt>
                <c:pt idx="71">
                  <c:v>4817.8999999999996</c:v>
                </c:pt>
                <c:pt idx="72">
                  <c:v>4824.92</c:v>
                </c:pt>
                <c:pt idx="73">
                  <c:v>5632.88</c:v>
                </c:pt>
                <c:pt idx="74">
                  <c:v>5064.37</c:v>
                </c:pt>
                <c:pt idx="75">
                  <c:v>5485.96</c:v>
                </c:pt>
                <c:pt idx="76">
                  <c:v>5456.73</c:v>
                </c:pt>
                <c:pt idx="77">
                  <c:v>4753.95</c:v>
                </c:pt>
                <c:pt idx="78">
                  <c:v>5340.29</c:v>
                </c:pt>
                <c:pt idx="79">
                  <c:v>4995.25</c:v>
                </c:pt>
                <c:pt idx="80">
                  <c:v>4635.78</c:v>
                </c:pt>
                <c:pt idx="81">
                  <c:v>4784.4399999999996</c:v>
                </c:pt>
                <c:pt idx="82">
                  <c:v>3914.93</c:v>
                </c:pt>
                <c:pt idx="83">
                  <c:v>4000</c:v>
                </c:pt>
              </c:numCache>
            </c:numRef>
          </c:val>
          <c:smooth val="0"/>
        </c:ser>
        <c:ser>
          <c:idx val="4"/>
          <c:order val="1"/>
          <c:tx>
            <c:strRef>
              <c:f>月間量回帰式!$F$3:$F$4</c:f>
              <c:strCache>
                <c:ptCount val="1"/>
                <c:pt idx="0">
                  <c:v>宮城東部 180(90tx2炉〉</c:v>
                </c:pt>
              </c:strCache>
            </c:strRef>
          </c:tx>
          <c:spPr>
            <a:ln w="0">
              <a:solidFill>
                <a:srgbClr val="FF00FF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FF00FF"/>
                </a:solidFill>
              </a:ln>
            </c:spPr>
          </c:marker>
          <c:cat>
            <c:numRef>
              <c:f>月間量回帰式!$Z$20:$Z$103</c:f>
              <c:numCache>
                <c:formatCode>[$-411]ge\.m</c:formatCode>
                <c:ptCount val="84"/>
                <c:pt idx="0">
                  <c:v>41000</c:v>
                </c:pt>
                <c:pt idx="1">
                  <c:v>41030</c:v>
                </c:pt>
                <c:pt idx="2">
                  <c:v>41061</c:v>
                </c:pt>
                <c:pt idx="3">
                  <c:v>41091</c:v>
                </c:pt>
                <c:pt idx="4">
                  <c:v>41122</c:v>
                </c:pt>
                <c:pt idx="5">
                  <c:v>41153</c:v>
                </c:pt>
                <c:pt idx="6">
                  <c:v>41183</c:v>
                </c:pt>
                <c:pt idx="7">
                  <c:v>41214</c:v>
                </c:pt>
                <c:pt idx="8">
                  <c:v>41244</c:v>
                </c:pt>
                <c:pt idx="9">
                  <c:v>41275</c:v>
                </c:pt>
                <c:pt idx="10">
                  <c:v>41306</c:v>
                </c:pt>
                <c:pt idx="11">
                  <c:v>41334</c:v>
                </c:pt>
                <c:pt idx="12">
                  <c:v>41365</c:v>
                </c:pt>
                <c:pt idx="13">
                  <c:v>41395</c:v>
                </c:pt>
                <c:pt idx="14">
                  <c:v>41426</c:v>
                </c:pt>
                <c:pt idx="15">
                  <c:v>41456</c:v>
                </c:pt>
                <c:pt idx="16">
                  <c:v>41487</c:v>
                </c:pt>
                <c:pt idx="17">
                  <c:v>41518</c:v>
                </c:pt>
                <c:pt idx="18">
                  <c:v>41548</c:v>
                </c:pt>
                <c:pt idx="19">
                  <c:v>41579</c:v>
                </c:pt>
                <c:pt idx="20">
                  <c:v>41609</c:v>
                </c:pt>
                <c:pt idx="21">
                  <c:v>41640</c:v>
                </c:pt>
                <c:pt idx="22">
                  <c:v>41671</c:v>
                </c:pt>
                <c:pt idx="23">
                  <c:v>41699</c:v>
                </c:pt>
                <c:pt idx="24">
                  <c:v>41730</c:v>
                </c:pt>
                <c:pt idx="25">
                  <c:v>41760</c:v>
                </c:pt>
                <c:pt idx="26">
                  <c:v>41791</c:v>
                </c:pt>
                <c:pt idx="27">
                  <c:v>41821</c:v>
                </c:pt>
                <c:pt idx="28">
                  <c:v>41852</c:v>
                </c:pt>
                <c:pt idx="29">
                  <c:v>41883</c:v>
                </c:pt>
                <c:pt idx="30">
                  <c:v>41913</c:v>
                </c:pt>
                <c:pt idx="31">
                  <c:v>41944</c:v>
                </c:pt>
                <c:pt idx="32">
                  <c:v>41974</c:v>
                </c:pt>
                <c:pt idx="33">
                  <c:v>42005</c:v>
                </c:pt>
                <c:pt idx="34">
                  <c:v>42036</c:v>
                </c:pt>
                <c:pt idx="35">
                  <c:v>42064</c:v>
                </c:pt>
                <c:pt idx="36">
                  <c:v>42095</c:v>
                </c:pt>
                <c:pt idx="37">
                  <c:v>42125</c:v>
                </c:pt>
                <c:pt idx="38">
                  <c:v>42156</c:v>
                </c:pt>
                <c:pt idx="39">
                  <c:v>42186</c:v>
                </c:pt>
                <c:pt idx="40">
                  <c:v>42217</c:v>
                </c:pt>
                <c:pt idx="41">
                  <c:v>42248</c:v>
                </c:pt>
                <c:pt idx="42">
                  <c:v>42278</c:v>
                </c:pt>
                <c:pt idx="43">
                  <c:v>42309</c:v>
                </c:pt>
                <c:pt idx="44">
                  <c:v>42339</c:v>
                </c:pt>
                <c:pt idx="45">
                  <c:v>42370</c:v>
                </c:pt>
                <c:pt idx="46">
                  <c:v>42401</c:v>
                </c:pt>
                <c:pt idx="47">
                  <c:v>42430</c:v>
                </c:pt>
                <c:pt idx="48">
                  <c:v>42461</c:v>
                </c:pt>
                <c:pt idx="49">
                  <c:v>42491</c:v>
                </c:pt>
                <c:pt idx="50">
                  <c:v>42522</c:v>
                </c:pt>
                <c:pt idx="51">
                  <c:v>42552</c:v>
                </c:pt>
                <c:pt idx="52">
                  <c:v>42583</c:v>
                </c:pt>
                <c:pt idx="53">
                  <c:v>42614</c:v>
                </c:pt>
                <c:pt idx="54">
                  <c:v>42644</c:v>
                </c:pt>
                <c:pt idx="55">
                  <c:v>42675</c:v>
                </c:pt>
                <c:pt idx="56">
                  <c:v>42705</c:v>
                </c:pt>
                <c:pt idx="57">
                  <c:v>42736</c:v>
                </c:pt>
                <c:pt idx="58">
                  <c:v>42767</c:v>
                </c:pt>
                <c:pt idx="59">
                  <c:v>42795</c:v>
                </c:pt>
                <c:pt idx="60">
                  <c:v>42826</c:v>
                </c:pt>
                <c:pt idx="61">
                  <c:v>42856</c:v>
                </c:pt>
                <c:pt idx="62">
                  <c:v>42887</c:v>
                </c:pt>
                <c:pt idx="63">
                  <c:v>42917</c:v>
                </c:pt>
                <c:pt idx="64">
                  <c:v>42948</c:v>
                </c:pt>
                <c:pt idx="65">
                  <c:v>42979</c:v>
                </c:pt>
                <c:pt idx="66">
                  <c:v>43009</c:v>
                </c:pt>
                <c:pt idx="67">
                  <c:v>43040</c:v>
                </c:pt>
                <c:pt idx="68">
                  <c:v>43070</c:v>
                </c:pt>
                <c:pt idx="69">
                  <c:v>43101</c:v>
                </c:pt>
                <c:pt idx="70">
                  <c:v>43132</c:v>
                </c:pt>
                <c:pt idx="71">
                  <c:v>43160</c:v>
                </c:pt>
                <c:pt idx="72">
                  <c:v>43191</c:v>
                </c:pt>
                <c:pt idx="73">
                  <c:v>43221</c:v>
                </c:pt>
                <c:pt idx="74">
                  <c:v>43252</c:v>
                </c:pt>
                <c:pt idx="75">
                  <c:v>43282</c:v>
                </c:pt>
                <c:pt idx="76">
                  <c:v>43313</c:v>
                </c:pt>
                <c:pt idx="77">
                  <c:v>43344</c:v>
                </c:pt>
                <c:pt idx="78">
                  <c:v>43374</c:v>
                </c:pt>
                <c:pt idx="79">
                  <c:v>43405</c:v>
                </c:pt>
                <c:pt idx="80">
                  <c:v>43435</c:v>
                </c:pt>
                <c:pt idx="81">
                  <c:v>43466</c:v>
                </c:pt>
                <c:pt idx="82">
                  <c:v>43497</c:v>
                </c:pt>
                <c:pt idx="83">
                  <c:v>43525</c:v>
                </c:pt>
              </c:numCache>
            </c:numRef>
          </c:cat>
          <c:val>
            <c:numRef>
              <c:f>月間量回帰式!$F$20:$F$103</c:f>
              <c:numCache>
                <c:formatCode>0</c:formatCode>
                <c:ptCount val="84"/>
                <c:pt idx="0">
                  <c:v>3453.58</c:v>
                </c:pt>
                <c:pt idx="1">
                  <c:v>3056.66</c:v>
                </c:pt>
                <c:pt idx="2">
                  <c:v>3703.76</c:v>
                </c:pt>
                <c:pt idx="3">
                  <c:v>3890.44</c:v>
                </c:pt>
                <c:pt idx="4">
                  <c:v>4693.46</c:v>
                </c:pt>
                <c:pt idx="5">
                  <c:v>4639.37</c:v>
                </c:pt>
                <c:pt idx="6">
                  <c:v>4819.8100000000004</c:v>
                </c:pt>
                <c:pt idx="7">
                  <c:v>4550.29</c:v>
                </c:pt>
                <c:pt idx="8">
                  <c:v>4161.66</c:v>
                </c:pt>
                <c:pt idx="9">
                  <c:v>3121.59</c:v>
                </c:pt>
                <c:pt idx="10">
                  <c:v>2658.44</c:v>
                </c:pt>
                <c:pt idx="11">
                  <c:v>3137.77</c:v>
                </c:pt>
                <c:pt idx="12">
                  <c:v>3274.12</c:v>
                </c:pt>
                <c:pt idx="13">
                  <c:v>3669.2</c:v>
                </c:pt>
                <c:pt idx="14">
                  <c:v>3632.79</c:v>
                </c:pt>
                <c:pt idx="15">
                  <c:v>4241.7700000000004</c:v>
                </c:pt>
                <c:pt idx="16">
                  <c:v>4204.96</c:v>
                </c:pt>
                <c:pt idx="17">
                  <c:v>3639.07</c:v>
                </c:pt>
                <c:pt idx="18">
                  <c:v>3922.53</c:v>
                </c:pt>
                <c:pt idx="19">
                  <c:v>3376.88</c:v>
                </c:pt>
                <c:pt idx="20">
                  <c:v>3260.82</c:v>
                </c:pt>
                <c:pt idx="21">
                  <c:v>3094.86</c:v>
                </c:pt>
                <c:pt idx="22">
                  <c:v>2416.7399999999998</c:v>
                </c:pt>
                <c:pt idx="23">
                  <c:v>3025.7</c:v>
                </c:pt>
                <c:pt idx="24">
                  <c:v>3232.15</c:v>
                </c:pt>
                <c:pt idx="25">
                  <c:v>3633.7</c:v>
                </c:pt>
                <c:pt idx="26">
                  <c:v>3717.2</c:v>
                </c:pt>
                <c:pt idx="27">
                  <c:v>3963.2</c:v>
                </c:pt>
                <c:pt idx="28">
                  <c:v>3892.13</c:v>
                </c:pt>
                <c:pt idx="29">
                  <c:v>3780.22</c:v>
                </c:pt>
                <c:pt idx="30">
                  <c:v>3844.77</c:v>
                </c:pt>
                <c:pt idx="31">
                  <c:v>3193.13</c:v>
                </c:pt>
                <c:pt idx="32">
                  <c:v>3325.02</c:v>
                </c:pt>
                <c:pt idx="33">
                  <c:v>3093.86</c:v>
                </c:pt>
                <c:pt idx="34">
                  <c:v>2539.4899999999998</c:v>
                </c:pt>
                <c:pt idx="35">
                  <c:v>3137.62</c:v>
                </c:pt>
                <c:pt idx="36">
                  <c:v>3213.16</c:v>
                </c:pt>
                <c:pt idx="37">
                  <c:v>3508.9</c:v>
                </c:pt>
                <c:pt idx="38">
                  <c:v>3648.39</c:v>
                </c:pt>
                <c:pt idx="39">
                  <c:v>3828.38</c:v>
                </c:pt>
                <c:pt idx="40">
                  <c:v>3788.74</c:v>
                </c:pt>
                <c:pt idx="41">
                  <c:v>3700.23</c:v>
                </c:pt>
                <c:pt idx="42">
                  <c:v>3571.69</c:v>
                </c:pt>
                <c:pt idx="43">
                  <c:v>3233.36</c:v>
                </c:pt>
                <c:pt idx="44">
                  <c:v>3359.44</c:v>
                </c:pt>
                <c:pt idx="45">
                  <c:v>2915.17</c:v>
                </c:pt>
                <c:pt idx="46">
                  <c:v>2728.16</c:v>
                </c:pt>
                <c:pt idx="47">
                  <c:v>3122.56</c:v>
                </c:pt>
                <c:pt idx="48">
                  <c:v>3162.5</c:v>
                </c:pt>
                <c:pt idx="49">
                  <c:v>3654.06</c:v>
                </c:pt>
                <c:pt idx="50">
                  <c:v>3658.47</c:v>
                </c:pt>
                <c:pt idx="51">
                  <c:v>3848.64</c:v>
                </c:pt>
                <c:pt idx="52">
                  <c:v>3988.3</c:v>
                </c:pt>
                <c:pt idx="53">
                  <c:v>3674.49</c:v>
                </c:pt>
                <c:pt idx="54">
                  <c:v>3668.54</c:v>
                </c:pt>
                <c:pt idx="55">
                  <c:v>3240.38</c:v>
                </c:pt>
                <c:pt idx="56">
                  <c:v>3200.46</c:v>
                </c:pt>
                <c:pt idx="57">
                  <c:v>2885.05</c:v>
                </c:pt>
                <c:pt idx="58">
                  <c:v>2475.5</c:v>
                </c:pt>
                <c:pt idx="59">
                  <c:v>2975.21</c:v>
                </c:pt>
                <c:pt idx="60">
                  <c:v>2943.86</c:v>
                </c:pt>
                <c:pt idx="61">
                  <c:v>3705.96</c:v>
                </c:pt>
                <c:pt idx="62">
                  <c:v>3770.52</c:v>
                </c:pt>
                <c:pt idx="63">
                  <c:v>3885.4</c:v>
                </c:pt>
                <c:pt idx="64">
                  <c:v>4267.82</c:v>
                </c:pt>
                <c:pt idx="65">
                  <c:v>3661.59</c:v>
                </c:pt>
                <c:pt idx="66">
                  <c:v>3700.68</c:v>
                </c:pt>
                <c:pt idx="67">
                  <c:v>3337.72</c:v>
                </c:pt>
                <c:pt idx="68">
                  <c:v>3094.41</c:v>
                </c:pt>
                <c:pt idx="69">
                  <c:v>2901.53</c:v>
                </c:pt>
                <c:pt idx="70">
                  <c:v>2403.42</c:v>
                </c:pt>
                <c:pt idx="71">
                  <c:v>3074.8</c:v>
                </c:pt>
                <c:pt idx="72">
                  <c:v>2997.38</c:v>
                </c:pt>
                <c:pt idx="73">
                  <c:v>3801.51</c:v>
                </c:pt>
                <c:pt idx="74">
                  <c:v>3646.96</c:v>
                </c:pt>
                <c:pt idx="75">
                  <c:v>3865.93</c:v>
                </c:pt>
                <c:pt idx="76">
                  <c:v>3797.17</c:v>
                </c:pt>
                <c:pt idx="77">
                  <c:v>3534.99</c:v>
                </c:pt>
                <c:pt idx="78">
                  <c:v>3963.28</c:v>
                </c:pt>
                <c:pt idx="79">
                  <c:v>3357.65</c:v>
                </c:pt>
                <c:pt idx="80">
                  <c:v>3025.6</c:v>
                </c:pt>
                <c:pt idx="81">
                  <c:v>2986.16</c:v>
                </c:pt>
                <c:pt idx="82">
                  <c:v>2479.9899999999998</c:v>
                </c:pt>
                <c:pt idx="83">
                  <c:v>2988.55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月間量回帰式!$J$18:$J$19</c:f>
              <c:strCache>
                <c:ptCount val="1"/>
                <c:pt idx="0">
                  <c:v>仙台市合計</c:v>
                </c:pt>
              </c:strCache>
            </c:strRef>
          </c:tx>
          <c:spPr>
            <a:ln w="0">
              <a:solidFill>
                <a:srgbClr val="C00000"/>
              </a:solidFill>
            </a:ln>
          </c:spPr>
          <c:marker>
            <c:symbol val="square"/>
            <c:size val="4"/>
            <c:spPr>
              <a:solidFill>
                <a:srgbClr val="C00000"/>
              </a:solidFill>
              <a:ln w="0">
                <a:solidFill>
                  <a:srgbClr val="C00000"/>
                </a:solidFill>
              </a:ln>
            </c:spPr>
          </c:marker>
          <c:cat>
            <c:numRef>
              <c:f>月間量回帰式!$Z$20:$Z$103</c:f>
              <c:numCache>
                <c:formatCode>[$-411]ge\.m</c:formatCode>
                <c:ptCount val="84"/>
                <c:pt idx="0">
                  <c:v>41000</c:v>
                </c:pt>
                <c:pt idx="1">
                  <c:v>41030</c:v>
                </c:pt>
                <c:pt idx="2">
                  <c:v>41061</c:v>
                </c:pt>
                <c:pt idx="3">
                  <c:v>41091</c:v>
                </c:pt>
                <c:pt idx="4">
                  <c:v>41122</c:v>
                </c:pt>
                <c:pt idx="5">
                  <c:v>41153</c:v>
                </c:pt>
                <c:pt idx="6">
                  <c:v>41183</c:v>
                </c:pt>
                <c:pt idx="7">
                  <c:v>41214</c:v>
                </c:pt>
                <c:pt idx="8">
                  <c:v>41244</c:v>
                </c:pt>
                <c:pt idx="9">
                  <c:v>41275</c:v>
                </c:pt>
                <c:pt idx="10">
                  <c:v>41306</c:v>
                </c:pt>
                <c:pt idx="11">
                  <c:v>41334</c:v>
                </c:pt>
                <c:pt idx="12">
                  <c:v>41365</c:v>
                </c:pt>
                <c:pt idx="13">
                  <c:v>41395</c:v>
                </c:pt>
                <c:pt idx="14">
                  <c:v>41426</c:v>
                </c:pt>
                <c:pt idx="15">
                  <c:v>41456</c:v>
                </c:pt>
                <c:pt idx="16">
                  <c:v>41487</c:v>
                </c:pt>
                <c:pt idx="17">
                  <c:v>41518</c:v>
                </c:pt>
                <c:pt idx="18">
                  <c:v>41548</c:v>
                </c:pt>
                <c:pt idx="19">
                  <c:v>41579</c:v>
                </c:pt>
                <c:pt idx="20">
                  <c:v>41609</c:v>
                </c:pt>
                <c:pt idx="21">
                  <c:v>41640</c:v>
                </c:pt>
                <c:pt idx="22">
                  <c:v>41671</c:v>
                </c:pt>
                <c:pt idx="23">
                  <c:v>41699</c:v>
                </c:pt>
                <c:pt idx="24">
                  <c:v>41730</c:v>
                </c:pt>
                <c:pt idx="25">
                  <c:v>41760</c:v>
                </c:pt>
                <c:pt idx="26">
                  <c:v>41791</c:v>
                </c:pt>
                <c:pt idx="27">
                  <c:v>41821</c:v>
                </c:pt>
                <c:pt idx="28">
                  <c:v>41852</c:v>
                </c:pt>
                <c:pt idx="29">
                  <c:v>41883</c:v>
                </c:pt>
                <c:pt idx="30">
                  <c:v>41913</c:v>
                </c:pt>
                <c:pt idx="31">
                  <c:v>41944</c:v>
                </c:pt>
                <c:pt idx="32">
                  <c:v>41974</c:v>
                </c:pt>
                <c:pt idx="33">
                  <c:v>42005</c:v>
                </c:pt>
                <c:pt idx="34">
                  <c:v>42036</c:v>
                </c:pt>
                <c:pt idx="35">
                  <c:v>42064</c:v>
                </c:pt>
                <c:pt idx="36">
                  <c:v>42095</c:v>
                </c:pt>
                <c:pt idx="37">
                  <c:v>42125</c:v>
                </c:pt>
                <c:pt idx="38">
                  <c:v>42156</c:v>
                </c:pt>
                <c:pt idx="39">
                  <c:v>42186</c:v>
                </c:pt>
                <c:pt idx="40">
                  <c:v>42217</c:v>
                </c:pt>
                <c:pt idx="41">
                  <c:v>42248</c:v>
                </c:pt>
                <c:pt idx="42">
                  <c:v>42278</c:v>
                </c:pt>
                <c:pt idx="43">
                  <c:v>42309</c:v>
                </c:pt>
                <c:pt idx="44">
                  <c:v>42339</c:v>
                </c:pt>
                <c:pt idx="45">
                  <c:v>42370</c:v>
                </c:pt>
                <c:pt idx="46">
                  <c:v>42401</c:v>
                </c:pt>
                <c:pt idx="47">
                  <c:v>42430</c:v>
                </c:pt>
                <c:pt idx="48">
                  <c:v>42461</c:v>
                </c:pt>
                <c:pt idx="49">
                  <c:v>42491</c:v>
                </c:pt>
                <c:pt idx="50">
                  <c:v>42522</c:v>
                </c:pt>
                <c:pt idx="51">
                  <c:v>42552</c:v>
                </c:pt>
                <c:pt idx="52">
                  <c:v>42583</c:v>
                </c:pt>
                <c:pt idx="53">
                  <c:v>42614</c:v>
                </c:pt>
                <c:pt idx="54">
                  <c:v>42644</c:v>
                </c:pt>
                <c:pt idx="55">
                  <c:v>42675</c:v>
                </c:pt>
                <c:pt idx="56">
                  <c:v>42705</c:v>
                </c:pt>
                <c:pt idx="57">
                  <c:v>42736</c:v>
                </c:pt>
                <c:pt idx="58">
                  <c:v>42767</c:v>
                </c:pt>
                <c:pt idx="59">
                  <c:v>42795</c:v>
                </c:pt>
                <c:pt idx="60">
                  <c:v>42826</c:v>
                </c:pt>
                <c:pt idx="61">
                  <c:v>42856</c:v>
                </c:pt>
                <c:pt idx="62">
                  <c:v>42887</c:v>
                </c:pt>
                <c:pt idx="63">
                  <c:v>42917</c:v>
                </c:pt>
                <c:pt idx="64">
                  <c:v>42948</c:v>
                </c:pt>
                <c:pt idx="65">
                  <c:v>42979</c:v>
                </c:pt>
                <c:pt idx="66">
                  <c:v>43009</c:v>
                </c:pt>
                <c:pt idx="67">
                  <c:v>43040</c:v>
                </c:pt>
                <c:pt idx="68">
                  <c:v>43070</c:v>
                </c:pt>
                <c:pt idx="69">
                  <c:v>43101</c:v>
                </c:pt>
                <c:pt idx="70">
                  <c:v>43132</c:v>
                </c:pt>
                <c:pt idx="71">
                  <c:v>43160</c:v>
                </c:pt>
                <c:pt idx="72">
                  <c:v>43191</c:v>
                </c:pt>
                <c:pt idx="73">
                  <c:v>43221</c:v>
                </c:pt>
                <c:pt idx="74">
                  <c:v>43252</c:v>
                </c:pt>
                <c:pt idx="75">
                  <c:v>43282</c:v>
                </c:pt>
                <c:pt idx="76">
                  <c:v>43313</c:v>
                </c:pt>
                <c:pt idx="77">
                  <c:v>43344</c:v>
                </c:pt>
                <c:pt idx="78">
                  <c:v>43374</c:v>
                </c:pt>
                <c:pt idx="79">
                  <c:v>43405</c:v>
                </c:pt>
                <c:pt idx="80">
                  <c:v>43435</c:v>
                </c:pt>
                <c:pt idx="81">
                  <c:v>43466</c:v>
                </c:pt>
                <c:pt idx="82">
                  <c:v>43497</c:v>
                </c:pt>
                <c:pt idx="83">
                  <c:v>43525</c:v>
                </c:pt>
              </c:numCache>
            </c:numRef>
          </c:cat>
          <c:val>
            <c:numRef>
              <c:f>月間量回帰式!$J$20:$J$103</c:f>
              <c:numCache>
                <c:formatCode>General</c:formatCode>
                <c:ptCount val="84"/>
                <c:pt idx="5" formatCode="0">
                  <c:v>28079</c:v>
                </c:pt>
                <c:pt idx="6" formatCode="0">
                  <c:v>32007</c:v>
                </c:pt>
                <c:pt idx="7" formatCode="0">
                  <c:v>27906</c:v>
                </c:pt>
                <c:pt idx="8" formatCode="0">
                  <c:v>27426</c:v>
                </c:pt>
                <c:pt idx="9" formatCode="0">
                  <c:v>25536</c:v>
                </c:pt>
                <c:pt idx="10" formatCode="0">
                  <c:v>21915</c:v>
                </c:pt>
                <c:pt idx="11" formatCode="0">
                  <c:v>27132</c:v>
                </c:pt>
                <c:pt idx="12" formatCode="0">
                  <c:v>29005.073669400437</c:v>
                </c:pt>
                <c:pt idx="13" formatCode="0">
                  <c:v>30572.972065646176</c:v>
                </c:pt>
                <c:pt idx="14" formatCode="0">
                  <c:v>29842.402585953572</c:v>
                </c:pt>
                <c:pt idx="15" formatCode="0">
                  <c:v>34019.627218408001</c:v>
                </c:pt>
                <c:pt idx="16" formatCode="0">
                  <c:v>32566.861548188321</c:v>
                </c:pt>
                <c:pt idx="17" formatCode="0">
                  <c:v>30173.147507992056</c:v>
                </c:pt>
                <c:pt idx="18" formatCode="0">
                  <c:v>31359.014586060432</c:v>
                </c:pt>
                <c:pt idx="19" formatCode="0">
                  <c:v>28464.99651822367</c:v>
                </c:pt>
                <c:pt idx="20" formatCode="0">
                  <c:v>29372.451731538127</c:v>
                </c:pt>
                <c:pt idx="21" formatCode="0">
                  <c:v>26973.504385613407</c:v>
                </c:pt>
                <c:pt idx="22" formatCode="0">
                  <c:v>22261.435907710664</c:v>
                </c:pt>
                <c:pt idx="23" formatCode="0">
                  <c:v>28005.512275265144</c:v>
                </c:pt>
                <c:pt idx="24" formatCode="0">
                  <c:v>29204.565838092043</c:v>
                </c:pt>
                <c:pt idx="25" formatCode="0">
                  <c:v>30105.61795191708</c:v>
                </c:pt>
                <c:pt idx="26" formatCode="0">
                  <c:v>29497.931642593216</c:v>
                </c:pt>
                <c:pt idx="27" formatCode="0">
                  <c:v>32669.425536254137</c:v>
                </c:pt>
                <c:pt idx="28" formatCode="0">
                  <c:v>31132.398267671193</c:v>
                </c:pt>
                <c:pt idx="29" formatCode="0">
                  <c:v>31292.701725130766</c:v>
                </c:pt>
                <c:pt idx="30" formatCode="0">
                  <c:v>30638.915075099576</c:v>
                </c:pt>
                <c:pt idx="31" formatCode="0">
                  <c:v>27477.898531599407</c:v>
                </c:pt>
                <c:pt idx="32" formatCode="0">
                  <c:v>30038.562910888239</c:v>
                </c:pt>
                <c:pt idx="33" formatCode="0">
                  <c:v>26110.604335620708</c:v>
                </c:pt>
                <c:pt idx="34" formatCode="0">
                  <c:v>22643.649167426462</c:v>
                </c:pt>
                <c:pt idx="35" formatCode="0">
                  <c:v>28527.729017707181</c:v>
                </c:pt>
                <c:pt idx="36" formatCode="0">
                  <c:v>28392.12467885841</c:v>
                </c:pt>
                <c:pt idx="37" formatCode="0">
                  <c:v>28901.071735288224</c:v>
                </c:pt>
                <c:pt idx="38" formatCode="0">
                  <c:v>29590.139972182911</c:v>
                </c:pt>
                <c:pt idx="39" formatCode="0">
                  <c:v>31701.327761817705</c:v>
                </c:pt>
                <c:pt idx="40" formatCode="0">
                  <c:v>30488.651442176291</c:v>
                </c:pt>
                <c:pt idx="41" formatCode="0">
                  <c:v>30795.485778665876</c:v>
                </c:pt>
                <c:pt idx="42" formatCode="0">
                  <c:v>29538.826380073733</c:v>
                </c:pt>
                <c:pt idx="43" formatCode="0">
                  <c:v>27977.427077322998</c:v>
                </c:pt>
                <c:pt idx="44" formatCode="0">
                  <c:v>30357.749421489611</c:v>
                </c:pt>
                <c:pt idx="45" formatCode="0">
                  <c:v>24933.169684233537</c:v>
                </c:pt>
                <c:pt idx="46" formatCode="0">
                  <c:v>23775.995821363278</c:v>
                </c:pt>
                <c:pt idx="47" formatCode="0">
                  <c:v>28390.030246527422</c:v>
                </c:pt>
                <c:pt idx="48" formatCode="0">
                  <c:v>27232.268472520966</c:v>
                </c:pt>
                <c:pt idx="49" formatCode="0">
                  <c:v>30036.962507249089</c:v>
                </c:pt>
                <c:pt idx="50" formatCode="0">
                  <c:v>29714.029511848621</c:v>
                </c:pt>
                <c:pt idx="51" formatCode="0">
                  <c:v>30565.398317904408</c:v>
                </c:pt>
                <c:pt idx="52" formatCode="0">
                  <c:v>32046.905858491638</c:v>
                </c:pt>
                <c:pt idx="53" formatCode="0">
                  <c:v>30283.356188804646</c:v>
                </c:pt>
                <c:pt idx="54" formatCode="0">
                  <c:v>29457.150992780062</c:v>
                </c:pt>
                <c:pt idx="55" formatCode="0">
                  <c:v>27966.207098431129</c:v>
                </c:pt>
                <c:pt idx="56" formatCode="0">
                  <c:v>28756.763846911505</c:v>
                </c:pt>
                <c:pt idx="57" formatCode="0">
                  <c:v>25351.288622688349</c:v>
                </c:pt>
                <c:pt idx="58" formatCode="0">
                  <c:v>22734.273179442964</c:v>
                </c:pt>
                <c:pt idx="59" formatCode="0">
                  <c:v>27559.395402926639</c:v>
                </c:pt>
                <c:pt idx="60" formatCode="0">
                  <c:v>24343.564904198178</c:v>
                </c:pt>
                <c:pt idx="61" formatCode="0">
                  <c:v>30036.392021804797</c:v>
                </c:pt>
                <c:pt idx="62" formatCode="0">
                  <c:v>30042.732713638659</c:v>
                </c:pt>
                <c:pt idx="63" formatCode="0">
                  <c:v>30298.388109838859</c:v>
                </c:pt>
                <c:pt idx="64" formatCode="0">
                  <c:v>33425.35768207298</c:v>
                </c:pt>
                <c:pt idx="65" formatCode="0">
                  <c:v>28768.889979311483</c:v>
                </c:pt>
                <c:pt idx="66" formatCode="0">
                  <c:v>29640.732477039666</c:v>
                </c:pt>
                <c:pt idx="67" formatCode="0">
                  <c:v>26570.191650296685</c:v>
                </c:pt>
                <c:pt idx="68" formatCode="0">
                  <c:v>25485.126915564779</c:v>
                </c:pt>
                <c:pt idx="69" formatCode="0">
                  <c:v>24226.127115466632</c:v>
                </c:pt>
                <c:pt idx="70" formatCode="0">
                  <c:v>20127.953613739417</c:v>
                </c:pt>
                <c:pt idx="71" formatCode="0">
                  <c:v>25535.973950164182</c:v>
                </c:pt>
                <c:pt idx="72" formatCode="0">
                  <c:v>29059</c:v>
                </c:pt>
                <c:pt idx="73" formatCode="0">
                  <c:v>26089</c:v>
                </c:pt>
                <c:pt idx="74" formatCode="0">
                  <c:v>23505</c:v>
                </c:pt>
                <c:pt idx="75" formatCode="0">
                  <c:v>23312</c:v>
                </c:pt>
                <c:pt idx="76" formatCode="0">
                  <c:v>30577</c:v>
                </c:pt>
                <c:pt idx="77" formatCode="0">
                  <c:v>34448</c:v>
                </c:pt>
                <c:pt idx="78" formatCode="0">
                  <c:v>22363</c:v>
                </c:pt>
                <c:pt idx="79" formatCode="0">
                  <c:v>26575</c:v>
                </c:pt>
                <c:pt idx="80" formatCode="0">
                  <c:v>26775</c:v>
                </c:pt>
                <c:pt idx="81" formatCode="0">
                  <c:v>22498</c:v>
                </c:pt>
                <c:pt idx="82" formatCode="0">
                  <c:v>26586</c:v>
                </c:pt>
                <c:pt idx="83" formatCode="0">
                  <c:v>30804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0847872"/>
        <c:axId val="280859008"/>
      </c:lineChart>
      <c:catAx>
        <c:axId val="280847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0859008"/>
        <c:crosses val="autoZero"/>
        <c:auto val="0"/>
        <c:lblAlgn val="ctr"/>
        <c:lblOffset val="0"/>
        <c:tickLblSkip val="6"/>
        <c:tickMarkSkip val="6"/>
        <c:noMultiLvlLbl val="0"/>
      </c:catAx>
      <c:valAx>
        <c:axId val="28085900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0847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3738943589467096"/>
          <c:y val="1.4121474252337099E-4"/>
          <c:w val="0.64666866535036738"/>
          <c:h val="0.1322346118650308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171755573742668"/>
          <c:y val="3.6627296587926503E-2"/>
          <c:w val="0.85458439390452412"/>
          <c:h val="0.84993864403313213"/>
        </c:manualLayout>
      </c:layout>
      <c:lineChart>
        <c:grouping val="standard"/>
        <c:varyColors val="0"/>
        <c:ser>
          <c:idx val="1"/>
          <c:order val="0"/>
          <c:tx>
            <c:strRef>
              <c:f>濃度回帰式!$F$55</c:f>
              <c:strCache>
                <c:ptCount val="1"/>
                <c:pt idx="0">
                  <c:v>Cs-134</c:v>
                </c:pt>
              </c:strCache>
            </c:strRef>
          </c:tx>
          <c:spPr>
            <a:ln w="9525">
              <a:solidFill>
                <a:srgbClr val="009900"/>
              </a:solidFill>
            </a:ln>
          </c:spPr>
          <c:marker>
            <c:symbol val="triangle"/>
            <c:size val="6"/>
            <c:spPr>
              <a:solidFill>
                <a:srgbClr val="92D050"/>
              </a:solidFill>
              <a:ln>
                <a:solidFill>
                  <a:srgbClr val="009900"/>
                </a:solidFill>
              </a:ln>
            </c:spPr>
          </c:marker>
          <c:cat>
            <c:numRef>
              <c:f>濃度回帰式!$E$62:$E$146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濃度回帰式!$F$62:$F$146</c:f>
              <c:numCache>
                <c:formatCode>General</c:formatCode>
                <c:ptCount val="85"/>
                <c:pt idx="1">
                  <c:v>340</c:v>
                </c:pt>
                <c:pt idx="2">
                  <c:v>550</c:v>
                </c:pt>
                <c:pt idx="3">
                  <c:v>550</c:v>
                </c:pt>
                <c:pt idx="4">
                  <c:v>460</c:v>
                </c:pt>
                <c:pt idx="5">
                  <c:v>390</c:v>
                </c:pt>
                <c:pt idx="6">
                  <c:v>300</c:v>
                </c:pt>
                <c:pt idx="7">
                  <c:v>260</c:v>
                </c:pt>
                <c:pt idx="8">
                  <c:v>250</c:v>
                </c:pt>
                <c:pt idx="9">
                  <c:v>180</c:v>
                </c:pt>
                <c:pt idx="10">
                  <c:v>160</c:v>
                </c:pt>
                <c:pt idx="11">
                  <c:v>98</c:v>
                </c:pt>
                <c:pt idx="12">
                  <c:v>160</c:v>
                </c:pt>
                <c:pt idx="13">
                  <c:v>220</c:v>
                </c:pt>
                <c:pt idx="14">
                  <c:v>250</c:v>
                </c:pt>
                <c:pt idx="15">
                  <c:v>260</c:v>
                </c:pt>
                <c:pt idx="16">
                  <c:v>200</c:v>
                </c:pt>
                <c:pt idx="17">
                  <c:v>190</c:v>
                </c:pt>
                <c:pt idx="18">
                  <c:v>150</c:v>
                </c:pt>
                <c:pt idx="19">
                  <c:v>130</c:v>
                </c:pt>
                <c:pt idx="20">
                  <c:v>120</c:v>
                </c:pt>
                <c:pt idx="21">
                  <c:v>110</c:v>
                </c:pt>
                <c:pt idx="22">
                  <c:v>76</c:v>
                </c:pt>
                <c:pt idx="23">
                  <c:v>46</c:v>
                </c:pt>
                <c:pt idx="24">
                  <c:v>49</c:v>
                </c:pt>
                <c:pt idx="25">
                  <c:v>74</c:v>
                </c:pt>
                <c:pt idx="26">
                  <c:v>120</c:v>
                </c:pt>
                <c:pt idx="27">
                  <c:v>110</c:v>
                </c:pt>
                <c:pt idx="28">
                  <c:v>91</c:v>
                </c:pt>
                <c:pt idx="29">
                  <c:v>74</c:v>
                </c:pt>
                <c:pt idx="30">
                  <c:v>72</c:v>
                </c:pt>
                <c:pt idx="31">
                  <c:v>63</c:v>
                </c:pt>
                <c:pt idx="32">
                  <c:v>60</c:v>
                </c:pt>
                <c:pt idx="33">
                  <c:v>60</c:v>
                </c:pt>
                <c:pt idx="34">
                  <c:v>33</c:v>
                </c:pt>
                <c:pt idx="35">
                  <c:v>20</c:v>
                </c:pt>
                <c:pt idx="36">
                  <c:v>26</c:v>
                </c:pt>
                <c:pt idx="37">
                  <c:v>47</c:v>
                </c:pt>
                <c:pt idx="38">
                  <c:v>67</c:v>
                </c:pt>
                <c:pt idx="39">
                  <c:v>58</c:v>
                </c:pt>
                <c:pt idx="40">
                  <c:v>56</c:v>
                </c:pt>
                <c:pt idx="41">
                  <c:v>39</c:v>
                </c:pt>
                <c:pt idx="42">
                  <c:v>35</c:v>
                </c:pt>
                <c:pt idx="43">
                  <c:v>34</c:v>
                </c:pt>
                <c:pt idx="44">
                  <c:v>39</c:v>
                </c:pt>
                <c:pt idx="45">
                  <c:v>33</c:v>
                </c:pt>
                <c:pt idx="46">
                  <c:v>23</c:v>
                </c:pt>
                <c:pt idx="47">
                  <c:v>24</c:v>
                </c:pt>
                <c:pt idx="48">
                  <c:v>17</c:v>
                </c:pt>
                <c:pt idx="49">
                  <c:v>22</c:v>
                </c:pt>
                <c:pt idx="50">
                  <c:v>33</c:v>
                </c:pt>
                <c:pt idx="51">
                  <c:v>42</c:v>
                </c:pt>
                <c:pt idx="52">
                  <c:v>33</c:v>
                </c:pt>
                <c:pt idx="53">
                  <c:v>24</c:v>
                </c:pt>
                <c:pt idx="54">
                  <c:v>19</c:v>
                </c:pt>
                <c:pt idx="55">
                  <c:v>21</c:v>
                </c:pt>
                <c:pt idx="56">
                  <c:v>21</c:v>
                </c:pt>
                <c:pt idx="57">
                  <c:v>18</c:v>
                </c:pt>
                <c:pt idx="58">
                  <c:v>15</c:v>
                </c:pt>
                <c:pt idx="59">
                  <c:v>11</c:v>
                </c:pt>
                <c:pt idx="60">
                  <c:v>12</c:v>
                </c:pt>
                <c:pt idx="61">
                  <c:v>17</c:v>
                </c:pt>
                <c:pt idx="62">
                  <c:v>25</c:v>
                </c:pt>
                <c:pt idx="63">
                  <c:v>22</c:v>
                </c:pt>
                <c:pt idx="64">
                  <c:v>20</c:v>
                </c:pt>
                <c:pt idx="65">
                  <c:v>14</c:v>
                </c:pt>
                <c:pt idx="66">
                  <c:v>15</c:v>
                </c:pt>
                <c:pt idx="67">
                  <c:v>15</c:v>
                </c:pt>
                <c:pt idx="68">
                  <c:v>14</c:v>
                </c:pt>
                <c:pt idx="69">
                  <c:v>13</c:v>
                </c:pt>
                <c:pt idx="70">
                  <c:v>11</c:v>
                </c:pt>
                <c:pt idx="71">
                  <c:v>5.5</c:v>
                </c:pt>
                <c:pt idx="72" formatCode="0.0">
                  <c:v>5.383998161135243</c:v>
                </c:pt>
                <c:pt idx="73">
                  <c:v>11</c:v>
                </c:pt>
                <c:pt idx="74">
                  <c:v>14</c:v>
                </c:pt>
                <c:pt idx="75">
                  <c:v>16</c:v>
                </c:pt>
                <c:pt idx="76">
                  <c:v>12</c:v>
                </c:pt>
                <c:pt idx="77">
                  <c:v>10</c:v>
                </c:pt>
                <c:pt idx="78">
                  <c:v>10</c:v>
                </c:pt>
                <c:pt idx="79">
                  <c:v>10</c:v>
                </c:pt>
                <c:pt idx="80" formatCode="0.0">
                  <c:v>4.2971331004994537</c:v>
                </c:pt>
                <c:pt idx="81">
                  <c:v>20</c:v>
                </c:pt>
                <c:pt idx="82">
                  <c:v>20</c:v>
                </c:pt>
                <c:pt idx="83">
                  <c:v>20</c:v>
                </c:pt>
                <c:pt idx="84">
                  <c:v>10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濃度回帰式!$O$55</c:f>
              <c:strCache>
                <c:ptCount val="1"/>
                <c:pt idx="0">
                  <c:v>回帰式_Cs-134</c:v>
                </c:pt>
              </c:strCache>
            </c:strRef>
          </c:tx>
          <c:spPr>
            <a:ln w="25400"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濃度回帰式!$E$62:$E$146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濃度回帰式!$O$62:$O$146</c:f>
              <c:numCache>
                <c:formatCode>0</c:formatCode>
                <c:ptCount val="85"/>
                <c:pt idx="1">
                  <c:v>409.10074926559156</c:v>
                </c:pt>
                <c:pt idx="2">
                  <c:v>573.86923058251261</c:v>
                </c:pt>
                <c:pt idx="3">
                  <c:v>575.32683836377066</c:v>
                </c:pt>
                <c:pt idx="4">
                  <c:v>509.57916792906292</c:v>
                </c:pt>
                <c:pt idx="5">
                  <c:v>411.21213975516696</c:v>
                </c:pt>
                <c:pt idx="6">
                  <c:v>356.53734281810824</c:v>
                </c:pt>
                <c:pt idx="7">
                  <c:v>307.13308957269703</c:v>
                </c:pt>
                <c:pt idx="8">
                  <c:v>239.02359257858782</c:v>
                </c:pt>
                <c:pt idx="9">
                  <c:v>165.02717411945301</c:v>
                </c:pt>
                <c:pt idx="10">
                  <c:v>139.11647465194233</c:v>
                </c:pt>
                <c:pt idx="11">
                  <c:v>118.61671988026326</c:v>
                </c:pt>
                <c:pt idx="12">
                  <c:v>103.67867524959496</c:v>
                </c:pt>
                <c:pt idx="13">
                  <c:v>165.83835031059999</c:v>
                </c:pt>
                <c:pt idx="14">
                  <c:v>233.9638030289768</c:v>
                </c:pt>
                <c:pt idx="15">
                  <c:v>235.99730221839258</c:v>
                </c:pt>
                <c:pt idx="16">
                  <c:v>210.37751968720471</c:v>
                </c:pt>
                <c:pt idx="17">
                  <c:v>170.95121332497234</c:v>
                </c:pt>
                <c:pt idx="18">
                  <c:v>149.33704588042201</c:v>
                </c:pt>
                <c:pt idx="19">
                  <c:v>129.64230851652673</c:v>
                </c:pt>
                <c:pt idx="20">
                  <c:v>101.75511358546811</c:v>
                </c:pt>
                <c:pt idx="21">
                  <c:v>70.862502391671043</c:v>
                </c:pt>
                <c:pt idx="22">
                  <c:v>60.317385686309684</c:v>
                </c:pt>
                <c:pt idx="23">
                  <c:v>51.953462130357451</c:v>
                </c:pt>
                <c:pt idx="24">
                  <c:v>45.857451210423051</c:v>
                </c:pt>
                <c:pt idx="25">
                  <c:v>74.18256226289806</c:v>
                </c:pt>
                <c:pt idx="26">
                  <c:v>105.84250840758911</c:v>
                </c:pt>
                <c:pt idx="27">
                  <c:v>108.11191571214584</c:v>
                </c:pt>
                <c:pt idx="28">
                  <c:v>97.596369725625379</c:v>
                </c:pt>
                <c:pt idx="29">
                  <c:v>80.406251667208807</c:v>
                </c:pt>
                <c:pt idx="30">
                  <c:v>71.242019646000585</c:v>
                </c:pt>
                <c:pt idx="31">
                  <c:v>62.743993337793334</c:v>
                </c:pt>
                <c:pt idx="32">
                  <c:v>50.01450377954864</c:v>
                </c:pt>
                <c:pt idx="33">
                  <c:v>35.37357944595378</c:v>
                </c:pt>
                <c:pt idx="34">
                  <c:v>30.616258916097483</c:v>
                </c:pt>
                <c:pt idx="35">
                  <c:v>26.825455260075476</c:v>
                </c:pt>
                <c:pt idx="36">
                  <c:v>24.055786950387642</c:v>
                </c:pt>
                <c:pt idx="37">
                  <c:v>39.618591477361534</c:v>
                </c:pt>
                <c:pt idx="38">
                  <c:v>57.547823700643598</c:v>
                </c:pt>
                <c:pt idx="39">
                  <c:v>59.899989607606287</c:v>
                </c:pt>
                <c:pt idx="40">
                  <c:v>55.077281760691285</c:v>
                </c:pt>
                <c:pt idx="41">
                  <c:v>46.268371646438979</c:v>
                </c:pt>
                <c:pt idx="42">
                  <c:v>41.807252188190851</c:v>
                </c:pt>
                <c:pt idx="43">
                  <c:v>37.527598074485049</c:v>
                </c:pt>
                <c:pt idx="44">
                  <c:v>30.509284061955903</c:v>
                </c:pt>
                <c:pt idx="45">
                  <c:v>21.998207261263556</c:v>
                </c:pt>
                <c:pt idx="46">
                  <c:v>19.418011019320573</c:v>
                </c:pt>
                <c:pt idx="47">
                  <c:v>17.349123800854784</c:v>
                </c:pt>
                <c:pt idx="48">
                  <c:v>15.82409834162752</c:v>
                </c:pt>
                <c:pt idx="49">
                  <c:v>26.574846050358332</c:v>
                </c:pt>
                <c:pt idx="50">
                  <c:v>39.322611550888162</c:v>
                </c:pt>
                <c:pt idx="51">
                  <c:v>41.693626424621257</c:v>
                </c:pt>
                <c:pt idx="52">
                  <c:v>39.03013062530345</c:v>
                </c:pt>
                <c:pt idx="53">
                  <c:v>33.379863155833171</c:v>
                </c:pt>
                <c:pt idx="54">
                  <c:v>30.694596216919841</c:v>
                </c:pt>
                <c:pt idx="55">
                  <c:v>28.007621471512525</c:v>
                </c:pt>
                <c:pt idx="56">
                  <c:v>23.149190998703425</c:v>
                </c:pt>
                <c:pt idx="57">
                  <c:v>16.949626140129766</c:v>
                </c:pt>
                <c:pt idx="58">
                  <c:v>15.191131116867744</c:v>
                </c:pt>
                <c:pt idx="59">
                  <c:v>13.77520764788129</c:v>
                </c:pt>
                <c:pt idx="60">
                  <c:v>12.734729969383816</c:v>
                </c:pt>
                <c:pt idx="61">
                  <c:v>21.676820780748031</c:v>
                </c:pt>
                <c:pt idx="62">
                  <c:v>32.478409982703944</c:v>
                </c:pt>
                <c:pt idx="63">
                  <c:v>34.870288648117537</c:v>
                </c:pt>
                <c:pt idx="64">
                  <c:v>33.009895127139742</c:v>
                </c:pt>
                <c:pt idx="65">
                  <c:v>28.54483938030938</c:v>
                </c:pt>
                <c:pt idx="66">
                  <c:v>26.522240627788236</c:v>
                </c:pt>
                <c:pt idx="67">
                  <c:v>24.434867817941718</c:v>
                </c:pt>
                <c:pt idx="68">
                  <c:v>20.386660941579649</c:v>
                </c:pt>
                <c:pt idx="69">
                  <c:v>15.054406522750332</c:v>
                </c:pt>
                <c:pt idx="70">
                  <c:v>13.604861923376793</c:v>
                </c:pt>
                <c:pt idx="71">
                  <c:v>12.433899354904547</c:v>
                </c:pt>
                <c:pt idx="72">
                  <c:v>11.571395449043157</c:v>
                </c:pt>
                <c:pt idx="73">
                  <c:v>19.832307859597382</c:v>
                </c:pt>
                <c:pt idx="74">
                  <c:v>29.903895903211147</c:v>
                </c:pt>
                <c:pt idx="75">
                  <c:v>32.296963812581211</c:v>
                </c:pt>
                <c:pt idx="76">
                  <c:v>30.742688277705927</c:v>
                </c:pt>
                <c:pt idx="77">
                  <c:v>26.722340940329332</c:v>
                </c:pt>
                <c:pt idx="78">
                  <c:v>24.951446653713639</c:v>
                </c:pt>
                <c:pt idx="79">
                  <c:v>23.089547046881762</c:v>
                </c:pt>
                <c:pt idx="80">
                  <c:v>19.348504804603714</c:v>
                </c:pt>
                <c:pt idx="81">
                  <c:v>14.336957405302336</c:v>
                </c:pt>
                <c:pt idx="82">
                  <c:v>13.003649883331486</c:v>
                </c:pt>
                <c:pt idx="83">
                  <c:v>11.923572518995838</c:v>
                </c:pt>
                <c:pt idx="84">
                  <c:v>11.130972508300136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濃度回帰式!$M$55</c:f>
              <c:strCache>
                <c:ptCount val="1"/>
                <c:pt idx="0">
                  <c:v>Cs-134:事故日1200から減衰</c:v>
                </c:pt>
              </c:strCache>
            </c:strRef>
          </c:tx>
          <c:marker>
            <c:symbol val="none"/>
          </c:marker>
          <c:cat>
            <c:numRef>
              <c:f>濃度回帰式!$E$62:$E$146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濃度回帰式!$M$62:$M$146</c:f>
              <c:numCache>
                <c:formatCode>0</c:formatCode>
                <c:ptCount val="85"/>
                <c:pt idx="0">
                  <c:v>1200</c:v>
                </c:pt>
                <c:pt idx="1">
                  <c:v>427.66824530077849</c:v>
                </c:pt>
                <c:pt idx="2">
                  <c:v>394.71404663840514</c:v>
                </c:pt>
                <c:pt idx="3">
                  <c:v>363.32672557584715</c:v>
                </c:pt>
                <c:pt idx="4">
                  <c:v>335.3303961182898</c:v>
                </c:pt>
                <c:pt idx="5">
                  <c:v>308.66521180413349</c:v>
                </c:pt>
                <c:pt idx="6">
                  <c:v>284.12041998269092</c:v>
                </c:pt>
                <c:pt idx="7">
                  <c:v>262.22737352196629</c:v>
                </c:pt>
                <c:pt idx="8">
                  <c:v>241.37527860864461</c:v>
                </c:pt>
                <c:pt idx="9">
                  <c:v>222.77598120731267</c:v>
                </c:pt>
                <c:pt idx="10">
                  <c:v>205.06102703547398</c:v>
                </c:pt>
                <c:pt idx="11">
                  <c:v>188.75475076333359</c:v>
                </c:pt>
                <c:pt idx="12">
                  <c:v>175.14393241983743</c:v>
                </c:pt>
                <c:pt idx="13">
                  <c:v>161.21663774705263</c:v>
                </c:pt>
                <c:pt idx="14">
                  <c:v>148.79400603106026</c:v>
                </c:pt>
                <c:pt idx="15">
                  <c:v>136.96203481226172</c:v>
                </c:pt>
                <c:pt idx="16">
                  <c:v>126.40835411700265</c:v>
                </c:pt>
                <c:pt idx="17">
                  <c:v>116.35647065997786</c:v>
                </c:pt>
                <c:pt idx="18">
                  <c:v>107.10390431881464</c:v>
                </c:pt>
                <c:pt idx="19">
                  <c:v>98.850957369349771</c:v>
                </c:pt>
                <c:pt idx="20">
                  <c:v>90.990414369380616</c:v>
                </c:pt>
                <c:pt idx="21">
                  <c:v>83.979100753165369</c:v>
                </c:pt>
                <c:pt idx="22">
                  <c:v>77.3011549837329</c:v>
                </c:pt>
                <c:pt idx="23">
                  <c:v>71.154233710865981</c:v>
                </c:pt>
                <c:pt idx="24">
                  <c:v>66.023410007130124</c:v>
                </c:pt>
                <c:pt idx="25">
                  <c:v>60.773285302454703</c:v>
                </c:pt>
                <c:pt idx="26">
                  <c:v>56.090368253484485</c:v>
                </c:pt>
                <c:pt idx="27">
                  <c:v>51.630110474763896</c:v>
                </c:pt>
                <c:pt idx="28">
                  <c:v>47.651725508751198</c:v>
                </c:pt>
                <c:pt idx="29">
                  <c:v>43.862501333767042</c:v>
                </c:pt>
                <c:pt idx="30">
                  <c:v>40.374593001913233</c:v>
                </c:pt>
                <c:pt idx="31">
                  <c:v>37.263507777987456</c:v>
                </c:pt>
                <c:pt idx="32">
                  <c:v>34.30034573066289</c:v>
                </c:pt>
                <c:pt idx="33">
                  <c:v>31.657314783622667</c:v>
                </c:pt>
                <c:pt idx="34">
                  <c:v>29.139952375179423</c:v>
                </c:pt>
                <c:pt idx="35">
                  <c:v>26.822768457513348</c:v>
                </c:pt>
                <c:pt idx="36">
                  <c:v>24.888619370041514</c:v>
                </c:pt>
                <c:pt idx="37">
                  <c:v>22.909497791713367</c:v>
                </c:pt>
                <c:pt idx="38">
                  <c:v>21.144194546081089</c:v>
                </c:pt>
                <c:pt idx="39">
                  <c:v>19.46282640507086</c:v>
                </c:pt>
                <c:pt idx="40">
                  <c:v>17.963108212449608</c:v>
                </c:pt>
                <c:pt idx="41">
                  <c:v>16.534697317151174</c:v>
                </c:pt>
                <c:pt idx="42">
                  <c:v>15.219872426105235</c:v>
                </c:pt>
                <c:pt idx="43">
                  <c:v>14.047097255030502</c:v>
                </c:pt>
                <c:pt idx="44">
                  <c:v>12.930084178613377</c:v>
                </c:pt>
                <c:pt idx="45">
                  <c:v>11.933749829675319</c:v>
                </c:pt>
                <c:pt idx="46">
                  <c:v>10.984788320516241</c:v>
                </c:pt>
                <c:pt idx="47">
                  <c:v>10.11128741332371</c:v>
                </c:pt>
                <c:pt idx="48">
                  <c:v>9.3571339502823587</c:v>
                </c:pt>
                <c:pt idx="49">
                  <c:v>8.6130627168815153</c:v>
                </c:pt>
                <c:pt idx="50">
                  <c:v>7.9493786978261127</c:v>
                </c:pt>
                <c:pt idx="51">
                  <c:v>7.3172509497475078</c:v>
                </c:pt>
                <c:pt idx="52">
                  <c:v>6.7534163791194484</c:v>
                </c:pt>
                <c:pt idx="53">
                  <c:v>6.2163905246665285</c:v>
                </c:pt>
                <c:pt idx="54">
                  <c:v>5.7220685036752235</c:v>
                </c:pt>
                <c:pt idx="55">
                  <c:v>5.2811515445561223</c:v>
                </c:pt>
                <c:pt idx="56">
                  <c:v>4.8611989218391995</c:v>
                </c:pt>
                <c:pt idx="57">
                  <c:v>4.4866167152623699</c:v>
                </c:pt>
                <c:pt idx="58">
                  <c:v>4.1298448179207341</c:v>
                </c:pt>
                <c:pt idx="59">
                  <c:v>3.8014431146052017</c:v>
                </c:pt>
                <c:pt idx="60">
                  <c:v>3.5273268263169122</c:v>
                </c:pt>
                <c:pt idx="61">
                  <c:v>3.2468368348076768</c:v>
                </c:pt>
                <c:pt idx="62">
                  <c:v>2.9966501369308864</c:v>
                </c:pt>
                <c:pt idx="63">
                  <c:v>2.7583590987450242</c:v>
                </c:pt>
                <c:pt idx="64">
                  <c:v>2.5458123064100464</c:v>
                </c:pt>
                <c:pt idx="65">
                  <c:v>2.3433715042474987</c:v>
                </c:pt>
                <c:pt idx="66">
                  <c:v>2.1570286203317237</c:v>
                </c:pt>
                <c:pt idx="67">
                  <c:v>1.9908176601870362</c:v>
                </c:pt>
                <c:pt idx="68">
                  <c:v>1.8325095543330157</c:v>
                </c:pt>
                <c:pt idx="69">
                  <c:v>1.6913045792904673</c:v>
                </c:pt>
                <c:pt idx="70">
                  <c:v>1.556813495689898</c:v>
                </c:pt>
                <c:pt idx="71">
                  <c:v>1.433017027234073</c:v>
                </c:pt>
                <c:pt idx="72">
                  <c:v>1.3296843462713819</c:v>
                </c:pt>
                <c:pt idx="73">
                  <c:v>1.2239489921746196</c:v>
                </c:pt>
                <c:pt idx="74">
                  <c:v>1.1296369671787794</c:v>
                </c:pt>
                <c:pt idx="75">
                  <c:v>1.0398092083874737</c:v>
                </c:pt>
                <c:pt idx="76">
                  <c:v>0.95968617002612333</c:v>
                </c:pt>
                <c:pt idx="77">
                  <c:v>0.88337275226346323</c:v>
                </c:pt>
                <c:pt idx="78">
                  <c:v>0.81312771176048626</c:v>
                </c:pt>
                <c:pt idx="79">
                  <c:v>0.75047173380170507</c:v>
                </c:pt>
                <c:pt idx="80">
                  <c:v>0.69079486783299171</c:v>
                </c:pt>
                <c:pt idx="81">
                  <c:v>0.63756531067121125</c:v>
                </c:pt>
                <c:pt idx="82">
                  <c:v>0.58686666623528294</c:v>
                </c:pt>
                <c:pt idx="83">
                  <c:v>0.5401995343434336</c:v>
                </c:pt>
                <c:pt idx="84">
                  <c:v>0.50124656652961386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839104"/>
        <c:axId val="279840640"/>
      </c:lineChart>
      <c:dateAx>
        <c:axId val="279839104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ja-JP"/>
          </a:p>
        </c:txPr>
        <c:crossAx val="279840640"/>
        <c:crosses val="autoZero"/>
        <c:auto val="0"/>
        <c:lblOffset val="100"/>
        <c:baseTimeUnit val="days"/>
        <c:majorUnit val="6"/>
        <c:majorTimeUnit val="months"/>
      </c:dateAx>
      <c:valAx>
        <c:axId val="2798406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in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279839104"/>
        <c:crosses val="autoZero"/>
        <c:crossBetween val="between"/>
        <c:majorUnit val="5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26206132749129929"/>
          <c:y val="5.7577241086361648E-2"/>
          <c:w val="0.64053003517237239"/>
          <c:h val="0.16433548483007396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>
              <a:lumMod val="50000"/>
              <a:lumOff val="50000"/>
            </a:sysClr>
          </a:solidFill>
        </a:ln>
      </c:spPr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148408952995464"/>
          <c:y val="3.6627296587926503E-2"/>
          <c:w val="0.85804969593517944"/>
          <c:h val="0.82193852659481148"/>
        </c:manualLayout>
      </c:layout>
      <c:lineChart>
        <c:grouping val="standard"/>
        <c:varyColors val="0"/>
        <c:ser>
          <c:idx val="1"/>
          <c:order val="0"/>
          <c:tx>
            <c:strRef>
              <c:f>濃度回帰式!$G$55</c:f>
              <c:strCache>
                <c:ptCount val="1"/>
                <c:pt idx="0">
                  <c:v>Cs-137</c:v>
                </c:pt>
              </c:strCache>
            </c:strRef>
          </c:tx>
          <c:spPr>
            <a:ln w="9525">
              <a:solidFill>
                <a:srgbClr val="009900"/>
              </a:solidFill>
            </a:ln>
          </c:spPr>
          <c:marker>
            <c:symbol val="triangle"/>
            <c:size val="6"/>
            <c:spPr>
              <a:solidFill>
                <a:srgbClr val="92D050"/>
              </a:solidFill>
              <a:ln>
                <a:solidFill>
                  <a:srgbClr val="009900"/>
                </a:solidFill>
              </a:ln>
            </c:spPr>
          </c:marker>
          <c:cat>
            <c:numRef>
              <c:f>濃度回帰式!$E$62:$E$146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濃度回帰式!$G$62:$G$146</c:f>
              <c:numCache>
                <c:formatCode>General</c:formatCode>
                <c:ptCount val="85"/>
                <c:pt idx="1">
                  <c:v>510</c:v>
                </c:pt>
                <c:pt idx="2">
                  <c:v>850</c:v>
                </c:pt>
                <c:pt idx="3">
                  <c:v>890</c:v>
                </c:pt>
                <c:pt idx="4">
                  <c:v>760</c:v>
                </c:pt>
                <c:pt idx="5">
                  <c:v>660</c:v>
                </c:pt>
                <c:pt idx="6">
                  <c:v>510</c:v>
                </c:pt>
                <c:pt idx="7">
                  <c:v>450</c:v>
                </c:pt>
                <c:pt idx="8">
                  <c:v>450</c:v>
                </c:pt>
                <c:pt idx="9">
                  <c:v>330</c:v>
                </c:pt>
                <c:pt idx="10">
                  <c:v>300</c:v>
                </c:pt>
                <c:pt idx="11">
                  <c:v>180</c:v>
                </c:pt>
                <c:pt idx="12">
                  <c:v>320</c:v>
                </c:pt>
                <c:pt idx="13">
                  <c:v>460</c:v>
                </c:pt>
                <c:pt idx="14">
                  <c:v>540</c:v>
                </c:pt>
                <c:pt idx="15">
                  <c:v>560</c:v>
                </c:pt>
                <c:pt idx="16">
                  <c:v>430</c:v>
                </c:pt>
                <c:pt idx="17">
                  <c:v>390</c:v>
                </c:pt>
                <c:pt idx="18">
                  <c:v>360</c:v>
                </c:pt>
                <c:pt idx="19">
                  <c:v>290</c:v>
                </c:pt>
                <c:pt idx="20">
                  <c:v>300</c:v>
                </c:pt>
                <c:pt idx="21">
                  <c:v>280</c:v>
                </c:pt>
                <c:pt idx="22">
                  <c:v>190</c:v>
                </c:pt>
                <c:pt idx="23">
                  <c:v>120</c:v>
                </c:pt>
                <c:pt idx="24">
                  <c:v>130</c:v>
                </c:pt>
                <c:pt idx="25">
                  <c:v>210</c:v>
                </c:pt>
                <c:pt idx="26">
                  <c:v>320</c:v>
                </c:pt>
                <c:pt idx="27">
                  <c:v>330</c:v>
                </c:pt>
                <c:pt idx="28">
                  <c:v>290</c:v>
                </c:pt>
                <c:pt idx="29">
                  <c:v>220</c:v>
                </c:pt>
                <c:pt idx="30">
                  <c:v>230</c:v>
                </c:pt>
                <c:pt idx="31">
                  <c:v>200</c:v>
                </c:pt>
                <c:pt idx="32">
                  <c:v>190</c:v>
                </c:pt>
                <c:pt idx="33">
                  <c:v>180</c:v>
                </c:pt>
                <c:pt idx="34">
                  <c:v>110</c:v>
                </c:pt>
                <c:pt idx="35">
                  <c:v>71</c:v>
                </c:pt>
                <c:pt idx="36">
                  <c:v>100</c:v>
                </c:pt>
                <c:pt idx="37">
                  <c:v>170</c:v>
                </c:pt>
                <c:pt idx="38">
                  <c:v>230</c:v>
                </c:pt>
                <c:pt idx="39">
                  <c:v>240</c:v>
                </c:pt>
                <c:pt idx="40">
                  <c:v>230</c:v>
                </c:pt>
                <c:pt idx="41">
                  <c:v>170</c:v>
                </c:pt>
                <c:pt idx="42">
                  <c:v>160</c:v>
                </c:pt>
                <c:pt idx="43">
                  <c:v>160</c:v>
                </c:pt>
                <c:pt idx="44">
                  <c:v>170</c:v>
                </c:pt>
                <c:pt idx="45">
                  <c:v>140</c:v>
                </c:pt>
                <c:pt idx="46">
                  <c:v>110</c:v>
                </c:pt>
                <c:pt idx="47">
                  <c:v>120</c:v>
                </c:pt>
                <c:pt idx="48">
                  <c:v>75</c:v>
                </c:pt>
                <c:pt idx="49">
                  <c:v>120</c:v>
                </c:pt>
                <c:pt idx="50">
                  <c:v>180</c:v>
                </c:pt>
                <c:pt idx="51">
                  <c:v>210</c:v>
                </c:pt>
                <c:pt idx="52">
                  <c:v>180</c:v>
                </c:pt>
                <c:pt idx="53">
                  <c:v>150</c:v>
                </c:pt>
                <c:pt idx="54">
                  <c:v>110</c:v>
                </c:pt>
                <c:pt idx="55">
                  <c:v>120</c:v>
                </c:pt>
                <c:pt idx="56">
                  <c:v>110</c:v>
                </c:pt>
                <c:pt idx="57">
                  <c:v>120</c:v>
                </c:pt>
                <c:pt idx="58">
                  <c:v>93</c:v>
                </c:pt>
                <c:pt idx="59">
                  <c:v>70</c:v>
                </c:pt>
                <c:pt idx="60">
                  <c:v>72</c:v>
                </c:pt>
                <c:pt idx="61">
                  <c:v>120</c:v>
                </c:pt>
                <c:pt idx="62">
                  <c:v>170</c:v>
                </c:pt>
                <c:pt idx="63">
                  <c:v>150</c:v>
                </c:pt>
                <c:pt idx="64">
                  <c:v>140</c:v>
                </c:pt>
                <c:pt idx="65">
                  <c:v>120</c:v>
                </c:pt>
                <c:pt idx="66">
                  <c:v>130</c:v>
                </c:pt>
                <c:pt idx="67">
                  <c:v>120</c:v>
                </c:pt>
                <c:pt idx="68">
                  <c:v>120</c:v>
                </c:pt>
                <c:pt idx="69">
                  <c:v>120</c:v>
                </c:pt>
                <c:pt idx="70">
                  <c:v>81</c:v>
                </c:pt>
                <c:pt idx="71">
                  <c:v>48</c:v>
                </c:pt>
                <c:pt idx="72">
                  <c:v>51</c:v>
                </c:pt>
                <c:pt idx="73">
                  <c:v>100</c:v>
                </c:pt>
                <c:pt idx="74">
                  <c:v>130</c:v>
                </c:pt>
                <c:pt idx="75">
                  <c:v>170</c:v>
                </c:pt>
                <c:pt idx="76">
                  <c:v>130</c:v>
                </c:pt>
                <c:pt idx="77">
                  <c:v>120</c:v>
                </c:pt>
                <c:pt idx="78">
                  <c:v>110</c:v>
                </c:pt>
                <c:pt idx="79">
                  <c:v>100</c:v>
                </c:pt>
                <c:pt idx="80">
                  <c:v>80</c:v>
                </c:pt>
                <c:pt idx="81">
                  <c:v>180</c:v>
                </c:pt>
                <c:pt idx="82">
                  <c:v>200</c:v>
                </c:pt>
                <c:pt idx="83">
                  <c:v>200</c:v>
                </c:pt>
                <c:pt idx="84">
                  <c:v>190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濃度回帰式!$R$55</c:f>
              <c:strCache>
                <c:ptCount val="1"/>
                <c:pt idx="0">
                  <c:v>回帰式_Cs-137</c:v>
                </c:pt>
              </c:strCache>
            </c:strRef>
          </c:tx>
          <c:spPr>
            <a:ln w="25400"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濃度回帰式!$E$62:$E$146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濃度回帰式!$R$62:$R$146</c:f>
              <c:numCache>
                <c:formatCode>0</c:formatCode>
                <c:ptCount val="85"/>
                <c:pt idx="1">
                  <c:v>619.11163311909479</c:v>
                </c:pt>
                <c:pt idx="2">
                  <c:v>893.14449191352446</c:v>
                </c:pt>
                <c:pt idx="3">
                  <c:v>921.94337224211188</c:v>
                </c:pt>
                <c:pt idx="4">
                  <c:v>840.16902975276457</c:v>
                </c:pt>
                <c:pt idx="5">
                  <c:v>698.30436134875242</c:v>
                </c:pt>
                <c:pt idx="6">
                  <c:v>623.69646112611258</c:v>
                </c:pt>
                <c:pt idx="7">
                  <c:v>552.95647959774908</c:v>
                </c:pt>
                <c:pt idx="8">
                  <c:v>443.34245582281784</c:v>
                </c:pt>
                <c:pt idx="9">
                  <c:v>315.08998786242449</c:v>
                </c:pt>
                <c:pt idx="10">
                  <c:v>273.69205588226487</c:v>
                </c:pt>
                <c:pt idx="11">
                  <c:v>240.48040595634467</c:v>
                </c:pt>
                <c:pt idx="12">
                  <c:v>215.9464076889418</c:v>
                </c:pt>
                <c:pt idx="13">
                  <c:v>355.89706653956932</c:v>
                </c:pt>
                <c:pt idx="14">
                  <c:v>516.84227119223203</c:v>
                </c:pt>
                <c:pt idx="15">
                  <c:v>537.1742141586318</c:v>
                </c:pt>
                <c:pt idx="16">
                  <c:v>492.94600607645924</c:v>
                </c:pt>
                <c:pt idx="17">
                  <c:v>412.69059731125117</c:v>
                </c:pt>
                <c:pt idx="18">
                  <c:v>371.32376796552376</c:v>
                </c:pt>
                <c:pt idx="19">
                  <c:v>331.7052894234115</c:v>
                </c:pt>
                <c:pt idx="20">
                  <c:v>268.06228702177407</c:v>
                </c:pt>
                <c:pt idx="21">
                  <c:v>191.99518123089607</c:v>
                </c:pt>
                <c:pt idx="22">
                  <c:v>168.20015468298203</c:v>
                </c:pt>
                <c:pt idx="23">
                  <c:v>149.05561249246404</c:v>
                </c:pt>
                <c:pt idx="24">
                  <c:v>134.93903507617941</c:v>
                </c:pt>
                <c:pt idx="25">
                  <c:v>224.38568056284529</c:v>
                </c:pt>
                <c:pt idx="26">
                  <c:v>328.67139039305005</c:v>
                </c:pt>
                <c:pt idx="27">
                  <c:v>344.77370251768696</c:v>
                </c:pt>
                <c:pt idx="28">
                  <c:v>319.22487223296105</c:v>
                </c:pt>
                <c:pt idx="29">
                  <c:v>269.8498753976699</c:v>
                </c:pt>
                <c:pt idx="30">
                  <c:v>245.12734787655489</c:v>
                </c:pt>
                <c:pt idx="31">
                  <c:v>221.03578628056266</c:v>
                </c:pt>
                <c:pt idx="32">
                  <c:v>180.4053801930381</c:v>
                </c:pt>
                <c:pt idx="33">
                  <c:v>130.45785984156714</c:v>
                </c:pt>
                <c:pt idx="34">
                  <c:v>115.44115043282261</c:v>
                </c:pt>
                <c:pt idx="35">
                  <c:v>103.32991123415472</c:v>
                </c:pt>
                <c:pt idx="36">
                  <c:v>94.389697224070218</c:v>
                </c:pt>
                <c:pt idx="37">
                  <c:v>158.53918906284284</c:v>
                </c:pt>
                <c:pt idx="38">
                  <c:v>234.52019095962723</c:v>
                </c:pt>
                <c:pt idx="39">
                  <c:v>248.49911277488587</c:v>
                </c:pt>
                <c:pt idx="40">
                  <c:v>232.3122307271469</c:v>
                </c:pt>
                <c:pt idx="41">
                  <c:v>198.36209778918848</c:v>
                </c:pt>
                <c:pt idx="42">
                  <c:v>182.00381952052985</c:v>
                </c:pt>
                <c:pt idx="43">
                  <c:v>165.67070815564415</c:v>
                </c:pt>
                <c:pt idx="44">
                  <c:v>136.53162753033865</c:v>
                </c:pt>
                <c:pt idx="45">
                  <c:v>99.669438020800342</c:v>
                </c:pt>
                <c:pt idx="46">
                  <c:v>89.030199189001422</c:v>
                </c:pt>
                <c:pt idx="47">
                  <c:v>80.424203285927177</c:v>
                </c:pt>
                <c:pt idx="48">
                  <c:v>74.071024287227857</c:v>
                </c:pt>
                <c:pt idx="49">
                  <c:v>125.55892816921619</c:v>
                </c:pt>
                <c:pt idx="50">
                  <c:v>187.33818923251644</c:v>
                </c:pt>
                <c:pt idx="51">
                  <c:v>200.23026219523791</c:v>
                </c:pt>
                <c:pt idx="52">
                  <c:v>188.77485075829043</c:v>
                </c:pt>
                <c:pt idx="53">
                  <c:v>162.52860193505822</c:v>
                </c:pt>
                <c:pt idx="54">
                  <c:v>150.38066495457664</c:v>
                </c:pt>
                <c:pt idx="55">
                  <c:v>137.93921947435391</c:v>
                </c:pt>
                <c:pt idx="56">
                  <c:v>114.57784828591433</c:v>
                </c:pt>
                <c:pt idx="57">
                  <c:v>84.238705438379597</c:v>
                </c:pt>
                <c:pt idx="58">
                  <c:v>75.801483917461184</c:v>
                </c:pt>
                <c:pt idx="59">
                  <c:v>68.976714710764995</c:v>
                </c:pt>
                <c:pt idx="60">
                  <c:v>63.941519707196882</c:v>
                </c:pt>
                <c:pt idx="61">
                  <c:v>109.10597749205307</c:v>
                </c:pt>
                <c:pt idx="62">
                  <c:v>163.80954829020123</c:v>
                </c:pt>
                <c:pt idx="63">
                  <c:v>176.22784908908042</c:v>
                </c:pt>
                <c:pt idx="64">
                  <c:v>167.0949736629147</c:v>
                </c:pt>
                <c:pt idx="65">
                  <c:v>144.69053005288382</c:v>
                </c:pt>
                <c:pt idx="66">
                  <c:v>134.5810598573712</c:v>
                </c:pt>
                <c:pt idx="67">
                  <c:v>124.1027901428062</c:v>
                </c:pt>
                <c:pt idx="68">
                  <c:v>103.6093310809801</c:v>
                </c:pt>
                <c:pt idx="69">
                  <c:v>76.543721190423028</c:v>
                </c:pt>
                <c:pt idx="70">
                  <c:v>69.210734499811736</c:v>
                </c:pt>
                <c:pt idx="71">
                  <c:v>63.270678548787757</c:v>
                </c:pt>
                <c:pt idx="72">
                  <c:v>58.882327891800372</c:v>
                </c:pt>
                <c:pt idx="73">
                  <c:v>100.88966652746389</c:v>
                </c:pt>
                <c:pt idx="74">
                  <c:v>152.07690548816228</c:v>
                </c:pt>
                <c:pt idx="75">
                  <c:v>164.16326699435419</c:v>
                </c:pt>
                <c:pt idx="76">
                  <c:v>156.23888298457661</c:v>
                </c:pt>
                <c:pt idx="77">
                  <c:v>135.75285271576826</c:v>
                </c:pt>
                <c:pt idx="78">
                  <c:v>126.70455463803174</c:v>
                </c:pt>
                <c:pt idx="79">
                  <c:v>117.19802911331773</c:v>
                </c:pt>
                <c:pt idx="80">
                  <c:v>98.154094442414916</c:v>
                </c:pt>
                <c:pt idx="81">
                  <c:v>72.663092020679144</c:v>
                </c:pt>
                <c:pt idx="82">
                  <c:v>65.854477606270748</c:v>
                </c:pt>
                <c:pt idx="83">
                  <c:v>60.345219542212263</c:v>
                </c:pt>
                <c:pt idx="84">
                  <c:v>56.290567829731557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濃度回帰式!$P$55</c:f>
              <c:strCache>
                <c:ptCount val="1"/>
                <c:pt idx="0">
                  <c:v>Cs-137:事故日1200から減衰</c:v>
                </c:pt>
              </c:strCache>
            </c:strRef>
          </c:tx>
          <c:marker>
            <c:symbol val="none"/>
          </c:marker>
          <c:cat>
            <c:numRef>
              <c:f>濃度回帰式!$E$62:$E$146</c:f>
              <c:numCache>
                <c:formatCode>[$-411]m\.d\.ge</c:formatCode>
                <c:ptCount val="85"/>
                <c:pt idx="0">
                  <c:v>40616</c:v>
                </c:pt>
                <c:pt idx="1">
                  <c:v>41000</c:v>
                </c:pt>
                <c:pt idx="2">
                  <c:v>41030</c:v>
                </c:pt>
                <c:pt idx="3">
                  <c:v>41061</c:v>
                </c:pt>
                <c:pt idx="4">
                  <c:v>41091</c:v>
                </c:pt>
                <c:pt idx="5">
                  <c:v>41122</c:v>
                </c:pt>
                <c:pt idx="6">
                  <c:v>41153</c:v>
                </c:pt>
                <c:pt idx="7">
                  <c:v>41183</c:v>
                </c:pt>
                <c:pt idx="8">
                  <c:v>41214</c:v>
                </c:pt>
                <c:pt idx="9">
                  <c:v>41244</c:v>
                </c:pt>
                <c:pt idx="10">
                  <c:v>41275</c:v>
                </c:pt>
                <c:pt idx="11">
                  <c:v>41306</c:v>
                </c:pt>
                <c:pt idx="12">
                  <c:v>41334</c:v>
                </c:pt>
                <c:pt idx="13">
                  <c:v>41365</c:v>
                </c:pt>
                <c:pt idx="14">
                  <c:v>41395</c:v>
                </c:pt>
                <c:pt idx="15">
                  <c:v>41426</c:v>
                </c:pt>
                <c:pt idx="16">
                  <c:v>41456</c:v>
                </c:pt>
                <c:pt idx="17">
                  <c:v>41487</c:v>
                </c:pt>
                <c:pt idx="18">
                  <c:v>41518</c:v>
                </c:pt>
                <c:pt idx="19">
                  <c:v>41548</c:v>
                </c:pt>
                <c:pt idx="20">
                  <c:v>41579</c:v>
                </c:pt>
                <c:pt idx="21">
                  <c:v>41609</c:v>
                </c:pt>
                <c:pt idx="22">
                  <c:v>41640</c:v>
                </c:pt>
                <c:pt idx="23">
                  <c:v>41671</c:v>
                </c:pt>
                <c:pt idx="24">
                  <c:v>41699</c:v>
                </c:pt>
                <c:pt idx="25">
                  <c:v>41730</c:v>
                </c:pt>
                <c:pt idx="26">
                  <c:v>41760</c:v>
                </c:pt>
                <c:pt idx="27">
                  <c:v>41791</c:v>
                </c:pt>
                <c:pt idx="28">
                  <c:v>41821</c:v>
                </c:pt>
                <c:pt idx="29">
                  <c:v>41852</c:v>
                </c:pt>
                <c:pt idx="30">
                  <c:v>41883</c:v>
                </c:pt>
                <c:pt idx="31">
                  <c:v>41913</c:v>
                </c:pt>
                <c:pt idx="32">
                  <c:v>41944</c:v>
                </c:pt>
                <c:pt idx="33">
                  <c:v>41974</c:v>
                </c:pt>
                <c:pt idx="34">
                  <c:v>42005</c:v>
                </c:pt>
                <c:pt idx="35">
                  <c:v>42036</c:v>
                </c:pt>
                <c:pt idx="36">
                  <c:v>42064</c:v>
                </c:pt>
                <c:pt idx="37">
                  <c:v>42095</c:v>
                </c:pt>
                <c:pt idx="38">
                  <c:v>42125</c:v>
                </c:pt>
                <c:pt idx="39">
                  <c:v>42156</c:v>
                </c:pt>
                <c:pt idx="40">
                  <c:v>42186</c:v>
                </c:pt>
                <c:pt idx="41">
                  <c:v>42217</c:v>
                </c:pt>
                <c:pt idx="42">
                  <c:v>42248</c:v>
                </c:pt>
                <c:pt idx="43">
                  <c:v>42278</c:v>
                </c:pt>
                <c:pt idx="44">
                  <c:v>42309</c:v>
                </c:pt>
                <c:pt idx="45">
                  <c:v>42339</c:v>
                </c:pt>
                <c:pt idx="46">
                  <c:v>42370</c:v>
                </c:pt>
                <c:pt idx="47">
                  <c:v>42401</c:v>
                </c:pt>
                <c:pt idx="48">
                  <c:v>42430</c:v>
                </c:pt>
                <c:pt idx="49">
                  <c:v>42461</c:v>
                </c:pt>
                <c:pt idx="50">
                  <c:v>42491</c:v>
                </c:pt>
                <c:pt idx="51">
                  <c:v>42522</c:v>
                </c:pt>
                <c:pt idx="52">
                  <c:v>42552</c:v>
                </c:pt>
                <c:pt idx="53">
                  <c:v>42583</c:v>
                </c:pt>
                <c:pt idx="54">
                  <c:v>42614</c:v>
                </c:pt>
                <c:pt idx="55">
                  <c:v>42644</c:v>
                </c:pt>
                <c:pt idx="56">
                  <c:v>42675</c:v>
                </c:pt>
                <c:pt idx="57">
                  <c:v>42705</c:v>
                </c:pt>
                <c:pt idx="58">
                  <c:v>42736</c:v>
                </c:pt>
                <c:pt idx="59">
                  <c:v>42767</c:v>
                </c:pt>
                <c:pt idx="60">
                  <c:v>42795</c:v>
                </c:pt>
                <c:pt idx="61">
                  <c:v>42826</c:v>
                </c:pt>
                <c:pt idx="62">
                  <c:v>42856</c:v>
                </c:pt>
                <c:pt idx="63">
                  <c:v>42887</c:v>
                </c:pt>
                <c:pt idx="64">
                  <c:v>42917</c:v>
                </c:pt>
                <c:pt idx="65">
                  <c:v>42948</c:v>
                </c:pt>
                <c:pt idx="66">
                  <c:v>42979</c:v>
                </c:pt>
                <c:pt idx="67">
                  <c:v>43009</c:v>
                </c:pt>
                <c:pt idx="68">
                  <c:v>43040</c:v>
                </c:pt>
                <c:pt idx="69">
                  <c:v>43070</c:v>
                </c:pt>
                <c:pt idx="70">
                  <c:v>43101</c:v>
                </c:pt>
                <c:pt idx="71">
                  <c:v>43132</c:v>
                </c:pt>
                <c:pt idx="72">
                  <c:v>43160</c:v>
                </c:pt>
                <c:pt idx="73">
                  <c:v>43191</c:v>
                </c:pt>
                <c:pt idx="74">
                  <c:v>43221</c:v>
                </c:pt>
                <c:pt idx="75">
                  <c:v>43252</c:v>
                </c:pt>
                <c:pt idx="76">
                  <c:v>43282</c:v>
                </c:pt>
                <c:pt idx="77">
                  <c:v>43313</c:v>
                </c:pt>
                <c:pt idx="78">
                  <c:v>43344</c:v>
                </c:pt>
                <c:pt idx="79">
                  <c:v>43374</c:v>
                </c:pt>
                <c:pt idx="80">
                  <c:v>43405</c:v>
                </c:pt>
                <c:pt idx="81">
                  <c:v>43435</c:v>
                </c:pt>
                <c:pt idx="82">
                  <c:v>43466</c:v>
                </c:pt>
                <c:pt idx="83">
                  <c:v>43497</c:v>
                </c:pt>
                <c:pt idx="84">
                  <c:v>43525</c:v>
                </c:pt>
              </c:numCache>
            </c:numRef>
          </c:cat>
          <c:val>
            <c:numRef>
              <c:f>濃度回帰式!$P$62:$P$146</c:f>
              <c:numCache>
                <c:formatCode>0</c:formatCode>
                <c:ptCount val="85"/>
                <c:pt idx="0">
                  <c:v>1200</c:v>
                </c:pt>
                <c:pt idx="1">
                  <c:v>576.83092372613953</c:v>
                </c:pt>
                <c:pt idx="2">
                  <c:v>544.908013145724</c:v>
                </c:pt>
                <c:pt idx="3">
                  <c:v>513.77583790499762</c:v>
                </c:pt>
                <c:pt idx="4">
                  <c:v>485.34251462566851</c:v>
                </c:pt>
                <c:pt idx="5">
                  <c:v>457.61348907900185</c:v>
                </c:pt>
                <c:pt idx="6">
                  <c:v>431.46870318700604</c:v>
                </c:pt>
                <c:pt idx="7">
                  <c:v>407.59041188266207</c:v>
                </c:pt>
                <c:pt idx="8">
                  <c:v>384.30358947768934</c:v>
                </c:pt>
                <c:pt idx="9">
                  <c:v>363.03550446695323</c:v>
                </c:pt>
                <c:pt idx="10">
                  <c:v>342.29423314957177</c:v>
                </c:pt>
                <c:pt idx="11">
                  <c:v>322.73797082047895</c:v>
                </c:pt>
                <c:pt idx="12">
                  <c:v>306.0363966679954</c:v>
                </c:pt>
                <c:pt idx="13">
                  <c:v>288.55164969922481</c:v>
                </c:pt>
                <c:pt idx="14">
                  <c:v>272.58265751746552</c:v>
                </c:pt>
                <c:pt idx="15">
                  <c:v>257.00921969549813</c:v>
                </c:pt>
                <c:pt idx="16">
                  <c:v>242.78584504407786</c:v>
                </c:pt>
                <c:pt idx="17">
                  <c:v>228.91478554130859</c:v>
                </c:pt>
                <c:pt idx="18">
                  <c:v>215.83621989951558</c:v>
                </c:pt>
                <c:pt idx="19">
                  <c:v>203.89143666327854</c:v>
                </c:pt>
                <c:pt idx="20">
                  <c:v>192.24252752053997</c:v>
                </c:pt>
                <c:pt idx="21">
                  <c:v>181.60346369201193</c:v>
                </c:pt>
                <c:pt idx="22">
                  <c:v>171.22793108909769</c:v>
                </c:pt>
                <c:pt idx="23">
                  <c:v>161.44518275695441</c:v>
                </c:pt>
                <c:pt idx="24">
                  <c:v>153.09045249536908</c:v>
                </c:pt>
                <c:pt idx="25">
                  <c:v>144.34395092117873</c:v>
                </c:pt>
                <c:pt idx="26">
                  <c:v>136.35568460508864</c:v>
                </c:pt>
                <c:pt idx="27">
                  <c:v>128.56528885794515</c:v>
                </c:pt>
                <c:pt idx="28">
                  <c:v>121.45024344143765</c:v>
                </c:pt>
                <c:pt idx="29">
                  <c:v>114.51143877967435</c:v>
                </c:pt>
                <c:pt idx="30">
                  <c:v>107.96906815352763</c:v>
                </c:pt>
                <c:pt idx="31">
                  <c:v>101.99385641236198</c:v>
                </c:pt>
                <c:pt idx="32">
                  <c:v>96.166651572821493</c:v>
                </c:pt>
                <c:pt idx="33">
                  <c:v>90.844607811459895</c:v>
                </c:pt>
                <c:pt idx="34">
                  <c:v>85.654391881739102</c:v>
                </c:pt>
                <c:pt idx="35">
                  <c:v>80.760708041771352</c:v>
                </c:pt>
                <c:pt idx="36">
                  <c:v>76.581370387334019</c:v>
                </c:pt>
                <c:pt idx="37">
                  <c:v>72.206054580708368</c:v>
                </c:pt>
                <c:pt idx="38">
                  <c:v>68.210035419920615</c:v>
                </c:pt>
                <c:pt idx="39">
                  <c:v>64.312998260180336</c:v>
                </c:pt>
                <c:pt idx="40">
                  <c:v>60.753795713694004</c:v>
                </c:pt>
                <c:pt idx="41">
                  <c:v>57.282755154427697</c:v>
                </c:pt>
                <c:pt idx="42">
                  <c:v>54.010025209708829</c:v>
                </c:pt>
                <c:pt idx="43">
                  <c:v>51.021008611780928</c:v>
                </c:pt>
                <c:pt idx="44">
                  <c:v>48.106030408596013</c:v>
                </c:pt>
                <c:pt idx="45">
                  <c:v>45.44375201132781</c:v>
                </c:pt>
                <c:pt idx="46">
                  <c:v>42.847418653986558</c:v>
                </c:pt>
                <c:pt idx="47">
                  <c:v>40.39942135174843</c:v>
                </c:pt>
                <c:pt idx="48">
                  <c:v>38.236134659234203</c:v>
                </c:pt>
                <c:pt idx="49">
                  <c:v>36.051593386171731</c:v>
                </c:pt>
                <c:pt idx="50">
                  <c:v>34.056430254982452</c:v>
                </c:pt>
                <c:pt idx="51">
                  <c:v>32.110687617338115</c:v>
                </c:pt>
                <c:pt idx="52">
                  <c:v>30.333621639560175</c:v>
                </c:pt>
                <c:pt idx="53">
                  <c:v>28.600573855738844</c:v>
                </c:pt>
                <c:pt idx="54">
                  <c:v>26.966540118334276</c:v>
                </c:pt>
                <c:pt idx="55">
                  <c:v>25.474160959290661</c:v>
                </c:pt>
                <c:pt idx="56">
                  <c:v>24.018748258499592</c:v>
                </c:pt>
                <c:pt idx="57">
                  <c:v>22.689505457235327</c:v>
                </c:pt>
                <c:pt idx="58">
                  <c:v>21.393188201883877</c:v>
                </c:pt>
                <c:pt idx="59">
                  <c:v>20.170933311165683</c:v>
                </c:pt>
                <c:pt idx="60">
                  <c:v>19.127094752086979</c:v>
                </c:pt>
                <c:pt idx="61">
                  <c:v>18.034308352726946</c:v>
                </c:pt>
                <c:pt idx="62">
                  <c:v>17.036255735844243</c:v>
                </c:pt>
                <c:pt idx="63">
                  <c:v>16.062925033745909</c:v>
                </c:pt>
                <c:pt idx="64">
                  <c:v>15.173972485571428</c:v>
                </c:pt>
                <c:pt idx="65">
                  <c:v>14.307039426922424</c:v>
                </c:pt>
                <c:pt idx="66">
                  <c:v>13.489636768364312</c:v>
                </c:pt>
                <c:pt idx="67">
                  <c:v>12.743094843155014</c:v>
                </c:pt>
                <c:pt idx="68">
                  <c:v>12.015044874728128</c:v>
                </c:pt>
                <c:pt idx="69">
                  <c:v>11.350109644352496</c:v>
                </c:pt>
                <c:pt idx="70">
                  <c:v>10.701644960543659</c:v>
                </c:pt>
                <c:pt idx="71">
                  <c:v>10.09022894492602</c:v>
                </c:pt>
                <c:pt idx="72">
                  <c:v>9.5680632186224521</c:v>
                </c:pt>
                <c:pt idx="73">
                  <c:v>9.0214120157581537</c:v>
                </c:pt>
                <c:pt idx="74">
                  <c:v>8.5221500704591477</c:v>
                </c:pt>
                <c:pt idx="75">
                  <c:v>8.0352549193130525</c:v>
                </c:pt>
                <c:pt idx="76">
                  <c:v>7.5905687665265305</c:v>
                </c:pt>
                <c:pt idx="77">
                  <c:v>7.156897557229974</c:v>
                </c:pt>
                <c:pt idx="78">
                  <c:v>6.7480032419393199</c:v>
                </c:pt>
                <c:pt idx="79">
                  <c:v>6.3745560233032865</c:v>
                </c:pt>
                <c:pt idx="80">
                  <c:v>6.0103591489471091</c:v>
                </c:pt>
                <c:pt idx="81">
                  <c:v>5.6777345447934104</c:v>
                </c:pt>
                <c:pt idx="82">
                  <c:v>5.3533491025636142</c:v>
                </c:pt>
                <c:pt idx="83">
                  <c:v>5.0474967414950562</c:v>
                </c:pt>
                <c:pt idx="84">
                  <c:v>4.7862905967759062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0888832"/>
        <c:axId val="280890368"/>
      </c:lineChart>
      <c:dateAx>
        <c:axId val="280888832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ajorGridlines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ja-JP"/>
          </a:p>
        </c:txPr>
        <c:crossAx val="280890368"/>
        <c:crosses val="autoZero"/>
        <c:auto val="0"/>
        <c:lblOffset val="100"/>
        <c:baseTimeUnit val="days"/>
        <c:majorUnit val="6"/>
        <c:majorTimeUnit val="months"/>
      </c:dateAx>
      <c:valAx>
        <c:axId val="280890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ysClr val="window" lastClr="FFFFFF">
                  <a:lumMod val="85000"/>
                </a:sysClr>
              </a:solidFill>
              <a:prstDash val="solid"/>
            </a:ln>
          </c:spPr>
        </c:min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280888832"/>
        <c:crosses val="autoZero"/>
        <c:crossBetween val="between"/>
        <c:majorUnit val="5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27289817648419867"/>
          <c:y val="5.7577241086361648E-2"/>
          <c:w val="0.62969330489865238"/>
          <c:h val="0.1483354797907023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>
              <a:lumMod val="50000"/>
              <a:lumOff val="50000"/>
            </a:sysClr>
          </a:solidFill>
        </a:ln>
      </c:spPr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19424</xdr:colOff>
      <xdr:row>2</xdr:row>
      <xdr:rowOff>91017</xdr:rowOff>
    </xdr:from>
    <xdr:to>
      <xdr:col>16</xdr:col>
      <xdr:colOff>342900</xdr:colOff>
      <xdr:row>51</xdr:row>
      <xdr:rowOff>12700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95250</xdr:colOff>
      <xdr:row>55</xdr:row>
      <xdr:rowOff>101600</xdr:rowOff>
    </xdr:from>
    <xdr:to>
      <xdr:col>16</xdr:col>
      <xdr:colOff>190500</xdr:colOff>
      <xdr:row>85</xdr:row>
      <xdr:rowOff>114300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107950</xdr:colOff>
      <xdr:row>86</xdr:row>
      <xdr:rowOff>88900</xdr:rowOff>
    </xdr:from>
    <xdr:to>
      <xdr:col>16</xdr:col>
      <xdr:colOff>203200</xdr:colOff>
      <xdr:row>116</xdr:row>
      <xdr:rowOff>101600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342900</xdr:colOff>
      <xdr:row>38</xdr:row>
      <xdr:rowOff>50800</xdr:rowOff>
    </xdr:from>
    <xdr:to>
      <xdr:col>34</xdr:col>
      <xdr:colOff>139700</xdr:colOff>
      <xdr:row>65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85</xdr:row>
      <xdr:rowOff>228600</xdr:rowOff>
    </xdr:from>
    <xdr:to>
      <xdr:col>11</xdr:col>
      <xdr:colOff>342900</xdr:colOff>
      <xdr:row>85</xdr:row>
      <xdr:rowOff>666750</xdr:rowOff>
    </xdr:to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247650" y="13182600"/>
          <a:ext cx="537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搦空闘諭●jl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l</a:t>
          </a:r>
          <a:r>
            <a:rPr lang="ja-JP" altLang="en-US" sz="6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定咎・：平虚29年4月～12月シンチレーション式pA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-</a:t>
          </a:r>
          <a:r>
            <a:rPr lang="ja-JP" altLang="en-US" sz="6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1000　平虚30年3月19曰～NalシンチレーションサーペイメータTCS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-</a:t>
          </a:r>
          <a:r>
            <a:rPr lang="ja-JP" altLang="en-US" sz="6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172B</a:t>
          </a:r>
        </a:p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搦排カス申放射挫麹偏里度測定植‐：ゲルマニウム単簒4ね●・alORTEC社‐GEM25p4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-</a:t>
          </a:r>
          <a:r>
            <a:rPr lang="ja-JP" altLang="en-US" sz="6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76/GEM45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-</a:t>
          </a:r>
          <a:r>
            <a:rPr lang="ja-JP" altLang="en-US" sz="6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ﾌ6</a:t>
          </a:r>
        </a:p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※圖化灰・スラづ測定瘤器申放封き撫冒羞崖測定惑器：ゲルマニウム単暮休檎出器ORnΞCli彊(i≡M45-76</a:t>
          </a:r>
        </a:p>
      </xdr:txBody>
    </xdr:sp>
    <xdr:clientData/>
  </xdr:twoCellAnchor>
  <xdr:twoCellAnchor>
    <xdr:from>
      <xdr:col>21</xdr:col>
      <xdr:colOff>285750</xdr:colOff>
      <xdr:row>154</xdr:row>
      <xdr:rowOff>266700</xdr:rowOff>
    </xdr:from>
    <xdr:to>
      <xdr:col>22</xdr:col>
      <xdr:colOff>638175</xdr:colOff>
      <xdr:row>154</xdr:row>
      <xdr:rowOff>266700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086850" y="2373630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141</xdr:row>
      <xdr:rowOff>219075</xdr:rowOff>
    </xdr:from>
    <xdr:to>
      <xdr:col>13</xdr:col>
      <xdr:colOff>152400</xdr:colOff>
      <xdr:row>141</xdr:row>
      <xdr:rowOff>1095375</xdr:rowOff>
    </xdr:to>
    <xdr:sp macro="" textlink="">
      <xdr:nvSpPr>
        <xdr:cNvPr id="4" name="Text Box 20"/>
        <xdr:cNvSpPr txBox="1">
          <a:spLocks noChangeArrowheads="1"/>
        </xdr:cNvSpPr>
      </xdr:nvSpPr>
      <xdr:spPr bwMode="auto">
        <a:xfrm>
          <a:off x="247650" y="21755100"/>
          <a:ext cx="5886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969696"/>
              </a:solidFill>
              <a:latin typeface="ＭＳ ゴシック"/>
              <a:ea typeface="ＭＳ ゴシック"/>
            </a:rPr>
            <a:t>※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空</a:t>
          </a:r>
          <a:r>
            <a:rPr lang="ja-JP" altLang="en-US" sz="1200" b="0" i="0" u="none" strike="noStrike" baseline="0">
              <a:solidFill>
                <a:srgbClr val="808080"/>
              </a:solidFill>
              <a:latin typeface="ＭＳ ゴシック"/>
              <a:ea typeface="ＭＳ ゴシック"/>
            </a:rPr>
            <a:t>腫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纏皿灘定皿</a:t>
          </a:r>
          <a:r>
            <a:rPr lang="ja-JP" altLang="en-US" sz="1200" b="0" i="0" u="none" strike="noStrike" baseline="0">
              <a:solidFill>
                <a:srgbClr val="969696"/>
              </a:solidFill>
              <a:latin typeface="ＭＳ ゴシック"/>
              <a:ea typeface="ＭＳ ゴシック"/>
            </a:rPr>
            <a:t>：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早盧</a:t>
          </a:r>
          <a:r>
            <a:rPr lang="ja-JP" altLang="en-US" sz="1200" b="0" i="0" u="none" strike="noStrike" baseline="0">
              <a:solidFill>
                <a:srgbClr val="808080"/>
              </a:solidFill>
              <a:latin typeface="ＭＳ ゴシック"/>
              <a:ea typeface="ＭＳ ゴシック"/>
            </a:rPr>
            <a:t>2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9年</a:t>
          </a:r>
          <a:r>
            <a:rPr lang="ja-JP" altLang="en-US" sz="1200" b="0" i="0" u="none" strike="noStrike" baseline="0">
              <a:solidFill>
                <a:srgbClr val="808080"/>
              </a:solidFill>
              <a:latin typeface="ＭＳ ゴシック"/>
              <a:ea typeface="ＭＳ ゴシック"/>
            </a:rPr>
            <a:t>4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月</a:t>
          </a:r>
          <a:r>
            <a:rPr lang="ja-JP" altLang="en-US" sz="1200" b="0" i="0" u="none" strike="noStrike" baseline="0">
              <a:solidFill>
                <a:srgbClr val="969696"/>
              </a:solidFill>
              <a:latin typeface="ＭＳ ゴシック"/>
              <a:ea typeface="ＭＳ ゴシック"/>
            </a:rPr>
            <a:t>～</a:t>
          </a:r>
          <a:r>
            <a:rPr lang="ja-JP" altLang="en-US" sz="1200" b="0" i="0" u="none" strike="noStrike" baseline="0">
              <a:solidFill>
                <a:srgbClr val="808080"/>
              </a:solidFill>
              <a:latin typeface="ＭＳ ゴシック"/>
              <a:ea typeface="ＭＳ ゴシック"/>
            </a:rPr>
            <a:t>12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月</a:t>
          </a:r>
          <a:r>
            <a:rPr lang="ja-JP" altLang="en-US" sz="1200" b="0" i="0" u="none" strike="noStrike" baseline="0">
              <a:solidFill>
                <a:srgbClr val="808080"/>
              </a:solidFill>
              <a:latin typeface="ＭＳ ゴシック"/>
              <a:ea typeface="ＭＳ ゴシック"/>
            </a:rPr>
            <a:t>シン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チ</a:t>
          </a:r>
          <a:r>
            <a:rPr lang="ja-JP" altLang="en-US" sz="1200" b="0" i="0" u="none" strike="noStrike" baseline="0">
              <a:solidFill>
                <a:srgbClr val="808080"/>
              </a:solidFill>
              <a:latin typeface="ＭＳ ゴシック"/>
              <a:ea typeface="ＭＳ ゴシック"/>
            </a:rPr>
            <a:t>レーション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i</a:t>
          </a:r>
          <a:r>
            <a:rPr lang="ja-JP" altLang="en-US" sz="1200" b="0" i="0" u="none" strike="noStrike" baseline="0">
              <a:solidFill>
                <a:srgbClr val="808080"/>
              </a:solidFill>
              <a:latin typeface="ＭＳ ゴシック"/>
              <a:ea typeface="ＭＳ ゴシック"/>
            </a:rPr>
            <a:t>: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p</a:t>
          </a:r>
          <a:r>
            <a:rPr lang="ja-JP" altLang="en-US" sz="1200" b="0" i="0" u="none" strike="noStrike" baseline="0">
              <a:solidFill>
                <a:srgbClr val="808080"/>
              </a:solidFill>
              <a:latin typeface="ＭＳ ゴシック"/>
              <a:ea typeface="ＭＳ ゴシック"/>
            </a:rPr>
            <a:t>A</a:t>
          </a:r>
          <a:r>
            <a:rPr lang="ja-JP" altLang="en-US" sz="1200" b="0" i="0" u="none" strike="noStrike" baseline="0">
              <a:solidFill>
                <a:srgbClr val="969696"/>
              </a:solidFill>
              <a:latin typeface="ＭＳ ゴシック"/>
              <a:ea typeface="ＭＳ ゴシック"/>
            </a:rPr>
            <a:t>-</a:t>
          </a:r>
          <a:r>
            <a:rPr lang="ja-JP" altLang="en-US" sz="1200" b="0" i="0" u="none" strike="noStrike" baseline="0">
              <a:solidFill>
                <a:srgbClr val="808080"/>
              </a:solidFill>
              <a:latin typeface="ＭＳ ゴシック"/>
              <a:ea typeface="ＭＳ ゴシック"/>
            </a:rPr>
            <a:t>1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α》</a:t>
          </a:r>
          <a:r>
            <a:rPr lang="ja-JP" altLang="en-US" sz="1200" b="0" i="0" u="none" strike="noStrike" baseline="0">
              <a:solidFill>
                <a:srgbClr val="808080"/>
              </a:solidFill>
              <a:latin typeface="ＭＳ ゴシック"/>
              <a:ea typeface="ＭＳ ゴシック"/>
            </a:rPr>
            <a:t>○　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平盛30年1</a:t>
          </a:r>
          <a:r>
            <a:rPr lang="ja-JP" altLang="en-US" sz="1200" b="0" i="0" u="none" strike="noStrike" baseline="0">
              <a:solidFill>
                <a:srgbClr val="808080"/>
              </a:solidFill>
              <a:latin typeface="ＭＳ ゴシック"/>
              <a:ea typeface="ＭＳ ゴシック"/>
            </a:rPr>
            <a:t>月19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日</a:t>
          </a:r>
          <a:r>
            <a:rPr lang="ja-JP" altLang="en-US" sz="1200" b="0" i="0" u="none" strike="noStrike" baseline="0">
              <a:solidFill>
                <a:srgbClr val="969696"/>
              </a:solidFill>
              <a:latin typeface="ＭＳ ゴシック"/>
              <a:ea typeface="ＭＳ ゴシック"/>
            </a:rPr>
            <a:t>～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Ng</a:t>
          </a:r>
          <a:r>
            <a:rPr lang="ja-JP" altLang="en-US" sz="1200" b="0" i="0" u="none" strike="noStrike" baseline="0">
              <a:solidFill>
                <a:srgbClr val="808080"/>
              </a:solidFill>
              <a:latin typeface="ＭＳ ゴシック"/>
              <a:ea typeface="ＭＳ ゴシック"/>
            </a:rPr>
            <a:t>シンチ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レ</a:t>
          </a:r>
          <a:r>
            <a:rPr lang="ja-JP" altLang="en-US" sz="1200" b="0" i="0" u="none" strike="noStrike" baseline="0">
              <a:solidFill>
                <a:srgbClr val="808080"/>
              </a:solidFill>
              <a:latin typeface="ＭＳ ゴシック"/>
              <a:ea typeface="ＭＳ ゴシック"/>
            </a:rPr>
            <a:t>ーション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!</a:t>
          </a:r>
          <a:r>
            <a:rPr lang="ja-JP" altLang="en-US" sz="1200" b="0" i="0" u="none" strike="noStrike" baseline="0">
              <a:solidFill>
                <a:srgbClr val="808080"/>
              </a:solidFill>
              <a:latin typeface="ＭＳ ゴシック"/>
              <a:ea typeface="ＭＳ ゴシック"/>
            </a:rPr>
            <a:t>i－ペ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イメ</a:t>
          </a:r>
          <a:r>
            <a:rPr lang="ja-JP" altLang="en-US" sz="1200" b="0" i="0" u="none" strike="noStrike" baseline="0">
              <a:solidFill>
                <a:srgbClr val="808080"/>
              </a:solidFill>
              <a:latin typeface="ＭＳ ゴシック"/>
              <a:ea typeface="ＭＳ ゴシック"/>
            </a:rPr>
            <a:t>ータT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て</a:t>
          </a:r>
          <a:r>
            <a:rPr lang="ja-JP" altLang="en-US" sz="1200" b="0" i="0" u="none" strike="noStrike" baseline="0">
              <a:solidFill>
                <a:srgbClr val="808080"/>
              </a:solidFill>
              <a:latin typeface="ＭＳ ゴシック"/>
              <a:ea typeface="ＭＳ ゴシック"/>
            </a:rPr>
            <a:t>S</a:t>
          </a:r>
          <a:r>
            <a:rPr lang="ja-JP" altLang="en-US" sz="1200" b="0" i="0" u="none" strike="noStrike" baseline="0">
              <a:solidFill>
                <a:srgbClr val="969696"/>
              </a:solidFill>
              <a:latin typeface="ＭＳ ゴシック"/>
              <a:ea typeface="ＭＳ ゴシック"/>
            </a:rPr>
            <a:t>-</a:t>
          </a:r>
          <a:r>
            <a:rPr lang="ja-JP" altLang="en-US" sz="1200" b="0" i="0" u="none" strike="noStrike" baseline="0">
              <a:solidFill>
                <a:srgbClr val="808080"/>
              </a:solidFill>
              <a:latin typeface="ＭＳ ゴシック"/>
              <a:ea typeface="ＭＳ ゴシック"/>
            </a:rPr>
            <a:t>172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B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808080"/>
              </a:solidFill>
              <a:latin typeface="ＭＳ ゴシック"/>
              <a:ea typeface="ＭＳ ゴシック"/>
            </a:rPr>
            <a:t>※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排ガ</a:t>
          </a:r>
          <a:r>
            <a:rPr lang="ja-JP" altLang="en-US" sz="1200" b="0" i="0" u="none" strike="noStrike" baseline="0">
              <a:solidFill>
                <a:srgbClr val="808080"/>
              </a:solidFill>
              <a:latin typeface="ＭＳ ゴシック"/>
              <a:ea typeface="ＭＳ ゴシック"/>
            </a:rPr>
            <a:t>ス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申放劃挫飽蜀童度測定摺‐：</a:t>
          </a:r>
          <a:r>
            <a:rPr lang="ja-JP" altLang="en-US" sz="1200" b="0" i="0" u="none" strike="noStrike" baseline="0">
              <a:solidFill>
                <a:srgbClr val="808080"/>
              </a:solidFill>
              <a:latin typeface="ＭＳ ゴシック"/>
              <a:ea typeface="ＭＳ ゴシック"/>
            </a:rPr>
            <a:t>ゲj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し</a:t>
          </a:r>
          <a:r>
            <a:rPr lang="ja-JP" altLang="en-US" sz="1200" b="0" i="0" u="none" strike="noStrike" baseline="0">
              <a:solidFill>
                <a:srgbClr val="808080"/>
              </a:solidFill>
              <a:latin typeface="ＭＳ ゴシック"/>
              <a:ea typeface="ＭＳ ゴシック"/>
            </a:rPr>
            <a:t>マ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ニウム</a:t>
          </a:r>
          <a:r>
            <a:rPr lang="ja-JP" altLang="en-US" sz="1200" b="0" i="0" u="none" strike="noStrike" baseline="0">
              <a:solidFill>
                <a:srgbClr val="808080"/>
              </a:solidFill>
              <a:latin typeface="ＭＳ ゴシック"/>
              <a:ea typeface="ＭＳ ゴシック"/>
            </a:rPr>
            <a:t>串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嘉偉栽出‐ORTE社‐GEM25p4-76</a:t>
          </a:r>
          <a:r>
            <a:rPr lang="ja-JP" altLang="en-US" sz="1200" b="0" i="0" u="none" strike="noStrike" baseline="0">
              <a:solidFill>
                <a:srgbClr val="808080"/>
              </a:solidFill>
              <a:latin typeface="ＭＳ ゴシック"/>
              <a:ea typeface="ＭＳ ゴシック"/>
            </a:rPr>
            <a:t>/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GEM45-76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969696"/>
              </a:solidFill>
              <a:latin typeface="ＭＳ ゴシック"/>
              <a:ea typeface="ＭＳ ゴシック"/>
            </a:rPr>
            <a:t>※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－</a:t>
          </a:r>
          <a:r>
            <a:rPr lang="ja-JP" altLang="en-US" sz="1200" b="0" i="0" u="none" strike="noStrike" baseline="0">
              <a:solidFill>
                <a:srgbClr val="808080"/>
              </a:solidFill>
              <a:latin typeface="ＭＳ ゴシック"/>
              <a:ea typeface="ＭＳ ゴシック"/>
            </a:rPr>
            <a:t>ﾋ反・スラヴ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鮭1</a:t>
          </a:r>
          <a:r>
            <a:rPr lang="ja-JP" altLang="en-US" sz="1200" b="0" i="0" u="none" strike="noStrike" baseline="0">
              <a:solidFill>
                <a:srgbClr val="808080"/>
              </a:solidFill>
              <a:latin typeface="ＭＳ ゴシック"/>
              <a:ea typeface="ＭＳ ゴシック"/>
            </a:rPr>
            <a:t>き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桓樋</a:t>
          </a:r>
          <a:r>
            <a:rPr lang="ja-JP" altLang="en-US" sz="1200" b="0" i="0" u="none" strike="noStrike" baseline="0">
              <a:solidFill>
                <a:srgbClr val="808080"/>
              </a:solidFill>
              <a:latin typeface="ＭＳ ゴシック"/>
              <a:ea typeface="ＭＳ ゴシック"/>
            </a:rPr>
            <a:t>申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皿植槽</a:t>
          </a:r>
          <a:r>
            <a:rPr lang="ja-JP" altLang="en-US" sz="1200" b="0" i="0" u="none" strike="noStrike" baseline="0">
              <a:solidFill>
                <a:srgbClr val="C0C0C0"/>
              </a:solidFill>
              <a:latin typeface="ＭＳ ゴシック"/>
              <a:ea typeface="ＭＳ ゴシック"/>
            </a:rPr>
            <a:t>ｚ</a:t>
          </a:r>
          <a:r>
            <a:rPr lang="ja-JP" altLang="en-US" sz="1200" b="0" i="0" u="none" strike="noStrike" baseline="0">
              <a:solidFill>
                <a:srgbClr val="808080"/>
              </a:solidFill>
              <a:latin typeface="ＭＳ ゴシック"/>
              <a:ea typeface="ＭＳ ゴシック"/>
            </a:rPr>
            <a:t>クリレマニウム半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馨休槍出器</a:t>
          </a:r>
          <a:r>
            <a:rPr lang="ja-JP" altLang="en-US" sz="1200" b="0" i="0" u="none" strike="noStrike" baseline="0">
              <a:solidFill>
                <a:srgbClr val="808080"/>
              </a:solidFill>
              <a:latin typeface="ＭＳ ゴシック"/>
              <a:ea typeface="ＭＳ ゴシック"/>
            </a:rPr>
            <a:t>O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RrB</a:t>
          </a:r>
          <a:r>
            <a:rPr lang="ja-JP" altLang="en-US" sz="1200" b="0" i="0" u="none" strike="noStrike" baseline="0">
              <a:solidFill>
                <a:srgbClr val="808080"/>
              </a:solidFill>
              <a:latin typeface="ＭＳ ゴシック"/>
              <a:ea typeface="ＭＳ ゴシック"/>
            </a:rPr>
            <a:t>こ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社羞</a:t>
          </a:r>
          <a:r>
            <a:rPr lang="ja-JP" altLang="en-US" sz="1200" b="0" i="0" u="none" strike="noStrike" baseline="0">
              <a:solidFill>
                <a:srgbClr val="808080"/>
              </a:solidFill>
              <a:latin typeface="ＭＳ ゴシック"/>
              <a:ea typeface="ＭＳ ゴシック"/>
            </a:rPr>
            <a:t>GEM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45</a:t>
          </a:r>
          <a:r>
            <a:rPr lang="ja-JP" altLang="en-US" sz="1200" b="0" i="0" u="none" strike="noStrike" baseline="0">
              <a:solidFill>
                <a:srgbClr val="969696"/>
              </a:solidFill>
              <a:latin typeface="ＭＳ ゴシック"/>
              <a:ea typeface="ＭＳ ゴシック"/>
            </a:rPr>
            <a:t>-</a:t>
          </a:r>
          <a:r>
            <a:rPr lang="ja-JP" altLang="en-US" sz="1200" b="0" i="0" u="none" strike="noStrike" baseline="0">
              <a:solidFill>
                <a:srgbClr val="808080"/>
              </a:solidFill>
              <a:latin typeface="ＭＳ ゴシック"/>
              <a:ea typeface="ＭＳ ゴシック"/>
            </a:rPr>
            <a:t>7</a:t>
          </a:r>
          <a:r>
            <a:rPr lang="ja-JP" altLang="en-US" sz="12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S</a:t>
          </a:r>
        </a:p>
      </xdr:txBody>
    </xdr:sp>
    <xdr:clientData/>
  </xdr:twoCellAnchor>
  <xdr:twoCellAnchor>
    <xdr:from>
      <xdr:col>21</xdr:col>
      <xdr:colOff>200025</xdr:colOff>
      <xdr:row>212</xdr:row>
      <xdr:rowOff>76200</xdr:rowOff>
    </xdr:from>
    <xdr:to>
      <xdr:col>23</xdr:col>
      <xdr:colOff>38100</xdr:colOff>
      <xdr:row>212</xdr:row>
      <xdr:rowOff>76200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9001125" y="32537400"/>
          <a:ext cx="5429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197</xdr:row>
      <xdr:rowOff>228600</xdr:rowOff>
    </xdr:from>
    <xdr:to>
      <xdr:col>11</xdr:col>
      <xdr:colOff>342900</xdr:colOff>
      <xdr:row>197</xdr:row>
      <xdr:rowOff>666750</xdr:rowOff>
    </xdr:to>
    <xdr:sp macro="" textlink="">
      <xdr:nvSpPr>
        <xdr:cNvPr id="6" name="Text Box 21"/>
        <xdr:cNvSpPr txBox="1">
          <a:spLocks noChangeArrowheads="1"/>
        </xdr:cNvSpPr>
      </xdr:nvSpPr>
      <xdr:spPr bwMode="auto">
        <a:xfrm>
          <a:off x="247650" y="30327600"/>
          <a:ext cx="537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搦空闘諭●ll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l</a:t>
          </a:r>
          <a:r>
            <a:rPr lang="ja-JP" altLang="en-US" sz="6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定●・：平虚29年4月～12月シンチレーション式pA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-</a:t>
          </a:r>
          <a:r>
            <a:rPr lang="ja-JP" altLang="en-US" sz="6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1000　平虚30年3月19曰～NalシンチレーションサーペイメータTCS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-</a:t>
          </a:r>
          <a:r>
            <a:rPr lang="ja-JP" altLang="en-US" sz="6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172B</a:t>
          </a:r>
        </a:p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搦排カス申放射挫麹偏里度測定植‐：ゲルマニウム単簒4ね●・alORTEC社‐GEM25p4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-</a:t>
          </a:r>
          <a:r>
            <a:rPr lang="ja-JP" altLang="en-US" sz="6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76/GEM45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-</a:t>
          </a:r>
          <a:r>
            <a:rPr lang="ja-JP" altLang="en-US" sz="6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ﾌ6</a:t>
          </a:r>
        </a:p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※圖化灰・スラづ測定瘤器申放封き撫冒羞崖測定惑器：ゲルマニウム単暮休檎出器ORnΞCli彊(i≡M45-76</a:t>
          </a:r>
        </a:p>
      </xdr:txBody>
    </xdr:sp>
    <xdr:clientData/>
  </xdr:twoCellAnchor>
  <xdr:twoCellAnchor>
    <xdr:from>
      <xdr:col>21</xdr:col>
      <xdr:colOff>200025</xdr:colOff>
      <xdr:row>212</xdr:row>
      <xdr:rowOff>76200</xdr:rowOff>
    </xdr:from>
    <xdr:to>
      <xdr:col>23</xdr:col>
      <xdr:colOff>38100</xdr:colOff>
      <xdr:row>212</xdr:row>
      <xdr:rowOff>76200</xdr:rowOff>
    </xdr:to>
    <xdr:sp macro="" textlink="">
      <xdr:nvSpPr>
        <xdr:cNvPr id="7" name="Line 1"/>
        <xdr:cNvSpPr>
          <a:spLocks noChangeShapeType="1"/>
        </xdr:cNvSpPr>
      </xdr:nvSpPr>
      <xdr:spPr bwMode="auto">
        <a:xfrm>
          <a:off x="9001125" y="32537400"/>
          <a:ext cx="5429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197</xdr:row>
      <xdr:rowOff>228600</xdr:rowOff>
    </xdr:from>
    <xdr:to>
      <xdr:col>11</xdr:col>
      <xdr:colOff>342900</xdr:colOff>
      <xdr:row>197</xdr:row>
      <xdr:rowOff>666750</xdr:rowOff>
    </xdr:to>
    <xdr:sp macro="" textlink="">
      <xdr:nvSpPr>
        <xdr:cNvPr id="8" name="Text Box 21"/>
        <xdr:cNvSpPr txBox="1">
          <a:spLocks noChangeArrowheads="1"/>
        </xdr:cNvSpPr>
      </xdr:nvSpPr>
      <xdr:spPr bwMode="auto">
        <a:xfrm>
          <a:off x="247650" y="30327600"/>
          <a:ext cx="5372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搦空闘諭●ll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l</a:t>
          </a:r>
          <a:r>
            <a:rPr lang="ja-JP" altLang="en-US" sz="6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定●・：平虚29年4月～12月シンチレーション式pA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-</a:t>
          </a:r>
          <a:r>
            <a:rPr lang="ja-JP" altLang="en-US" sz="6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1000　平虚30年3月19曰～NalシンチレーションサーペイメータTCS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-</a:t>
          </a:r>
          <a:r>
            <a:rPr lang="ja-JP" altLang="en-US" sz="6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172B</a:t>
          </a:r>
        </a:p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搦排カス申放射挫麹偏里度測定植‐：ゲルマニウム単簒4ね●・alORTEC社‐GEM25p4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-</a:t>
          </a:r>
          <a:r>
            <a:rPr lang="ja-JP" altLang="en-US" sz="6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76/GEM45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-</a:t>
          </a:r>
          <a:r>
            <a:rPr lang="ja-JP" altLang="en-US" sz="6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ﾌ6</a:t>
          </a:r>
        </a:p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※圖化灰・スラづ測定瘤器申放封き撫冒羞崖測定惑器：ゲルマニウム単暮休檎出器ORnΞCli彊(i≡M45-76</a:t>
          </a:r>
        </a:p>
      </xdr:txBody>
    </xdr:sp>
    <xdr:clientData/>
  </xdr:twoCellAnchor>
  <xdr:twoCellAnchor>
    <xdr:from>
      <xdr:col>1</xdr:col>
      <xdr:colOff>19050</xdr:colOff>
      <xdr:row>253</xdr:row>
      <xdr:rowOff>228600</xdr:rowOff>
    </xdr:from>
    <xdr:to>
      <xdr:col>24</xdr:col>
      <xdr:colOff>323850</xdr:colOff>
      <xdr:row>253</xdr:row>
      <xdr:rowOff>723900</xdr:rowOff>
    </xdr:to>
    <xdr:sp macro="" textlink="">
      <xdr:nvSpPr>
        <xdr:cNvPr id="9" name="Text Box 21"/>
        <xdr:cNvSpPr txBox="1">
          <a:spLocks noChangeArrowheads="1"/>
        </xdr:cNvSpPr>
      </xdr:nvSpPr>
      <xdr:spPr bwMode="auto">
        <a:xfrm>
          <a:off x="247650" y="38900100"/>
          <a:ext cx="9934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搦空闘諭葡剛定●・：平虚29年4月～12月シンチレーション式pA-1000　平虚30年3月19曰～NalシンチレーションサーペイメータTCS-172B C203Z334ﾌ】平虚30年7月23曰～NalシンチレーションサーペイメータTCS-172B C203Z30521</a:t>
          </a:r>
        </a:p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搦排カス申放射挫麹偏里度測定植‐：ゲルマニウム単簒4ね●・alORTEC社‐GEM25p4-76/GEM45-ﾌ6</a:t>
          </a:r>
        </a:p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※・化灰・スラヴ申放捷t挫物偏羞崖測定●・：ゲルマニウム単簒休檎出‐ORTEC社塵GEM45-76/キャンペラ社・7500SL</a:t>
          </a:r>
        </a:p>
      </xdr:txBody>
    </xdr:sp>
    <xdr:clientData/>
  </xdr:twoCellAnchor>
  <xdr:twoCellAnchor>
    <xdr:from>
      <xdr:col>1</xdr:col>
      <xdr:colOff>19050</xdr:colOff>
      <xdr:row>308</xdr:row>
      <xdr:rowOff>228600</xdr:rowOff>
    </xdr:from>
    <xdr:to>
      <xdr:col>24</xdr:col>
      <xdr:colOff>323850</xdr:colOff>
      <xdr:row>308</xdr:row>
      <xdr:rowOff>666750</xdr:rowOff>
    </xdr:to>
    <xdr:sp macro="" textlink="">
      <xdr:nvSpPr>
        <xdr:cNvPr id="10" name="Text Box 21"/>
        <xdr:cNvSpPr txBox="1">
          <a:spLocks noChangeArrowheads="1"/>
        </xdr:cNvSpPr>
      </xdr:nvSpPr>
      <xdr:spPr bwMode="auto">
        <a:xfrm>
          <a:off x="247650" y="47320200"/>
          <a:ext cx="9934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搦空闘諭葡剛定●・：平虚29年4月～12月シンチレーション式pA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-</a:t>
          </a:r>
          <a:r>
            <a:rPr lang="ja-JP" altLang="en-US" sz="6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1000　平虚30年3月19曰～NalシンチレーションサーペイメータTCS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-</a:t>
          </a:r>
          <a:r>
            <a:rPr lang="ja-JP" altLang="en-US" sz="6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172B C203Z334ﾌ】平虚30年7月23曰～NalシンチレーションサーペイメータTCS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-</a:t>
          </a:r>
          <a:r>
            <a:rPr lang="ja-JP" altLang="en-US" sz="6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172B C203Z30521</a:t>
          </a:r>
        </a:p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搦排カス申放射挫麹偏里度測定植‐：ゲルマニウム単簒仙埴・alORTEC社‐ＧＥＭ２５ｐ４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-</a:t>
          </a:r>
          <a:r>
            <a:rPr lang="ja-JP" altLang="en-US" sz="6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７６</a:t>
          </a:r>
        </a:p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6A6A6A"/>
              </a:solidFill>
              <a:latin typeface="ＭＳ ゴシック"/>
              <a:ea typeface="ＭＳ ゴシック"/>
            </a:rPr>
            <a:t>※圖化灰・スラづ測定瘤器申放封き撫冒羞崖測定惑器：ゲルマニウム単暮休檎出器ORnΞCli彊（i≡M45-76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113242</xdr:colOff>
      <xdr:row>58</xdr:row>
      <xdr:rowOff>78316</xdr:rowOff>
    </xdr:from>
    <xdr:to>
      <xdr:col>39</xdr:col>
      <xdr:colOff>349250</xdr:colOff>
      <xdr:row>89</xdr:row>
      <xdr:rowOff>10583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124884</xdr:colOff>
      <xdr:row>1</xdr:row>
      <xdr:rowOff>89957</xdr:rowOff>
    </xdr:from>
    <xdr:to>
      <xdr:col>39</xdr:col>
      <xdr:colOff>254000</xdr:colOff>
      <xdr:row>28</xdr:row>
      <xdr:rowOff>51857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113241</xdr:colOff>
      <xdr:row>29</xdr:row>
      <xdr:rowOff>35983</xdr:rowOff>
    </xdr:from>
    <xdr:to>
      <xdr:col>39</xdr:col>
      <xdr:colOff>275166</xdr:colOff>
      <xdr:row>56</xdr:row>
      <xdr:rowOff>84666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56093</xdr:colOff>
      <xdr:row>3</xdr:row>
      <xdr:rowOff>38101</xdr:rowOff>
    </xdr:from>
    <xdr:to>
      <xdr:col>12</xdr:col>
      <xdr:colOff>76200</xdr:colOff>
      <xdr:row>26</xdr:row>
      <xdr:rowOff>12700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81492</xdr:colOff>
      <xdr:row>3</xdr:row>
      <xdr:rowOff>38101</xdr:rowOff>
    </xdr:from>
    <xdr:to>
      <xdr:col>22</xdr:col>
      <xdr:colOff>266700</xdr:colOff>
      <xdr:row>26</xdr:row>
      <xdr:rowOff>88900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43393</xdr:colOff>
      <xdr:row>23</xdr:row>
      <xdr:rowOff>88900</xdr:rowOff>
    </xdr:from>
    <xdr:to>
      <xdr:col>12</xdr:col>
      <xdr:colOff>76200</xdr:colOff>
      <xdr:row>46</xdr:row>
      <xdr:rowOff>12700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81492</xdr:colOff>
      <xdr:row>23</xdr:row>
      <xdr:rowOff>101600</xdr:rowOff>
    </xdr:from>
    <xdr:to>
      <xdr:col>22</xdr:col>
      <xdr:colOff>292100</xdr:colOff>
      <xdr:row>46</xdr:row>
      <xdr:rowOff>12699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254000</xdr:colOff>
      <xdr:row>75</xdr:row>
      <xdr:rowOff>114300</xdr:rowOff>
    </xdr:from>
    <xdr:to>
      <xdr:col>35</xdr:col>
      <xdr:colOff>0</xdr:colOff>
      <xdr:row>96</xdr:row>
      <xdr:rowOff>88900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72;&#12415;&#28784;Cs_&#30707;&#24059;&#24195;&#2249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まとめ"/>
      <sheetName val="試験+本焼却"/>
      <sheetName val="Bq元表"/>
      <sheetName val="月間量回帰式"/>
      <sheetName val="濃度回帰式"/>
      <sheetName val="施設概要"/>
      <sheetName val="ごみし尿受入量"/>
      <sheetName val="公害基準"/>
    </sheetNames>
    <sheetDataSet>
      <sheetData sheetId="0">
        <row r="7">
          <cell r="X7">
            <v>5.0000000000000001E-3</v>
          </cell>
          <cell r="AD7">
            <v>0.13</v>
          </cell>
          <cell r="AJ7">
            <v>0.05</v>
          </cell>
          <cell r="AL7">
            <v>2.1960301163586587E-2</v>
          </cell>
          <cell r="AM7">
            <v>2.0619999999999998</v>
          </cell>
          <cell r="AN7">
            <v>30.07</v>
          </cell>
        </row>
        <row r="15">
          <cell r="S15">
            <v>40614</v>
          </cell>
        </row>
        <row r="16">
          <cell r="S16">
            <v>41012</v>
          </cell>
          <cell r="AQ16">
            <v>346.64908559107795</v>
          </cell>
          <cell r="AR16">
            <v>487.59737949952199</v>
          </cell>
        </row>
      </sheetData>
      <sheetData sheetId="1"/>
      <sheetData sheetId="2"/>
      <sheetData sheetId="3"/>
      <sheetData sheetId="4"/>
      <sheetData sheetId="5"/>
      <sheetData sheetId="6">
        <row r="20">
          <cell r="U20">
            <v>59786.102500000001</v>
          </cell>
          <cell r="V20">
            <v>59570.25</v>
          </cell>
          <cell r="W20">
            <v>60501.77</v>
          </cell>
          <cell r="X20">
            <v>62834.18</v>
          </cell>
          <cell r="Y20">
            <v>50077.59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ennan-clean.com/" TargetMode="External"/><Relationship Id="rId1" Type="http://schemas.openxmlformats.org/officeDocument/2006/relationships/hyperlink" Target="https://www.sennan-clean.com/" TargetMode="External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1268"/>
  <sheetViews>
    <sheetView tabSelected="1" zoomScale="75" zoomScaleNormal="75" workbookViewId="0">
      <selection activeCell="AV39" sqref="AV39"/>
    </sheetView>
  </sheetViews>
  <sheetFormatPr defaultColWidth="4.875" defaultRowHeight="12" customHeight="1" x14ac:dyDescent="0.15"/>
  <cols>
    <col min="1" max="1" width="1.5" style="16" customWidth="1"/>
    <col min="2" max="2" width="6.25" style="17" customWidth="1"/>
    <col min="3" max="4" width="4.375" style="6" customWidth="1"/>
    <col min="5" max="5" width="5.125" style="6" customWidth="1"/>
    <col min="6" max="6" width="6.25" style="17" customWidth="1"/>
    <col min="7" max="10" width="4.375" style="6" customWidth="1"/>
    <col min="11" max="11" width="5.125" style="6" customWidth="1"/>
    <col min="12" max="15" width="4.375" style="6" customWidth="1"/>
    <col min="16" max="16" width="5.125" style="6" customWidth="1"/>
    <col min="17" max="17" width="5.875" style="6" customWidth="1"/>
    <col min="18" max="18" width="5.375" style="6" customWidth="1"/>
    <col min="19" max="19" width="4.5" style="6" customWidth="1"/>
    <col min="20" max="20" width="5" style="17" customWidth="1"/>
    <col min="21" max="23" width="5" style="6" customWidth="1"/>
    <col min="24" max="24" width="5" style="17" customWidth="1"/>
    <col min="25" max="31" width="5" style="6" customWidth="1"/>
    <col min="32" max="33" width="4.625" style="61" customWidth="1"/>
    <col min="34" max="36" width="4.625" style="30" customWidth="1"/>
    <col min="37" max="37" width="4.625" style="61" customWidth="1"/>
    <col min="38" max="38" width="2.75" style="61" customWidth="1"/>
    <col min="39" max="40" width="4.375" style="6" customWidth="1"/>
    <col min="41" max="41" width="2" style="6" customWidth="1"/>
    <col min="42" max="42" width="4.625" style="6" customWidth="1"/>
    <col min="43" max="51" width="4.375" style="6" customWidth="1"/>
    <col min="52" max="16384" width="4.875" style="6"/>
  </cols>
  <sheetData>
    <row r="1" spans="1:38" ht="6.75" customHeight="1" x14ac:dyDescent="0.15">
      <c r="AH1" s="61"/>
      <c r="AI1" s="61"/>
      <c r="AJ1" s="61"/>
    </row>
    <row r="2" spans="1:38" ht="15.75" customHeight="1" x14ac:dyDescent="0.2">
      <c r="B2" s="85" t="s">
        <v>89</v>
      </c>
      <c r="Q2" s="553" t="s">
        <v>687</v>
      </c>
      <c r="R2" s="554"/>
      <c r="S2" s="554"/>
      <c r="T2" s="554"/>
      <c r="U2" s="554"/>
      <c r="V2" s="554"/>
      <c r="W2" s="554"/>
      <c r="X2" s="555"/>
      <c r="Z2" s="96" t="s">
        <v>688</v>
      </c>
      <c r="AA2" s="96"/>
      <c r="AB2" s="96"/>
      <c r="AC2" s="96"/>
      <c r="AF2" s="62"/>
      <c r="AG2" s="59"/>
      <c r="AK2" s="30"/>
    </row>
    <row r="3" spans="1:38" ht="9.9499999999999993" customHeight="1" x14ac:dyDescent="0.2">
      <c r="A3" s="6"/>
      <c r="K3" s="14"/>
      <c r="P3" s="10"/>
      <c r="R3" s="6" t="s">
        <v>118</v>
      </c>
      <c r="T3" s="6"/>
      <c r="X3" s="6"/>
      <c r="AF3" s="62"/>
      <c r="AG3" s="59"/>
      <c r="AK3" s="30"/>
    </row>
    <row r="4" spans="1:38" ht="12" customHeight="1" x14ac:dyDescent="0.2">
      <c r="A4" s="6"/>
      <c r="K4" s="14"/>
      <c r="P4" s="10"/>
      <c r="T4" s="59"/>
      <c r="U4" s="59"/>
      <c r="V4" s="59"/>
      <c r="W4" s="17"/>
    </row>
    <row r="5" spans="1:38" ht="11.25" customHeight="1" x14ac:dyDescent="0.15">
      <c r="A5" s="6"/>
      <c r="K5" s="14"/>
      <c r="P5" s="10"/>
    </row>
    <row r="6" spans="1:38" ht="9.9499999999999993" customHeight="1" x14ac:dyDescent="0.15">
      <c r="A6" s="6"/>
      <c r="K6" s="14"/>
      <c r="P6" s="10"/>
      <c r="R6" s="107" t="s">
        <v>117</v>
      </c>
      <c r="T6" s="6"/>
      <c r="W6" s="79" t="s">
        <v>142</v>
      </c>
      <c r="Z6" s="79" t="s">
        <v>126</v>
      </c>
      <c r="AF6" s="6"/>
      <c r="AG6" s="6"/>
      <c r="AH6" s="6"/>
      <c r="AI6" s="6"/>
      <c r="AJ6" s="6"/>
      <c r="AK6" s="6"/>
      <c r="AL6" s="6"/>
    </row>
    <row r="7" spans="1:38" ht="9.9499999999999993" customHeight="1" x14ac:dyDescent="0.15">
      <c r="A7" s="6"/>
      <c r="K7" s="14"/>
      <c r="P7" s="10"/>
      <c r="R7" s="44" t="s">
        <v>121</v>
      </c>
      <c r="S7" s="45" t="s">
        <v>116</v>
      </c>
      <c r="T7" s="6"/>
      <c r="U7" s="17"/>
      <c r="W7" s="15" t="s">
        <v>122</v>
      </c>
      <c r="X7" s="12" t="s">
        <v>119</v>
      </c>
      <c r="Z7" s="56" t="s">
        <v>127</v>
      </c>
      <c r="AA7" s="75"/>
      <c r="AB7" s="100">
        <v>8.2899999999999991</v>
      </c>
      <c r="AC7" s="13"/>
      <c r="AF7" s="6"/>
      <c r="AG7" s="6"/>
      <c r="AH7" s="6"/>
      <c r="AI7" s="6"/>
      <c r="AJ7" s="6"/>
      <c r="AK7" s="6"/>
      <c r="AL7" s="6"/>
    </row>
    <row r="8" spans="1:38" ht="9.9499999999999993" customHeight="1" x14ac:dyDescent="0.15">
      <c r="A8" s="6"/>
      <c r="K8" s="14"/>
      <c r="P8" s="10"/>
      <c r="R8" s="44">
        <v>4</v>
      </c>
      <c r="S8" s="82">
        <v>7.9322176308980252E-2</v>
      </c>
      <c r="T8" s="6"/>
      <c r="U8" s="17"/>
      <c r="W8" s="26">
        <v>2011</v>
      </c>
      <c r="X8" s="563">
        <v>47256</v>
      </c>
      <c r="Z8" s="56" t="s">
        <v>128</v>
      </c>
      <c r="AA8" s="75"/>
      <c r="AB8" s="100">
        <v>3.46</v>
      </c>
      <c r="AC8" s="13"/>
      <c r="AF8" s="6"/>
      <c r="AG8" s="6"/>
      <c r="AH8" s="6"/>
      <c r="AI8" s="6"/>
      <c r="AJ8" s="6"/>
      <c r="AK8" s="6"/>
      <c r="AL8" s="6"/>
    </row>
    <row r="9" spans="1:38" ht="9.9499999999999993" customHeight="1" x14ac:dyDescent="0.15">
      <c r="A9" s="6"/>
      <c r="P9" s="10"/>
      <c r="R9" s="44">
        <v>5</v>
      </c>
      <c r="S9" s="82">
        <v>8.9128643618102618E-2</v>
      </c>
      <c r="T9" s="6"/>
      <c r="U9" s="17"/>
      <c r="W9" s="26">
        <v>2012</v>
      </c>
      <c r="X9" s="563">
        <v>46563</v>
      </c>
      <c r="Z9" s="56" t="s">
        <v>129</v>
      </c>
      <c r="AA9" s="75"/>
      <c r="AB9" s="100">
        <v>3.1</v>
      </c>
      <c r="AC9" s="13"/>
      <c r="AF9" s="6"/>
      <c r="AG9" s="6"/>
      <c r="AH9" s="6"/>
      <c r="AI9" s="6"/>
      <c r="AJ9" s="6"/>
      <c r="AK9" s="6"/>
      <c r="AL9" s="6"/>
    </row>
    <row r="10" spans="1:38" ht="9.9499999999999993" customHeight="1" x14ac:dyDescent="0.15">
      <c r="A10" s="6"/>
      <c r="P10" s="10"/>
      <c r="R10" s="44">
        <v>6</v>
      </c>
      <c r="S10" s="82">
        <v>8.7466418700092655E-2</v>
      </c>
      <c r="T10" s="6"/>
      <c r="U10" s="17"/>
      <c r="W10" s="26">
        <v>2013</v>
      </c>
      <c r="X10" s="563">
        <v>45226</v>
      </c>
      <c r="Z10" s="56" t="s">
        <v>130</v>
      </c>
      <c r="AA10" s="75"/>
      <c r="AB10" s="100">
        <v>3.99</v>
      </c>
      <c r="AC10" s="13"/>
      <c r="AF10" s="6"/>
      <c r="AG10" s="6"/>
      <c r="AH10" s="6"/>
      <c r="AI10" s="6"/>
      <c r="AJ10" s="6"/>
      <c r="AK10" s="6"/>
      <c r="AL10" s="6"/>
    </row>
    <row r="11" spans="1:38" ht="9.9499999999999993" customHeight="1" x14ac:dyDescent="0.15">
      <c r="A11" s="6"/>
      <c r="P11" s="10"/>
      <c r="R11" s="44">
        <v>7</v>
      </c>
      <c r="S11" s="82">
        <v>9.3057188641443564E-2</v>
      </c>
      <c r="T11" s="6"/>
      <c r="U11" s="17"/>
      <c r="W11" s="26">
        <v>2014</v>
      </c>
      <c r="X11" s="563">
        <v>45025</v>
      </c>
      <c r="Z11" s="56" t="s">
        <v>131</v>
      </c>
      <c r="AA11" s="75"/>
      <c r="AB11" s="100">
        <v>6.57</v>
      </c>
      <c r="AC11" s="13"/>
      <c r="AF11" s="6"/>
      <c r="AG11" s="6"/>
      <c r="AH11" s="6"/>
      <c r="AI11" s="6"/>
      <c r="AJ11" s="6"/>
    </row>
    <row r="12" spans="1:38" ht="9.9499999999999993" customHeight="1" x14ac:dyDescent="0.15">
      <c r="A12" s="6"/>
      <c r="J12" s="12"/>
      <c r="K12" s="12"/>
      <c r="P12" s="10"/>
      <c r="R12" s="44">
        <v>8</v>
      </c>
      <c r="S12" s="82">
        <v>9.4364251114423536E-2</v>
      </c>
      <c r="T12" s="6"/>
      <c r="U12" s="17"/>
      <c r="W12" s="26">
        <v>2015</v>
      </c>
      <c r="X12" s="563">
        <v>45098</v>
      </c>
      <c r="Z12" s="56" t="s">
        <v>132</v>
      </c>
      <c r="AA12" s="75"/>
      <c r="AB12" s="100">
        <v>11.272254775308786</v>
      </c>
      <c r="AC12" s="13"/>
      <c r="AE12" s="6" t="s">
        <v>213</v>
      </c>
      <c r="AJ12" s="6"/>
    </row>
    <row r="13" spans="1:38" ht="9.9499999999999993" customHeight="1" x14ac:dyDescent="0.15">
      <c r="A13" s="6"/>
      <c r="J13" s="12"/>
      <c r="K13" s="12"/>
      <c r="P13" s="10"/>
      <c r="R13" s="44">
        <v>9</v>
      </c>
      <c r="S13" s="82">
        <v>8.7498753172037952E-2</v>
      </c>
      <c r="T13" s="6"/>
      <c r="U13" s="17"/>
      <c r="W13" s="26">
        <v>2016</v>
      </c>
      <c r="X13" s="563">
        <v>44404</v>
      </c>
      <c r="Z13" s="57" t="s">
        <v>120</v>
      </c>
      <c r="AA13" s="104"/>
      <c r="AB13" s="101">
        <f>AVERAGE(AB7:AB12)</f>
        <v>6.1137091292181305</v>
      </c>
      <c r="AC13" s="13"/>
      <c r="AE13" s="6" t="s">
        <v>151</v>
      </c>
      <c r="AJ13" s="6"/>
    </row>
    <row r="14" spans="1:38" ht="9.9499999999999993" customHeight="1" x14ac:dyDescent="0.15">
      <c r="A14" s="6"/>
      <c r="J14" s="12"/>
      <c r="K14" s="12"/>
      <c r="P14" s="10"/>
      <c r="R14" s="44">
        <v>10</v>
      </c>
      <c r="S14" s="82">
        <v>9.00306780289966E-2</v>
      </c>
      <c r="T14" s="6"/>
      <c r="U14" s="17"/>
      <c r="W14" s="26">
        <v>2017</v>
      </c>
      <c r="X14" s="563">
        <v>44892</v>
      </c>
      <c r="AC14" s="13"/>
      <c r="AE14" s="6" t="s">
        <v>153</v>
      </c>
    </row>
    <row r="15" spans="1:38" ht="9.9499999999999993" customHeight="1" x14ac:dyDescent="0.15">
      <c r="A15" s="6"/>
      <c r="J15" s="12"/>
      <c r="K15" s="12"/>
      <c r="M15" s="10"/>
      <c r="N15" s="10"/>
      <c r="O15" s="10"/>
      <c r="P15" s="10"/>
      <c r="R15" s="44">
        <v>11</v>
      </c>
      <c r="S15" s="82">
        <v>8.1438010045640843E-2</v>
      </c>
      <c r="T15" s="6"/>
      <c r="U15" s="17"/>
      <c r="W15" s="26">
        <v>2018</v>
      </c>
      <c r="X15" s="586">
        <f>115.1*8*8-1332*8+48524</f>
        <v>45234.400000000001</v>
      </c>
      <c r="AE15" s="6" t="s">
        <v>152</v>
      </c>
    </row>
    <row r="16" spans="1:38" ht="9.9499999999999993" customHeight="1" x14ac:dyDescent="0.15">
      <c r="A16" s="6"/>
      <c r="J16" s="12"/>
      <c r="K16" s="12"/>
      <c r="M16" s="10"/>
      <c r="N16" s="10"/>
      <c r="O16" s="10"/>
      <c r="P16" s="10"/>
      <c r="R16" s="44">
        <v>12</v>
      </c>
      <c r="S16" s="82">
        <v>8.1735217189744303E-2</v>
      </c>
      <c r="T16" s="6"/>
      <c r="U16" s="17"/>
      <c r="Z16" s="79" t="s">
        <v>141</v>
      </c>
      <c r="AF16" s="108" t="s">
        <v>144</v>
      </c>
    </row>
    <row r="17" spans="1:59" ht="9.9499999999999993" customHeight="1" x14ac:dyDescent="0.15">
      <c r="A17" s="6"/>
      <c r="J17" s="12"/>
      <c r="K17" s="12"/>
      <c r="M17" s="10"/>
      <c r="N17" s="10"/>
      <c r="O17" s="10"/>
      <c r="P17" s="10"/>
      <c r="R17" s="44">
        <v>1</v>
      </c>
      <c r="S17" s="82">
        <v>7.4890020694885998E-2</v>
      </c>
      <c r="T17" s="6"/>
      <c r="U17" s="17"/>
      <c r="Y17" s="103"/>
      <c r="Z17" s="15">
        <v>0.05</v>
      </c>
      <c r="AA17" s="56" t="s">
        <v>123</v>
      </c>
      <c r="AF17" s="108" t="s">
        <v>145</v>
      </c>
    </row>
    <row r="18" spans="1:59" ht="9.9499999999999993" customHeight="1" x14ac:dyDescent="0.15">
      <c r="A18" s="6"/>
      <c r="J18" s="12"/>
      <c r="K18" s="12"/>
      <c r="M18" s="10"/>
      <c r="N18" s="10"/>
      <c r="O18" s="10"/>
      <c r="P18" s="10"/>
      <c r="R18" s="44">
        <v>2</v>
      </c>
      <c r="S18" s="82">
        <v>6.4081858761377689E-2</v>
      </c>
      <c r="T18" s="6"/>
      <c r="U18" s="17"/>
      <c r="Y18" s="103"/>
      <c r="Z18" s="15">
        <v>0.13</v>
      </c>
      <c r="AA18" s="56" t="s">
        <v>124</v>
      </c>
      <c r="AF18" s="61" t="s">
        <v>150</v>
      </c>
    </row>
    <row r="19" spans="1:59" ht="9.9499999999999993" customHeight="1" x14ac:dyDescent="0.15">
      <c r="A19" s="6"/>
      <c r="J19" s="12"/>
      <c r="K19" s="12"/>
      <c r="M19" s="10"/>
      <c r="N19" s="10"/>
      <c r="O19" s="10"/>
      <c r="P19" s="10"/>
      <c r="R19" s="44">
        <v>3</v>
      </c>
      <c r="S19" s="82">
        <v>7.7688555125821387E-2</v>
      </c>
      <c r="T19" s="6"/>
      <c r="U19" s="17"/>
    </row>
    <row r="20" spans="1:59" ht="9.9499999999999993" customHeight="1" x14ac:dyDescent="0.15">
      <c r="A20" s="6"/>
      <c r="J20" s="12"/>
      <c r="K20" s="12"/>
      <c r="M20" s="10"/>
      <c r="N20" s="10"/>
      <c r="O20" s="10"/>
      <c r="P20" s="10"/>
      <c r="R20" s="636" t="s">
        <v>134</v>
      </c>
      <c r="S20" s="637"/>
      <c r="T20" s="637"/>
      <c r="U20" s="17"/>
    </row>
    <row r="21" spans="1:59" ht="9.9499999999999993" customHeight="1" x14ac:dyDescent="0.15">
      <c r="A21" s="6"/>
      <c r="J21" s="12"/>
      <c r="K21" s="12"/>
      <c r="M21" s="10"/>
      <c r="N21" s="10"/>
      <c r="O21" s="10"/>
      <c r="P21" s="10"/>
      <c r="R21" s="637"/>
      <c r="S21" s="637"/>
      <c r="T21" s="637"/>
      <c r="W21" s="17"/>
      <c r="X21" s="6"/>
      <c r="Y21" s="599" t="s">
        <v>136</v>
      </c>
      <c r="Z21" s="599" t="s">
        <v>139</v>
      </c>
      <c r="AA21" s="599" t="s">
        <v>137</v>
      </c>
      <c r="AB21" s="599" t="s">
        <v>140</v>
      </c>
      <c r="AC21" s="599" t="s">
        <v>137</v>
      </c>
      <c r="AE21" s="61"/>
      <c r="AG21" s="30"/>
      <c r="AM21" s="599" t="s">
        <v>147</v>
      </c>
      <c r="AN21" s="599" t="s">
        <v>148</v>
      </c>
      <c r="AP21" s="599" t="s">
        <v>85</v>
      </c>
      <c r="BF21" s="30"/>
      <c r="BG21" s="61"/>
    </row>
    <row r="22" spans="1:59" ht="9.9499999999999993" customHeight="1" x14ac:dyDescent="0.15">
      <c r="A22" s="6"/>
      <c r="J22" s="12"/>
      <c r="K22" s="12"/>
      <c r="M22" s="10"/>
      <c r="N22" s="10"/>
      <c r="O22" s="10"/>
      <c r="P22" s="10"/>
      <c r="R22" s="637"/>
      <c r="S22" s="637"/>
      <c r="T22" s="637"/>
      <c r="W22" s="17"/>
      <c r="X22" s="6"/>
      <c r="Y22" s="600"/>
      <c r="Z22" s="600"/>
      <c r="AA22" s="600"/>
      <c r="AB22" s="600"/>
      <c r="AC22" s="600"/>
      <c r="AE22" s="61"/>
      <c r="AG22" s="30"/>
      <c r="AM22" s="600"/>
      <c r="AN22" s="600"/>
      <c r="AP22" s="600"/>
      <c r="BF22" s="30"/>
      <c r="BG22" s="61"/>
    </row>
    <row r="23" spans="1:59" ht="9.9499999999999993" customHeight="1" x14ac:dyDescent="0.15">
      <c r="A23" s="6"/>
      <c r="J23" s="12"/>
      <c r="K23" s="12"/>
      <c r="M23" s="10"/>
      <c r="N23" s="10"/>
      <c r="O23" s="10"/>
      <c r="P23" s="10"/>
      <c r="R23" s="637"/>
      <c r="S23" s="637"/>
      <c r="T23" s="637"/>
      <c r="W23" s="17"/>
      <c r="X23" s="6"/>
      <c r="Y23" s="600"/>
      <c r="Z23" s="600"/>
      <c r="AA23" s="600"/>
      <c r="AB23" s="600"/>
      <c r="AC23" s="600"/>
      <c r="AE23" s="61"/>
      <c r="AG23" s="30"/>
      <c r="AM23" s="600"/>
      <c r="AN23" s="600"/>
      <c r="AP23" s="600"/>
      <c r="BF23" s="30"/>
      <c r="BG23" s="61"/>
    </row>
    <row r="24" spans="1:59" ht="9.9499999999999993" customHeight="1" x14ac:dyDescent="0.2">
      <c r="A24" s="6"/>
      <c r="J24" s="12"/>
      <c r="K24" s="12"/>
      <c r="M24" s="10"/>
      <c r="N24" s="10"/>
      <c r="O24" s="10"/>
      <c r="P24" s="10"/>
      <c r="S24" s="621" t="s">
        <v>214</v>
      </c>
      <c r="T24" s="622"/>
      <c r="V24" s="626" t="s">
        <v>135</v>
      </c>
      <c r="W24" s="627"/>
      <c r="X24" s="6"/>
      <c r="Y24" s="600"/>
      <c r="Z24" s="600"/>
      <c r="AA24" s="600"/>
      <c r="AB24" s="600"/>
      <c r="AC24" s="600"/>
      <c r="AE24" s="58">
        <v>89.3</v>
      </c>
      <c r="AF24" s="59" t="s">
        <v>67</v>
      </c>
      <c r="AL24" s="6"/>
      <c r="AM24" s="600"/>
      <c r="AN24" s="600"/>
      <c r="AP24" s="600"/>
    </row>
    <row r="25" spans="1:59" ht="9.9499999999999993" customHeight="1" x14ac:dyDescent="0.15">
      <c r="A25" s="6"/>
      <c r="J25" s="12"/>
      <c r="K25" s="12"/>
      <c r="M25" s="10"/>
      <c r="N25" s="10"/>
      <c r="O25" s="10"/>
      <c r="P25" s="10"/>
      <c r="S25" s="623"/>
      <c r="T25" s="622"/>
      <c r="V25" s="628"/>
      <c r="W25" s="627"/>
      <c r="X25" s="6"/>
      <c r="Y25" s="600"/>
      <c r="Z25" s="600"/>
      <c r="AA25" s="600"/>
      <c r="AB25" s="600"/>
      <c r="AC25" s="600"/>
      <c r="AE25" s="106"/>
      <c r="AF25" s="6"/>
      <c r="AG25" s="105"/>
      <c r="AH25" s="6"/>
      <c r="AL25" s="6"/>
      <c r="AM25" s="600"/>
      <c r="AN25" s="600"/>
      <c r="AP25" s="600"/>
    </row>
    <row r="26" spans="1:59" ht="9.9499999999999993" customHeight="1" x14ac:dyDescent="0.15">
      <c r="A26" s="6"/>
      <c r="J26" s="12"/>
      <c r="K26" s="12"/>
      <c r="M26" s="10"/>
      <c r="N26" s="10"/>
      <c r="O26" s="10"/>
      <c r="P26" s="10"/>
      <c r="S26" s="623"/>
      <c r="T26" s="622"/>
      <c r="V26" s="628"/>
      <c r="W26" s="627"/>
      <c r="X26" s="6"/>
      <c r="Y26" s="600"/>
      <c r="Z26" s="600"/>
      <c r="AA26" s="600"/>
      <c r="AB26" s="600"/>
      <c r="AC26" s="600"/>
      <c r="AE26" s="106"/>
      <c r="AF26" s="6"/>
      <c r="AG26" s="105"/>
      <c r="AH26" s="6"/>
      <c r="AL26" s="6"/>
      <c r="AM26" s="600"/>
      <c r="AN26" s="600"/>
      <c r="AP26" s="600"/>
    </row>
    <row r="27" spans="1:59" ht="9.9499999999999993" customHeight="1" x14ac:dyDescent="0.15">
      <c r="A27" s="6"/>
      <c r="J27" s="12"/>
      <c r="K27" s="12"/>
      <c r="M27" s="10"/>
      <c r="N27" s="10"/>
      <c r="O27" s="10"/>
      <c r="P27" s="10"/>
      <c r="S27" s="623"/>
      <c r="T27" s="622"/>
      <c r="V27" s="628"/>
      <c r="W27" s="627"/>
      <c r="X27" s="6"/>
      <c r="Y27" s="600"/>
      <c r="Z27" s="600"/>
      <c r="AA27" s="600"/>
      <c r="AB27" s="600"/>
      <c r="AC27" s="600"/>
      <c r="AE27" s="61"/>
      <c r="AF27" s="70"/>
      <c r="AG27" s="71"/>
      <c r="AH27" s="71"/>
      <c r="AL27" s="72"/>
      <c r="AM27" s="600"/>
      <c r="AN27" s="600"/>
      <c r="AP27" s="600"/>
      <c r="BF27" s="71"/>
      <c r="BG27" s="71"/>
    </row>
    <row r="28" spans="1:59" ht="12" customHeight="1" x14ac:dyDescent="0.15">
      <c r="S28" s="624"/>
      <c r="T28" s="625"/>
      <c r="V28" s="629"/>
      <c r="W28" s="630"/>
      <c r="X28" s="6"/>
      <c r="Y28" s="601"/>
      <c r="Z28" s="601"/>
      <c r="AA28" s="601"/>
      <c r="AB28" s="601"/>
      <c r="AC28" s="601"/>
      <c r="AD28" s="78"/>
      <c r="AE28" s="63">
        <f>8.021/365.25</f>
        <v>2.1960301163586587E-2</v>
      </c>
      <c r="AF28" s="63">
        <v>2.0619999999999998</v>
      </c>
      <c r="AG28" s="64">
        <v>30.07</v>
      </c>
      <c r="AH28" s="61" t="s">
        <v>69</v>
      </c>
      <c r="AL28" s="73"/>
      <c r="AM28" s="601"/>
      <c r="AN28" s="601"/>
      <c r="AP28" s="601"/>
      <c r="BF28" s="73"/>
      <c r="BG28" s="73"/>
    </row>
    <row r="29" spans="1:59" ht="12" customHeight="1" x14ac:dyDescent="0.15">
      <c r="R29" s="22"/>
      <c r="S29" s="22" t="s">
        <v>689</v>
      </c>
      <c r="T29" s="23"/>
      <c r="U29" s="23"/>
      <c r="V29" s="23"/>
      <c r="W29" s="23"/>
      <c r="X29" s="24"/>
      <c r="Y29" s="631" t="s">
        <v>133</v>
      </c>
      <c r="Z29" s="631" t="s">
        <v>125</v>
      </c>
      <c r="AA29" s="604" t="s">
        <v>77</v>
      </c>
      <c r="AB29" s="631" t="s">
        <v>138</v>
      </c>
      <c r="AC29" s="604" t="s">
        <v>78</v>
      </c>
      <c r="AD29" s="618" t="s">
        <v>79</v>
      </c>
      <c r="AE29" s="616" t="s">
        <v>70</v>
      </c>
      <c r="AF29" s="602" t="s">
        <v>71</v>
      </c>
      <c r="AG29" s="602" t="s">
        <v>72</v>
      </c>
      <c r="AH29" s="634" t="s">
        <v>73</v>
      </c>
      <c r="AI29" s="634" t="s">
        <v>74</v>
      </c>
      <c r="AJ29" s="602" t="s">
        <v>75</v>
      </c>
      <c r="AK29" s="602" t="s">
        <v>76</v>
      </c>
      <c r="AM29" s="15"/>
      <c r="AN29" s="15"/>
      <c r="AP29" s="609" t="s">
        <v>82</v>
      </c>
    </row>
    <row r="30" spans="1:59" ht="12" customHeight="1" x14ac:dyDescent="0.15">
      <c r="R30" s="20"/>
      <c r="S30" s="15" t="s">
        <v>0</v>
      </c>
      <c r="T30" s="15"/>
      <c r="U30" s="15"/>
      <c r="V30" s="15" t="s">
        <v>3</v>
      </c>
      <c r="W30" s="15"/>
      <c r="X30" s="15"/>
      <c r="Y30" s="632"/>
      <c r="Z30" s="632"/>
      <c r="AA30" s="605"/>
      <c r="AB30" s="632"/>
      <c r="AC30" s="605"/>
      <c r="AD30" s="619"/>
      <c r="AE30" s="617"/>
      <c r="AF30" s="603"/>
      <c r="AG30" s="603"/>
      <c r="AH30" s="635"/>
      <c r="AI30" s="635"/>
      <c r="AJ30" s="603"/>
      <c r="AK30" s="603"/>
      <c r="AM30" s="15"/>
      <c r="AN30" s="15"/>
      <c r="AP30" s="610"/>
    </row>
    <row r="31" spans="1:59" ht="12" customHeight="1" x14ac:dyDescent="0.15">
      <c r="R31" s="25" t="s">
        <v>68</v>
      </c>
      <c r="S31" s="21" t="s">
        <v>1</v>
      </c>
      <c r="T31" s="21" t="s">
        <v>2</v>
      </c>
      <c r="U31" s="19" t="s">
        <v>81</v>
      </c>
      <c r="V31" s="21" t="s">
        <v>1</v>
      </c>
      <c r="W31" s="21" t="s">
        <v>2</v>
      </c>
      <c r="X31" s="19" t="s">
        <v>81</v>
      </c>
      <c r="Y31" s="633"/>
      <c r="Z31" s="633"/>
      <c r="AA31" s="606"/>
      <c r="AB31" s="633"/>
      <c r="AC31" s="606"/>
      <c r="AD31" s="620"/>
      <c r="AE31" s="617"/>
      <c r="AF31" s="603"/>
      <c r="AG31" s="603"/>
      <c r="AH31" s="635"/>
      <c r="AI31" s="635"/>
      <c r="AJ31" s="603"/>
      <c r="AK31" s="603"/>
      <c r="AM31" s="15"/>
      <c r="AN31" s="15"/>
      <c r="AP31" s="611"/>
    </row>
    <row r="32" spans="1:59" ht="12" customHeight="1" x14ac:dyDescent="0.15">
      <c r="R32" s="60">
        <v>40614</v>
      </c>
      <c r="S32" s="97"/>
      <c r="T32" s="97"/>
      <c r="U32" s="19"/>
      <c r="V32" s="97"/>
      <c r="W32" s="97"/>
      <c r="X32" s="19"/>
      <c r="Y32" s="68"/>
      <c r="Z32" s="68"/>
      <c r="AA32" s="69"/>
      <c r="AB32" s="69"/>
      <c r="AC32" s="69"/>
      <c r="AD32" s="76"/>
      <c r="AE32" s="65">
        <v>1</v>
      </c>
      <c r="AF32" s="66">
        <v>1</v>
      </c>
      <c r="AG32" s="66">
        <v>1</v>
      </c>
      <c r="AH32" s="66">
        <f>AF32+AG32</f>
        <v>2</v>
      </c>
      <c r="AI32" s="74">
        <v>500</v>
      </c>
      <c r="AJ32" s="74">
        <v>500</v>
      </c>
      <c r="AK32" s="74">
        <v>500</v>
      </c>
      <c r="AM32" s="15"/>
      <c r="AN32" s="15"/>
      <c r="AP32" s="15"/>
    </row>
    <row r="33" spans="1:42" ht="9.9499999999999993" customHeight="1" x14ac:dyDescent="0.15">
      <c r="A33" s="6"/>
      <c r="R33" s="60">
        <v>40923</v>
      </c>
      <c r="S33" s="111"/>
      <c r="T33" s="111"/>
      <c r="U33" s="102"/>
      <c r="V33" s="101"/>
      <c r="W33" s="101"/>
      <c r="X33" s="102"/>
      <c r="Y33" s="564">
        <f t="shared" ref="Y33:Y64" si="0">IF(MONTH(R33)&lt;=3,(INDEX(月値割合表,MATCH(MONTH(R33),月,0),2)*INDEX(年度別焼却量,MATCH(YEAR(R33)-1,年度,0),2))/10,(INDEX(月値割合表,MATCH(MONTH(R33),月,0),2)*INDEX(年度別焼却量,MATCH(YEAR(R33),年度,0),2))/10)</f>
        <v>353.9002817957533</v>
      </c>
      <c r="Z33" s="53">
        <f t="shared" ref="Z33:Z64" si="1">Y33*10*飛灰発生率</f>
        <v>176.95014089787665</v>
      </c>
      <c r="AA33" s="53">
        <f>(Z33*U33)/10^3</f>
        <v>0</v>
      </c>
      <c r="AB33" s="53">
        <f t="shared" ref="AB33:AB64" si="2">Y33*10*主灰発生率</f>
        <v>460.07036633447927</v>
      </c>
      <c r="AC33" s="53">
        <f>(AB33*X33)/10^3</f>
        <v>0</v>
      </c>
      <c r="AD33" s="77">
        <f>AA33+AC33</f>
        <v>0</v>
      </c>
      <c r="AE33" s="67">
        <f t="shared" ref="AE33:AE64" si="3">1*2.71828^(-0.69315/半I131*(R33-事故日)/365.25)</f>
        <v>2.5299897218690568E-12</v>
      </c>
      <c r="AF33" s="42">
        <f t="shared" ref="AF33:AF64" si="4">1*2.71828^(-0.69315/半Cs134*(R33-事故日)/365.25)</f>
        <v>0.75247696235032346</v>
      </c>
      <c r="AG33" s="42">
        <f t="shared" ref="AG33:AG64" si="5">1*2.71828^(-0.69315/半Cs137*(R33-事故日)/365.25)</f>
        <v>0.98068769961179392</v>
      </c>
      <c r="AH33" s="42">
        <f>AF33+AG33</f>
        <v>1.7331646619621175</v>
      </c>
      <c r="AI33" s="41">
        <f t="shared" ref="AI33:AI64" si="6">250*2.71828^(-0.69315/半Cs134*(R33-事故日)/365.25)+250*2.71828^(-0.69315/半Cs137*(R33-事故日)/365.25)</f>
        <v>433.29116549052935</v>
      </c>
      <c r="AJ33" s="41">
        <f t="shared" ref="AJ33:AJ64" si="7">500*2.71828^(-0.69315/半Cs134*(R33-事故日)/365.25)</f>
        <v>376.23848117516172</v>
      </c>
      <c r="AK33" s="41">
        <f t="shared" ref="AK33:AK64" si="8">500*2.71828^(-0.69315/半Cs137*(R33-事故日)/365.25)</f>
        <v>490.34384980589698</v>
      </c>
      <c r="AM33" s="15"/>
      <c r="AN33" s="15"/>
      <c r="AP33" s="41">
        <f ca="1">AD33*AJ33/(AJ33+AK33)*2.71828^(-0.69315/半Cs134*(NOW()-R33)/365.25)+AD33*AK33/(AJ33+AK33)*2.71828^(-0.69315/半Cs137*(NOW()-R33)/365.25)</f>
        <v>0</v>
      </c>
    </row>
    <row r="34" spans="1:42" ht="9.9499999999999993" customHeight="1" x14ac:dyDescent="0.15">
      <c r="A34" s="6"/>
      <c r="R34" s="60">
        <v>40954</v>
      </c>
      <c r="S34" s="111"/>
      <c r="T34" s="111"/>
      <c r="U34" s="102"/>
      <c r="V34" s="101"/>
      <c r="W34" s="101"/>
      <c r="X34" s="102"/>
      <c r="Y34" s="564">
        <f t="shared" si="0"/>
        <v>302.82523176276641</v>
      </c>
      <c r="Z34" s="53">
        <f t="shared" si="1"/>
        <v>151.4126158813832</v>
      </c>
      <c r="AA34" s="53">
        <f t="shared" ref="AA34:AA97" si="9">(Z34*U34)/10^3</f>
        <v>0</v>
      </c>
      <c r="AB34" s="53">
        <f t="shared" si="2"/>
        <v>393.67280129159633</v>
      </c>
      <c r="AC34" s="53">
        <f t="shared" ref="AC34:AC97" si="10">(AB34*X34)/10^3</f>
        <v>0</v>
      </c>
      <c r="AD34" s="77">
        <f t="shared" ref="AD34:AD97" si="11">AA34+AC34</f>
        <v>0</v>
      </c>
      <c r="AE34" s="67">
        <f t="shared" si="3"/>
        <v>1.7365112311999602E-13</v>
      </c>
      <c r="AF34" s="42">
        <f t="shared" si="4"/>
        <v>0.73131176331012648</v>
      </c>
      <c r="AG34" s="42">
        <f t="shared" si="5"/>
        <v>0.97877092547860978</v>
      </c>
      <c r="AH34" s="42">
        <f t="shared" ref="AH34:AH97" si="12">AF34+AG34</f>
        <v>1.7100826887887361</v>
      </c>
      <c r="AI34" s="41">
        <f t="shared" si="6"/>
        <v>427.52067219718407</v>
      </c>
      <c r="AJ34" s="41">
        <f t="shared" si="7"/>
        <v>365.65588165506324</v>
      </c>
      <c r="AK34" s="41">
        <f t="shared" si="8"/>
        <v>489.3854627393049</v>
      </c>
      <c r="AM34" s="15"/>
      <c r="AN34" s="15"/>
      <c r="AP34" s="41">
        <f ca="1">AD34*AJ34/(AJ34+AK34)*2.71828^(-0.69315/半Cs134*(NOW()-R34)/365.25)+AD34*AK34/(AJ34+AK34)*2.71828^(-0.69315/半Cs137*(NOW()-R34)/365.25)</f>
        <v>0</v>
      </c>
    </row>
    <row r="35" spans="1:42" ht="9.9499999999999993" customHeight="1" x14ac:dyDescent="0.15">
      <c r="A35" s="6"/>
      <c r="R35" s="60">
        <v>40983</v>
      </c>
      <c r="S35" s="111"/>
      <c r="T35" s="111"/>
      <c r="U35" s="102"/>
      <c r="V35" s="101"/>
      <c r="W35" s="101"/>
      <c r="X35" s="102"/>
      <c r="Y35" s="564">
        <f t="shared" si="0"/>
        <v>367.12503610258153</v>
      </c>
      <c r="Z35" s="53">
        <f t="shared" si="1"/>
        <v>183.56251805129079</v>
      </c>
      <c r="AA35" s="53">
        <f t="shared" si="9"/>
        <v>0</v>
      </c>
      <c r="AB35" s="53">
        <f t="shared" si="2"/>
        <v>477.26254693335602</v>
      </c>
      <c r="AC35" s="53">
        <f t="shared" si="10"/>
        <v>0</v>
      </c>
      <c r="AD35" s="77">
        <f t="shared" si="11"/>
        <v>0</v>
      </c>
      <c r="AE35" s="67">
        <f t="shared" si="3"/>
        <v>1.4167628365199629E-14</v>
      </c>
      <c r="AF35" s="42">
        <f t="shared" si="4"/>
        <v>0.71205133808378474</v>
      </c>
      <c r="AG35" s="42">
        <f t="shared" si="5"/>
        <v>0.97698120595402671</v>
      </c>
      <c r="AH35" s="42">
        <f t="shared" si="12"/>
        <v>1.6890325440378113</v>
      </c>
      <c r="AI35" s="41">
        <f t="shared" si="6"/>
        <v>422.25813600945287</v>
      </c>
      <c r="AJ35" s="41">
        <f t="shared" si="7"/>
        <v>356.02566904189234</v>
      </c>
      <c r="AK35" s="41">
        <f t="shared" si="8"/>
        <v>488.49060297701334</v>
      </c>
      <c r="AM35" s="15"/>
      <c r="AN35" s="15"/>
      <c r="AP35" s="41">
        <f ca="1">AD35*AJ35/(AJ35+AK35)*2.71828^(-0.69315/半Cs134*(NOW()-R35)/365.25)+AD35*AK35/(AJ35+AK35)*2.71828^(-0.69315/半Cs137*(NOW()-R35)/365.25)</f>
        <v>0</v>
      </c>
    </row>
    <row r="36" spans="1:42" ht="9.9499999999999993" customHeight="1" x14ac:dyDescent="0.15">
      <c r="A36" s="6"/>
      <c r="R36" s="60">
        <v>41014</v>
      </c>
      <c r="S36" s="592">
        <f t="shared" ref="S36:S99" si="13">AM36*6.9/15.06</f>
        <v>188.39567920688526</v>
      </c>
      <c r="T36" s="592">
        <f t="shared" ref="T36:T99" si="14">AN36*54.7/76.57</f>
        <v>443.71129366635643</v>
      </c>
      <c r="U36" s="102">
        <f t="shared" ref="U36:U96" si="15">S36+T36</f>
        <v>632.10697287324172</v>
      </c>
      <c r="V36" s="101">
        <f t="shared" ref="V36:V64" si="16">S36/濃度比</f>
        <v>30.815283361539116</v>
      </c>
      <c r="W36" s="101">
        <f t="shared" ref="W36:W64" si="17">T36/濃度比</f>
        <v>72.576448157438222</v>
      </c>
      <c r="X36" s="102">
        <f t="shared" ref="X36:X96" si="18">V36+W36</f>
        <v>103.39173151897734</v>
      </c>
      <c r="Y36" s="564">
        <f t="shared" si="0"/>
        <v>369.34784954750478</v>
      </c>
      <c r="Z36" s="53">
        <f t="shared" si="1"/>
        <v>184.67392477375239</v>
      </c>
      <c r="AA36" s="53">
        <f t="shared" si="9"/>
        <v>116.73367555735739</v>
      </c>
      <c r="AB36" s="53">
        <f t="shared" si="2"/>
        <v>480.1522044117562</v>
      </c>
      <c r="AC36" s="53">
        <f t="shared" si="10"/>
        <v>49.643767806785419</v>
      </c>
      <c r="AD36" s="77">
        <f t="shared" si="11"/>
        <v>166.37744336414281</v>
      </c>
      <c r="AE36" s="67">
        <f t="shared" si="3"/>
        <v>9.7242473212345822E-16</v>
      </c>
      <c r="AF36" s="42">
        <f t="shared" si="4"/>
        <v>0.69202320559410779</v>
      </c>
      <c r="AG36" s="42">
        <f t="shared" si="5"/>
        <v>0.9750716762383782</v>
      </c>
      <c r="AH36" s="42">
        <f t="shared" si="12"/>
        <v>1.667094881832486</v>
      </c>
      <c r="AI36" s="41">
        <f t="shared" si="6"/>
        <v>416.77372045812149</v>
      </c>
      <c r="AJ36" s="41">
        <f t="shared" si="7"/>
        <v>346.01160279705391</v>
      </c>
      <c r="AK36" s="41">
        <f t="shared" si="8"/>
        <v>487.53583811918912</v>
      </c>
      <c r="AM36" s="15">
        <v>411.19404766024519</v>
      </c>
      <c r="AN36" s="15">
        <v>621.11469389456863</v>
      </c>
      <c r="AP36" s="41">
        <f ca="1">AD36*AJ36/(AJ36+AK36)*2.71828^(-0.69315/半Cs134*(NOW()-R36)/365.25)+AD36*AK36/(AJ36+AK36)*2.71828^(-0.69315/半Cs137*(NOW()-R36)/365.25)</f>
        <v>86.766219085688036</v>
      </c>
    </row>
    <row r="37" spans="1:42" ht="9.9499999999999993" customHeight="1" x14ac:dyDescent="0.15">
      <c r="A37" s="6"/>
      <c r="R37" s="60">
        <v>41044</v>
      </c>
      <c r="S37" s="592">
        <f t="shared" si="13"/>
        <v>264.26875308237175</v>
      </c>
      <c r="T37" s="592">
        <f t="shared" si="14"/>
        <v>640.09092475400246</v>
      </c>
      <c r="U37" s="102">
        <f t="shared" si="15"/>
        <v>904.3596778363742</v>
      </c>
      <c r="V37" s="101">
        <f t="shared" si="16"/>
        <v>43.225601267060689</v>
      </c>
      <c r="W37" s="101">
        <f t="shared" si="17"/>
        <v>104.69764119050629</v>
      </c>
      <c r="X37" s="102">
        <f t="shared" si="18"/>
        <v>147.92324245756697</v>
      </c>
      <c r="Y37" s="564">
        <f t="shared" si="0"/>
        <v>415.00970327897119</v>
      </c>
      <c r="Z37" s="53">
        <f t="shared" si="1"/>
        <v>207.50485163948562</v>
      </c>
      <c r="AA37" s="53">
        <f t="shared" si="9"/>
        <v>187.65902077816986</v>
      </c>
      <c r="AB37" s="53">
        <f t="shared" si="2"/>
        <v>539.51261426266262</v>
      </c>
      <c r="AC37" s="53">
        <f t="shared" si="10"/>
        <v>79.806455248491645</v>
      </c>
      <c r="AD37" s="77">
        <f t="shared" si="11"/>
        <v>267.46547602666152</v>
      </c>
      <c r="AE37" s="67">
        <f t="shared" si="3"/>
        <v>7.2768797051916521E-17</v>
      </c>
      <c r="AF37" s="42">
        <f t="shared" si="4"/>
        <v>0.67317767880632884</v>
      </c>
      <c r="AG37" s="42">
        <f t="shared" si="5"/>
        <v>0.97322729789583196</v>
      </c>
      <c r="AH37" s="42">
        <f t="shared" si="12"/>
        <v>1.6464049767021609</v>
      </c>
      <c r="AI37" s="41">
        <f t="shared" si="6"/>
        <v>411.60124417554016</v>
      </c>
      <c r="AJ37" s="41">
        <f t="shared" si="7"/>
        <v>336.5888394031644</v>
      </c>
      <c r="AK37" s="41">
        <f t="shared" si="8"/>
        <v>486.61364894791598</v>
      </c>
      <c r="AM37" s="15">
        <v>576.79527846674182</v>
      </c>
      <c r="AN37" s="15">
        <v>896.01027620500838</v>
      </c>
      <c r="AP37" s="41">
        <f ca="1">AD37*AJ37/(AJ37+AK37)*2.71828^(-0.69315/半Cs134*(NOW()-R37)/365.25)+AD37*AK37/(AJ37+AK37)*2.71828^(-0.69315/半Cs137*(NOW()-R37)/365.25)</f>
        <v>141.23671461788928</v>
      </c>
    </row>
    <row r="38" spans="1:42" ht="9.9499999999999993" customHeight="1" x14ac:dyDescent="0.15">
      <c r="A38" s="6"/>
      <c r="R38" s="60">
        <v>41075</v>
      </c>
      <c r="S38" s="592">
        <f t="shared" si="13"/>
        <v>264.93435096411463</v>
      </c>
      <c r="T38" s="592">
        <f t="shared" si="14"/>
        <v>660.71054081325349</v>
      </c>
      <c r="U38" s="102">
        <f t="shared" si="15"/>
        <v>925.64489177736812</v>
      </c>
      <c r="V38" s="101">
        <f t="shared" si="16"/>
        <v>43.334471000257828</v>
      </c>
      <c r="W38" s="101">
        <f t="shared" si="17"/>
        <v>108.07032635158264</v>
      </c>
      <c r="X38" s="102">
        <f t="shared" si="18"/>
        <v>151.40479735184047</v>
      </c>
      <c r="Y38" s="564">
        <f t="shared" si="0"/>
        <v>407.26988539324145</v>
      </c>
      <c r="Z38" s="53">
        <f t="shared" si="1"/>
        <v>203.63494269662075</v>
      </c>
      <c r="AA38" s="53">
        <f t="shared" si="9"/>
        <v>188.49364449450408</v>
      </c>
      <c r="AB38" s="53">
        <f t="shared" si="2"/>
        <v>529.4508510112139</v>
      </c>
      <c r="AC38" s="53">
        <f t="shared" si="10"/>
        <v>80.161398805112313</v>
      </c>
      <c r="AD38" s="77">
        <f t="shared" si="11"/>
        <v>268.65504329961641</v>
      </c>
      <c r="AE38" s="67">
        <f t="shared" si="3"/>
        <v>4.9946382101588171E-18</v>
      </c>
      <c r="AF38" s="42">
        <f t="shared" si="4"/>
        <v>0.6542429601714207</v>
      </c>
      <c r="AG38" s="42">
        <f t="shared" si="5"/>
        <v>0.9713251052701326</v>
      </c>
      <c r="AH38" s="42">
        <f t="shared" si="12"/>
        <v>1.6255680654415534</v>
      </c>
      <c r="AI38" s="41">
        <f t="shared" si="6"/>
        <v>406.39201636038831</v>
      </c>
      <c r="AJ38" s="41">
        <f t="shared" si="7"/>
        <v>327.12148008571035</v>
      </c>
      <c r="AK38" s="41">
        <f t="shared" si="8"/>
        <v>485.66255263506628</v>
      </c>
      <c r="AM38" s="15">
        <v>578.2480181912415</v>
      </c>
      <c r="AN38" s="15">
        <v>924.87396910549933</v>
      </c>
      <c r="AP38" s="41">
        <f ca="1">AD38*AJ38/(AJ38+AK38)*2.71828^(-0.69315/半Cs134*(NOW()-R38)/365.25)+AD38*AK38/(AJ38+AK38)*2.71828^(-0.69315/半Cs137*(NOW()-R38)/365.25)</f>
        <v>143.68332968133066</v>
      </c>
    </row>
    <row r="39" spans="1:42" ht="9.9499999999999993" customHeight="1" x14ac:dyDescent="0.15">
      <c r="A39" s="6"/>
      <c r="R39" s="60">
        <v>41105</v>
      </c>
      <c r="S39" s="592">
        <f t="shared" si="13"/>
        <v>234.6526215938508</v>
      </c>
      <c r="T39" s="592">
        <f t="shared" si="14"/>
        <v>602.08848613211319</v>
      </c>
      <c r="U39" s="102">
        <f t="shared" si="15"/>
        <v>836.74110772596396</v>
      </c>
      <c r="V39" s="101">
        <f t="shared" si="16"/>
        <v>38.381384628264122</v>
      </c>
      <c r="W39" s="101">
        <f t="shared" si="17"/>
        <v>98.481702908413155</v>
      </c>
      <c r="X39" s="102">
        <f t="shared" si="18"/>
        <v>136.86308753667728</v>
      </c>
      <c r="Y39" s="564">
        <f t="shared" si="0"/>
        <v>433.30218747115367</v>
      </c>
      <c r="Z39" s="53">
        <f t="shared" si="1"/>
        <v>216.65109373557686</v>
      </c>
      <c r="AA39" s="53">
        <f t="shared" si="9"/>
        <v>181.28087616234822</v>
      </c>
      <c r="AB39" s="53">
        <f t="shared" si="2"/>
        <v>563.2928437124998</v>
      </c>
      <c r="AC39" s="53">
        <f t="shared" si="10"/>
        <v>77.093997777807729</v>
      </c>
      <c r="AD39" s="77">
        <f t="shared" si="11"/>
        <v>258.37487394015596</v>
      </c>
      <c r="AE39" s="67">
        <f t="shared" si="3"/>
        <v>3.7376035620682686E-19</v>
      </c>
      <c r="AF39" s="42">
        <f t="shared" si="4"/>
        <v>0.6364262841814281</v>
      </c>
      <c r="AG39" s="42">
        <f t="shared" si="5"/>
        <v>0.96948781368286929</v>
      </c>
      <c r="AH39" s="42">
        <f t="shared" si="12"/>
        <v>1.6059140978642974</v>
      </c>
      <c r="AI39" s="41">
        <f t="shared" si="6"/>
        <v>401.4785244660743</v>
      </c>
      <c r="AJ39" s="41">
        <f t="shared" si="7"/>
        <v>318.21314209071403</v>
      </c>
      <c r="AK39" s="41">
        <f t="shared" si="8"/>
        <v>484.74390684143464</v>
      </c>
      <c r="AM39" s="15">
        <v>512.15485234831783</v>
      </c>
      <c r="AN39" s="15">
        <v>842.81380956372755</v>
      </c>
      <c r="AP39" s="41">
        <f ca="1">AD39*AJ39/(AJ39+AK39)*2.71828^(-0.69315/半Cs134*(NOW()-R39)/365.25)+AD39*AK39/(AJ39+AK39)*2.71828^(-0.69315/半Cs137*(NOW()-R39)/365.25)</f>
        <v>139.87642112073826</v>
      </c>
    </row>
    <row r="40" spans="1:42" ht="9.9499999999999993" customHeight="1" x14ac:dyDescent="0.15">
      <c r="A40" s="6"/>
      <c r="R40" s="60">
        <v>41136</v>
      </c>
      <c r="S40" s="592">
        <f t="shared" si="13"/>
        <v>189.35149522108264</v>
      </c>
      <c r="T40" s="592">
        <f t="shared" si="14"/>
        <v>500.40789107781768</v>
      </c>
      <c r="U40" s="102">
        <f t="shared" si="15"/>
        <v>689.75938629890038</v>
      </c>
      <c r="V40" s="101">
        <f t="shared" si="16"/>
        <v>30.971623153635118</v>
      </c>
      <c r="W40" s="101">
        <f t="shared" si="17"/>
        <v>81.85013066557417</v>
      </c>
      <c r="X40" s="102">
        <f t="shared" si="18"/>
        <v>112.82175381920929</v>
      </c>
      <c r="Y40" s="564">
        <f t="shared" si="0"/>
        <v>439.38826246409036</v>
      </c>
      <c r="Z40" s="53">
        <f t="shared" si="1"/>
        <v>219.69413123204518</v>
      </c>
      <c r="AA40" s="53">
        <f t="shared" si="9"/>
        <v>151.53608913208555</v>
      </c>
      <c r="AB40" s="53">
        <f t="shared" si="2"/>
        <v>571.20474120331744</v>
      </c>
      <c r="AC40" s="53">
        <f t="shared" si="10"/>
        <v>64.444320692405839</v>
      </c>
      <c r="AD40" s="77">
        <f t="shared" si="11"/>
        <v>215.9804098244914</v>
      </c>
      <c r="AE40" s="67">
        <f t="shared" si="3"/>
        <v>2.5653821860231441E-20</v>
      </c>
      <c r="AF40" s="42">
        <f t="shared" si="4"/>
        <v>0.61852528567505549</v>
      </c>
      <c r="AG40" s="42">
        <f t="shared" si="5"/>
        <v>0.96759292995541935</v>
      </c>
      <c r="AH40" s="42">
        <f t="shared" si="12"/>
        <v>1.5861182156304747</v>
      </c>
      <c r="AI40" s="41">
        <f t="shared" si="6"/>
        <v>396.52955390761872</v>
      </c>
      <c r="AJ40" s="41">
        <f t="shared" si="7"/>
        <v>309.26264283752772</v>
      </c>
      <c r="AK40" s="41">
        <f t="shared" si="8"/>
        <v>483.79646497770966</v>
      </c>
      <c r="AM40" s="15">
        <v>413.28022000427598</v>
      </c>
      <c r="AN40" s="15">
        <v>700.47956526194685</v>
      </c>
      <c r="AP40" s="41">
        <f ca="1">AD40*AJ40/(AJ40+AK40)*2.71828^(-0.69315/半Cs134*(NOW()-R40)/365.25)+AD40*AK40/(AJ40+AK40)*2.71828^(-0.69315/半Cs137*(NOW()-R40)/365.25)</f>
        <v>118.38463868056184</v>
      </c>
    </row>
    <row r="41" spans="1:42" ht="9.9499999999999993" customHeight="1" x14ac:dyDescent="0.15">
      <c r="A41" s="6"/>
      <c r="R41" s="60">
        <v>41167</v>
      </c>
      <c r="S41" s="592">
        <f t="shared" si="13"/>
        <v>164.17082817040514</v>
      </c>
      <c r="T41" s="592">
        <f t="shared" si="14"/>
        <v>446.92820895221854</v>
      </c>
      <c r="U41" s="102">
        <f t="shared" si="15"/>
        <v>611.09903712262371</v>
      </c>
      <c r="V41" s="101">
        <f t="shared" si="16"/>
        <v>26.852901356692545</v>
      </c>
      <c r="W41" s="101">
        <f t="shared" si="17"/>
        <v>73.102628781650139</v>
      </c>
      <c r="X41" s="102">
        <f t="shared" si="18"/>
        <v>99.955530138342681</v>
      </c>
      <c r="Y41" s="564">
        <f t="shared" si="0"/>
        <v>407.42044439496033</v>
      </c>
      <c r="Z41" s="53">
        <f t="shared" si="1"/>
        <v>203.71022219748016</v>
      </c>
      <c r="AA41" s="53">
        <f t="shared" si="9"/>
        <v>124.48712063691586</v>
      </c>
      <c r="AB41" s="53">
        <f t="shared" si="2"/>
        <v>529.64657771344844</v>
      </c>
      <c r="AC41" s="53">
        <f t="shared" si="10"/>
        <v>52.941104461306658</v>
      </c>
      <c r="AD41" s="77">
        <f t="shared" si="11"/>
        <v>177.42822509822253</v>
      </c>
      <c r="AE41" s="67">
        <f t="shared" si="3"/>
        <v>1.7608035873989329E-21</v>
      </c>
      <c r="AF41" s="42">
        <f t="shared" si="4"/>
        <v>0.60112779520329729</v>
      </c>
      <c r="AG41" s="42">
        <f t="shared" si="5"/>
        <v>0.96570174981690582</v>
      </c>
      <c r="AH41" s="42">
        <f t="shared" si="12"/>
        <v>1.566829545020203</v>
      </c>
      <c r="AI41" s="41">
        <f t="shared" si="6"/>
        <v>391.70738625505078</v>
      </c>
      <c r="AJ41" s="41">
        <f t="shared" si="7"/>
        <v>300.56389760164865</v>
      </c>
      <c r="AK41" s="41">
        <f t="shared" si="8"/>
        <v>482.85087490845291</v>
      </c>
      <c r="AM41" s="15">
        <v>358.32067713714514</v>
      </c>
      <c r="AN41" s="15">
        <v>625.61778719326082</v>
      </c>
      <c r="AP41" s="41">
        <f ca="1">AD41*AJ41/(AJ41+AK41)*2.71828^(-0.69315/半Cs134*(NOW()-R41)/365.25)+AD41*AK41/(AJ41+AK41)*2.71828^(-0.69315/半Cs137*(NOW()-R41)/365.25)</f>
        <v>98.450403557788547</v>
      </c>
    </row>
    <row r="42" spans="1:42" ht="9.9499999999999993" customHeight="1" x14ac:dyDescent="0.15">
      <c r="A42" s="6"/>
      <c r="R42" s="60">
        <v>41197</v>
      </c>
      <c r="S42" s="592">
        <f t="shared" si="13"/>
        <v>141.41823990771067</v>
      </c>
      <c r="T42" s="592">
        <f t="shared" si="14"/>
        <v>396.22387741468822</v>
      </c>
      <c r="U42" s="102">
        <f t="shared" si="15"/>
        <v>537.64211732239892</v>
      </c>
      <c r="V42" s="101">
        <f t="shared" si="16"/>
        <v>23.131332701429379</v>
      </c>
      <c r="W42" s="101">
        <f t="shared" si="17"/>
        <v>64.809082185655186</v>
      </c>
      <c r="X42" s="102">
        <f t="shared" si="18"/>
        <v>87.940414887084557</v>
      </c>
      <c r="Y42" s="564">
        <f t="shared" si="0"/>
        <v>419.20984610641688</v>
      </c>
      <c r="Z42" s="53">
        <f t="shared" si="1"/>
        <v>209.60492305320847</v>
      </c>
      <c r="AA42" s="53">
        <f t="shared" si="9"/>
        <v>112.69243463152551</v>
      </c>
      <c r="AB42" s="53">
        <f t="shared" si="2"/>
        <v>544.97279993834195</v>
      </c>
      <c r="AC42" s="53">
        <f t="shared" si="10"/>
        <v>47.925134128753918</v>
      </c>
      <c r="AD42" s="77">
        <f t="shared" si="11"/>
        <v>160.61756876027943</v>
      </c>
      <c r="AE42" s="67">
        <f t="shared" si="3"/>
        <v>1.3176501447049805E-22</v>
      </c>
      <c r="AF42" s="42">
        <f t="shared" si="4"/>
        <v>0.58475757831489616</v>
      </c>
      <c r="AG42" s="42">
        <f t="shared" si="5"/>
        <v>0.96387509498103519</v>
      </c>
      <c r="AH42" s="42">
        <f t="shared" si="12"/>
        <v>1.5486326732959315</v>
      </c>
      <c r="AI42" s="41">
        <f t="shared" si="6"/>
        <v>387.15816832398286</v>
      </c>
      <c r="AJ42" s="41">
        <f t="shared" si="7"/>
        <v>292.37878915744807</v>
      </c>
      <c r="AK42" s="41">
        <f t="shared" si="8"/>
        <v>481.9375474905176</v>
      </c>
      <c r="AM42" s="15">
        <v>308.66068014639461</v>
      </c>
      <c r="AN42" s="15">
        <v>554.64099257116402</v>
      </c>
      <c r="AP42" s="41">
        <f ca="1">AD42*AJ42/(AJ42+AK42)*2.71828^(-0.69315/半Cs134*(NOW()-R42)/365.25)+AD42*AK42/(AJ42+AK42)*2.71828^(-0.69315/半Cs137*(NOW()-R42)/365.25)</f>
        <v>90.169814199227361</v>
      </c>
    </row>
    <row r="43" spans="1:42" ht="9.9499999999999993" customHeight="1" x14ac:dyDescent="0.15">
      <c r="A43" s="6"/>
      <c r="R43" s="60">
        <v>41228</v>
      </c>
      <c r="S43" s="592">
        <f t="shared" si="13"/>
        <v>110.05410513911563</v>
      </c>
      <c r="T43" s="592">
        <f t="shared" si="14"/>
        <v>317.66788204256375</v>
      </c>
      <c r="U43" s="102">
        <f t="shared" si="15"/>
        <v>427.72198718167937</v>
      </c>
      <c r="V43" s="101">
        <f t="shared" si="16"/>
        <v>18.001200713516809</v>
      </c>
      <c r="W43" s="101">
        <f t="shared" si="17"/>
        <v>51.959927325359956</v>
      </c>
      <c r="X43" s="102">
        <f t="shared" si="18"/>
        <v>69.961128038876765</v>
      </c>
      <c r="Y43" s="564">
        <f t="shared" si="0"/>
        <v>379.19980617551744</v>
      </c>
      <c r="Z43" s="53">
        <f t="shared" si="1"/>
        <v>189.59990308775875</v>
      </c>
      <c r="AA43" s="53">
        <f t="shared" si="9"/>
        <v>81.096047318149999</v>
      </c>
      <c r="AB43" s="53">
        <f t="shared" si="2"/>
        <v>492.95974802817273</v>
      </c>
      <c r="AC43" s="53">
        <f t="shared" si="10"/>
        <v>34.488020049811418</v>
      </c>
      <c r="AD43" s="77">
        <f t="shared" si="11"/>
        <v>115.58406736796141</v>
      </c>
      <c r="AE43" s="67">
        <f t="shared" si="3"/>
        <v>9.0439666821337877E-24</v>
      </c>
      <c r="AF43" s="42">
        <f t="shared" si="4"/>
        <v>0.56830988469163757</v>
      </c>
      <c r="AG43" s="42">
        <f t="shared" si="5"/>
        <v>0.96199118142689222</v>
      </c>
      <c r="AH43" s="42">
        <f t="shared" si="12"/>
        <v>1.5303010661185299</v>
      </c>
      <c r="AI43" s="41">
        <f t="shared" si="6"/>
        <v>382.57526652963247</v>
      </c>
      <c r="AJ43" s="41">
        <f t="shared" si="7"/>
        <v>284.15494234581877</v>
      </c>
      <c r="AK43" s="41">
        <f t="shared" si="8"/>
        <v>480.99559071344612</v>
      </c>
      <c r="AM43" s="15">
        <v>240.20504686885241</v>
      </c>
      <c r="AN43" s="15">
        <v>444.67696029248822</v>
      </c>
      <c r="AP43" s="41">
        <f ca="1">AD43*AJ43/(AJ43+AK43)*2.71828^(-0.69315/半Cs134*(NOW()-R43)/365.25)+AD43*AK43/(AJ43+AK43)*2.71828^(-0.69315/半Cs137*(NOW()-R43)/365.25)</f>
        <v>65.665557703465964</v>
      </c>
    </row>
    <row r="44" spans="1:42" ht="9.9499999999999993" customHeight="1" x14ac:dyDescent="0.15">
      <c r="A44" s="6"/>
      <c r="R44" s="60">
        <v>41258</v>
      </c>
      <c r="S44" s="592">
        <f t="shared" si="13"/>
        <v>75.981321422325877</v>
      </c>
      <c r="T44" s="592">
        <f t="shared" si="14"/>
        <v>225.76291779664905</v>
      </c>
      <c r="U44" s="102">
        <f t="shared" si="15"/>
        <v>301.74423921897494</v>
      </c>
      <c r="V44" s="101">
        <f t="shared" si="16"/>
        <v>12.428023613227241</v>
      </c>
      <c r="W44" s="101">
        <f t="shared" si="17"/>
        <v>36.927323990227421</v>
      </c>
      <c r="X44" s="102">
        <f t="shared" si="18"/>
        <v>49.355347603454661</v>
      </c>
      <c r="Y44" s="564">
        <f t="shared" si="0"/>
        <v>380.5836918006064</v>
      </c>
      <c r="Z44" s="53">
        <f t="shared" si="1"/>
        <v>190.2918459003032</v>
      </c>
      <c r="AA44" s="53">
        <f t="shared" si="9"/>
        <v>57.419468270761406</v>
      </c>
      <c r="AB44" s="53">
        <f t="shared" si="2"/>
        <v>494.75879934078836</v>
      </c>
      <c r="AC44" s="53">
        <f t="shared" si="10"/>
        <v>24.418992521332481</v>
      </c>
      <c r="AD44" s="77">
        <f t="shared" si="11"/>
        <v>81.838460792093883</v>
      </c>
      <c r="AE44" s="67">
        <f t="shared" si="3"/>
        <v>6.7678099321822357E-25</v>
      </c>
      <c r="AF44" s="42">
        <f t="shared" si="4"/>
        <v>0.5528333817808414</v>
      </c>
      <c r="AG44" s="42">
        <f t="shared" si="5"/>
        <v>0.96017154524630988</v>
      </c>
      <c r="AH44" s="42">
        <f t="shared" si="12"/>
        <v>1.5130049270271513</v>
      </c>
      <c r="AI44" s="41">
        <f t="shared" si="6"/>
        <v>378.25123175678777</v>
      </c>
      <c r="AJ44" s="41">
        <f t="shared" si="7"/>
        <v>276.41669089042068</v>
      </c>
      <c r="AK44" s="41">
        <f t="shared" si="8"/>
        <v>480.08577262315492</v>
      </c>
      <c r="AM44" s="15">
        <v>165.83749284351126</v>
      </c>
      <c r="AN44" s="15">
        <v>316.02681198700947</v>
      </c>
      <c r="AP44" s="41">
        <f ca="1">AD44*AJ44/(AJ44+AK44)*2.71828^(-0.69315/半Cs134*(NOW()-R44)/365.25)+AD44*AK44/(AJ44+AK44)*2.71828^(-0.69315/半Cs137*(NOW()-R44)/365.25)</f>
        <v>47.025525259871088</v>
      </c>
    </row>
    <row r="45" spans="1:42" ht="9.9499999999999993" customHeight="1" x14ac:dyDescent="0.15">
      <c r="A45" s="6"/>
      <c r="R45" s="60">
        <v>41289</v>
      </c>
      <c r="S45" s="592">
        <f t="shared" si="13"/>
        <v>64.049327568419088</v>
      </c>
      <c r="T45" s="592">
        <f t="shared" si="14"/>
        <v>196.09356247067751</v>
      </c>
      <c r="U45" s="102">
        <f t="shared" si="15"/>
        <v>260.14289003909659</v>
      </c>
      <c r="V45" s="101">
        <f t="shared" si="16"/>
        <v>10.476345245526952</v>
      </c>
      <c r="W45" s="101">
        <f t="shared" si="17"/>
        <v>32.074401697248476</v>
      </c>
      <c r="X45" s="102">
        <f t="shared" si="18"/>
        <v>42.550746942775426</v>
      </c>
      <c r="Y45" s="564">
        <f t="shared" si="0"/>
        <v>348.71040336159768</v>
      </c>
      <c r="Z45" s="53">
        <f t="shared" si="1"/>
        <v>174.35520168079884</v>
      </c>
      <c r="AA45" s="53">
        <f t="shared" si="9"/>
        <v>45.357266058592565</v>
      </c>
      <c r="AB45" s="53">
        <f t="shared" si="2"/>
        <v>453.323524370077</v>
      </c>
      <c r="AC45" s="53">
        <f t="shared" si="10"/>
        <v>19.289254568678235</v>
      </c>
      <c r="AD45" s="77">
        <f t="shared" si="11"/>
        <v>64.646520627270803</v>
      </c>
      <c r="AE45" s="67">
        <f t="shared" si="3"/>
        <v>4.6452275502443482E-26</v>
      </c>
      <c r="AF45" s="42">
        <f t="shared" si="4"/>
        <v>0.53728363189227357</v>
      </c>
      <c r="AG45" s="42">
        <f t="shared" si="5"/>
        <v>0.95829487035574479</v>
      </c>
      <c r="AH45" s="42">
        <f t="shared" si="12"/>
        <v>1.4955785022480184</v>
      </c>
      <c r="AI45" s="41">
        <f t="shared" si="6"/>
        <v>373.89462556200459</v>
      </c>
      <c r="AJ45" s="41">
        <f t="shared" si="7"/>
        <v>268.64181594613677</v>
      </c>
      <c r="AK45" s="41">
        <f t="shared" si="8"/>
        <v>479.14743517787241</v>
      </c>
      <c r="AM45" s="15">
        <v>139.794619301506</v>
      </c>
      <c r="AN45" s="15">
        <v>274.49513854442</v>
      </c>
      <c r="AP45" s="41">
        <f ca="1">AD45*AJ45/(AJ45+AK45)*2.71828^(-0.69315/半Cs134*(NOW()-R45)/365.25)+AD45*AK45/(AJ45+AK45)*2.71828^(-0.69315/半Cs137*(NOW()-R45)/365.25)</f>
        <v>37.579628839541229</v>
      </c>
    </row>
    <row r="46" spans="1:42" ht="9.9499999999999993" customHeight="1" x14ac:dyDescent="0.15">
      <c r="A46" s="6"/>
      <c r="R46" s="60">
        <v>41320</v>
      </c>
      <c r="S46" s="592">
        <f t="shared" si="13"/>
        <v>54.609129926158332</v>
      </c>
      <c r="T46" s="592">
        <f t="shared" si="14"/>
        <v>172.29125120880983</v>
      </c>
      <c r="U46" s="102">
        <f t="shared" si="15"/>
        <v>226.90038113496814</v>
      </c>
      <c r="V46" s="101">
        <f t="shared" si="16"/>
        <v>8.9322420762831065</v>
      </c>
      <c r="W46" s="101">
        <f t="shared" si="17"/>
        <v>28.181133182376929</v>
      </c>
      <c r="X46" s="102">
        <f t="shared" si="18"/>
        <v>37.113375258660035</v>
      </c>
      <c r="Y46" s="564">
        <f t="shared" si="0"/>
        <v>298.38435895060292</v>
      </c>
      <c r="Z46" s="53">
        <f t="shared" si="1"/>
        <v>149.19217947530146</v>
      </c>
      <c r="AA46" s="53">
        <f t="shared" si="9"/>
        <v>33.851762385302472</v>
      </c>
      <c r="AB46" s="53">
        <f t="shared" si="2"/>
        <v>387.89966663578383</v>
      </c>
      <c r="AC46" s="53">
        <f t="shared" si="10"/>
        <v>14.396265890562976</v>
      </c>
      <c r="AD46" s="77">
        <f t="shared" si="11"/>
        <v>48.248028275865451</v>
      </c>
      <c r="AE46" s="67">
        <f t="shared" si="3"/>
        <v>3.1883488469350934E-27</v>
      </c>
      <c r="AF46" s="42">
        <f t="shared" si="4"/>
        <v>0.52217125559503663</v>
      </c>
      <c r="AG46" s="42">
        <f t="shared" si="5"/>
        <v>0.95642186346457236</v>
      </c>
      <c r="AH46" s="42">
        <f t="shared" si="12"/>
        <v>1.4785931190596089</v>
      </c>
      <c r="AI46" s="41">
        <f t="shared" si="6"/>
        <v>369.64827976490221</v>
      </c>
      <c r="AJ46" s="41">
        <f t="shared" si="7"/>
        <v>261.08562779751833</v>
      </c>
      <c r="AK46" s="41">
        <f t="shared" si="8"/>
        <v>478.21093173228616</v>
      </c>
      <c r="AM46" s="15">
        <v>119.19036183883253</v>
      </c>
      <c r="AN46" s="15">
        <v>241.17625420582388</v>
      </c>
      <c r="AP46" s="41">
        <f ca="1">AD46*AJ46/(AJ46+AK46)*2.71828^(-0.69315/半Cs134*(NOW()-R46)/365.25)+AD46*AK46/(AJ46+AK46)*2.71828^(-0.69315/半Cs137*(NOW()-R46)/365.25)</f>
        <v>28.369222536023322</v>
      </c>
    </row>
    <row r="47" spans="1:42" ht="9.9499999999999993" customHeight="1" x14ac:dyDescent="0.15">
      <c r="A47" s="6"/>
      <c r="R47" s="60">
        <v>41348</v>
      </c>
      <c r="S47" s="592">
        <f t="shared" si="13"/>
        <v>47.730211207486391</v>
      </c>
      <c r="T47" s="592">
        <f t="shared" si="14"/>
        <v>154.70833110061034</v>
      </c>
      <c r="U47" s="102">
        <f t="shared" si="15"/>
        <v>202.43854230809671</v>
      </c>
      <c r="V47" s="101">
        <f t="shared" si="16"/>
        <v>7.8070791721801314</v>
      </c>
      <c r="W47" s="101">
        <f t="shared" si="17"/>
        <v>25.305150740855684</v>
      </c>
      <c r="X47" s="102">
        <f t="shared" si="18"/>
        <v>33.112229913035819</v>
      </c>
      <c r="Y47" s="564">
        <f t="shared" si="0"/>
        <v>361.74121923236214</v>
      </c>
      <c r="Z47" s="53">
        <f t="shared" si="1"/>
        <v>180.8706096161811</v>
      </c>
      <c r="AA47" s="53">
        <f t="shared" si="9"/>
        <v>36.615182557076523</v>
      </c>
      <c r="AB47" s="53">
        <f t="shared" si="2"/>
        <v>470.26358500207084</v>
      </c>
      <c r="AC47" s="53">
        <f t="shared" si="10"/>
        <v>15.571475946317031</v>
      </c>
      <c r="AD47" s="77">
        <f t="shared" si="11"/>
        <v>52.186658503393552</v>
      </c>
      <c r="AE47" s="67">
        <f t="shared" si="3"/>
        <v>2.8360622067534579E-28</v>
      </c>
      <c r="AF47" s="42">
        <f t="shared" si="4"/>
        <v>0.50888705937041046</v>
      </c>
      <c r="AG47" s="42">
        <f t="shared" si="5"/>
        <v>0.95473326206495868</v>
      </c>
      <c r="AH47" s="42">
        <f t="shared" si="12"/>
        <v>1.4636203214353691</v>
      </c>
      <c r="AI47" s="41">
        <f t="shared" si="6"/>
        <v>365.90508035884227</v>
      </c>
      <c r="AJ47" s="41">
        <f t="shared" si="7"/>
        <v>254.44352968520522</v>
      </c>
      <c r="AK47" s="41">
        <f t="shared" si="8"/>
        <v>477.36663103247935</v>
      </c>
      <c r="AM47" s="15">
        <v>104.17637402677464</v>
      </c>
      <c r="AN47" s="15">
        <v>216.56338048215233</v>
      </c>
      <c r="AP47" s="41">
        <f ca="1">AD47*AJ47/(AJ47+AK47)*2.71828^(-0.69315/半Cs134*(NOW()-R47)/365.25)+AD47*AK47/(AJ47+AK47)*2.71828^(-0.69315/半Cs137*(NOW()-R47)/365.25)</f>
        <v>30.998994287517114</v>
      </c>
    </row>
    <row r="48" spans="1:42" ht="9.9499999999999993" customHeight="1" x14ac:dyDescent="0.15">
      <c r="A48" s="6"/>
      <c r="R48" s="60">
        <v>41379</v>
      </c>
      <c r="S48" s="592">
        <f t="shared" si="13"/>
        <v>76.343255751148533</v>
      </c>
      <c r="T48" s="592">
        <f t="shared" si="14"/>
        <v>254.96120047568397</v>
      </c>
      <c r="U48" s="102">
        <f t="shared" si="15"/>
        <v>331.30445622683249</v>
      </c>
      <c r="V48" s="101">
        <f t="shared" si="16"/>
        <v>12.487224062769881</v>
      </c>
      <c r="W48" s="101">
        <f t="shared" si="17"/>
        <v>41.703194425327595</v>
      </c>
      <c r="X48" s="102">
        <f t="shared" si="18"/>
        <v>54.190418488097478</v>
      </c>
      <c r="Y48" s="564">
        <f t="shared" si="0"/>
        <v>358.74247457499411</v>
      </c>
      <c r="Z48" s="53">
        <f t="shared" si="1"/>
        <v>179.37123728749705</v>
      </c>
      <c r="AA48" s="53">
        <f t="shared" si="9"/>
        <v>59.42649023226835</v>
      </c>
      <c r="AB48" s="53">
        <f t="shared" si="2"/>
        <v>466.36521694749234</v>
      </c>
      <c r="AC48" s="53">
        <f t="shared" si="10"/>
        <v>25.272526274676981</v>
      </c>
      <c r="AD48" s="77">
        <f t="shared" si="11"/>
        <v>84.699016506945327</v>
      </c>
      <c r="AE48" s="67">
        <f t="shared" si="3"/>
        <v>1.9465904670833763E-29</v>
      </c>
      <c r="AF48" s="42">
        <f t="shared" si="4"/>
        <v>0.49457340401687827</v>
      </c>
      <c r="AG48" s="42">
        <f t="shared" si="5"/>
        <v>0.95286721640991368</v>
      </c>
      <c r="AH48" s="42">
        <f t="shared" si="12"/>
        <v>1.447440620426792</v>
      </c>
      <c r="AI48" s="41">
        <f t="shared" si="6"/>
        <v>361.86015510669802</v>
      </c>
      <c r="AJ48" s="41">
        <f t="shared" si="7"/>
        <v>247.28670200843914</v>
      </c>
      <c r="AK48" s="41">
        <f t="shared" si="8"/>
        <v>476.43360820495684</v>
      </c>
      <c r="AM48" s="15">
        <v>166.62745385685463</v>
      </c>
      <c r="AN48" s="15">
        <v>356.89906984320146</v>
      </c>
      <c r="AP48" s="41">
        <f ca="1">AD48*AJ48/(AJ48+AK48)*2.71828^(-0.69315/半Cs134*(NOW()-R48)/365.25)+AD48*AK48/(AJ48+AK48)*2.71828^(-0.69315/半Cs137*(NOW()-R48)/365.25)</f>
        <v>50.873797386253749</v>
      </c>
    </row>
    <row r="49" spans="1:42" ht="9.9499999999999993" customHeight="1" x14ac:dyDescent="0.15">
      <c r="A49" s="6"/>
      <c r="R49" s="60">
        <v>41409</v>
      </c>
      <c r="S49" s="592">
        <f t="shared" si="13"/>
        <v>107.69993988127801</v>
      </c>
      <c r="T49" s="592">
        <f t="shared" si="14"/>
        <v>370.24537605742518</v>
      </c>
      <c r="U49" s="102">
        <f t="shared" si="15"/>
        <v>477.94531593870317</v>
      </c>
      <c r="V49" s="101">
        <f t="shared" si="16"/>
        <v>17.616137373393741</v>
      </c>
      <c r="W49" s="101">
        <f t="shared" si="17"/>
        <v>60.559861163165131</v>
      </c>
      <c r="X49" s="102">
        <f t="shared" si="18"/>
        <v>78.175998536558865</v>
      </c>
      <c r="Y49" s="564">
        <f t="shared" si="0"/>
        <v>403.09320362723093</v>
      </c>
      <c r="Z49" s="53">
        <f t="shared" si="1"/>
        <v>201.54660181361547</v>
      </c>
      <c r="AA49" s="53">
        <f t="shared" si="9"/>
        <v>96.328254280180445</v>
      </c>
      <c r="AB49" s="53">
        <f t="shared" si="2"/>
        <v>524.02116471540023</v>
      </c>
      <c r="AC49" s="53">
        <f t="shared" si="10"/>
        <v>40.965877805917003</v>
      </c>
      <c r="AD49" s="77">
        <f t="shared" si="11"/>
        <v>137.29413208609745</v>
      </c>
      <c r="AE49" s="67">
        <f t="shared" si="3"/>
        <v>1.4566787738220304E-30</v>
      </c>
      <c r="AF49" s="42">
        <f t="shared" si="4"/>
        <v>0.48110493033192242</v>
      </c>
      <c r="AG49" s="42">
        <f t="shared" si="5"/>
        <v>0.95106483849237566</v>
      </c>
      <c r="AH49" s="42">
        <f t="shared" si="12"/>
        <v>1.432169768824298</v>
      </c>
      <c r="AI49" s="41">
        <f t="shared" si="6"/>
        <v>358.0424422060745</v>
      </c>
      <c r="AJ49" s="41">
        <f t="shared" si="7"/>
        <v>240.55246516596122</v>
      </c>
      <c r="AK49" s="41">
        <f t="shared" si="8"/>
        <v>475.53241924618783</v>
      </c>
      <c r="AM49" s="15">
        <v>235.06682530609376</v>
      </c>
      <c r="AN49" s="15">
        <v>518.27583993998246</v>
      </c>
      <c r="AP49" s="41">
        <f ca="1">AD49*AJ49/(AJ49+AK49)*2.71828^(-0.69315/半Cs134*(NOW()-R49)/365.25)+AD49*AK49/(AJ49+AK49)*2.71828^(-0.69315/半Cs137*(NOW()-R49)/365.25)</f>
        <v>83.34393832911617</v>
      </c>
    </row>
    <row r="50" spans="1:42" ht="9.9499999999999993" customHeight="1" x14ac:dyDescent="0.15">
      <c r="A50" s="6"/>
      <c r="R50" s="60">
        <v>41440</v>
      </c>
      <c r="S50" s="592">
        <f t="shared" si="13"/>
        <v>108.63078199637339</v>
      </c>
      <c r="T50" s="592">
        <f t="shared" si="14"/>
        <v>384.79325043544077</v>
      </c>
      <c r="U50" s="102">
        <f t="shared" si="15"/>
        <v>493.42403243181417</v>
      </c>
      <c r="V50" s="101">
        <f t="shared" si="16"/>
        <v>17.76839226406997</v>
      </c>
      <c r="W50" s="101">
        <f t="shared" si="17"/>
        <v>62.939410806521501</v>
      </c>
      <c r="X50" s="102">
        <f t="shared" si="18"/>
        <v>80.707803070591467</v>
      </c>
      <c r="Y50" s="564">
        <f t="shared" si="0"/>
        <v>395.57562521303902</v>
      </c>
      <c r="Z50" s="53">
        <f t="shared" si="1"/>
        <v>197.78781260651954</v>
      </c>
      <c r="AA50" s="53">
        <f t="shared" si="9"/>
        <v>97.593260062176881</v>
      </c>
      <c r="AB50" s="53">
        <f t="shared" si="2"/>
        <v>514.2483127769508</v>
      </c>
      <c r="AC50" s="53">
        <f t="shared" si="10"/>
        <v>41.503851556986071</v>
      </c>
      <c r="AD50" s="77">
        <f t="shared" si="11"/>
        <v>139.09711161916294</v>
      </c>
      <c r="AE50" s="67">
        <f t="shared" si="3"/>
        <v>9.9982186849511643E-32</v>
      </c>
      <c r="AF50" s="42">
        <f t="shared" si="4"/>
        <v>0.4675727132419929</v>
      </c>
      <c r="AG50" s="42">
        <f t="shared" si="5"/>
        <v>0.94920596284610759</v>
      </c>
      <c r="AH50" s="42">
        <f t="shared" si="12"/>
        <v>1.4167786760881005</v>
      </c>
      <c r="AI50" s="41">
        <f t="shared" si="6"/>
        <v>354.1946690220251</v>
      </c>
      <c r="AJ50" s="41">
        <f t="shared" si="7"/>
        <v>233.78635662099646</v>
      </c>
      <c r="AK50" s="41">
        <f t="shared" si="8"/>
        <v>474.60298142305379</v>
      </c>
      <c r="AM50" s="15">
        <v>237.09848940078018</v>
      </c>
      <c r="AN50" s="15">
        <v>538.64020449436373</v>
      </c>
      <c r="AP50" s="41">
        <f ca="1">AD50*AJ50/(AJ50+AK50)*2.71828^(-0.69315/半Cs134*(NOW()-R50)/365.25)+AD50*AK50/(AJ50+AK50)*2.71828^(-0.69315/半Cs137*(NOW()-R50)/365.25)</f>
        <v>85.355722937068506</v>
      </c>
    </row>
    <row r="51" spans="1:42" ht="9.9499999999999993" customHeight="1" x14ac:dyDescent="0.15">
      <c r="A51" s="6"/>
      <c r="R51" s="60">
        <v>41470</v>
      </c>
      <c r="S51" s="592">
        <f t="shared" si="13"/>
        <v>96.832962805745154</v>
      </c>
      <c r="T51" s="592">
        <f t="shared" si="14"/>
        <v>353.09540833463296</v>
      </c>
      <c r="U51" s="102">
        <f t="shared" si="15"/>
        <v>449.92837114037809</v>
      </c>
      <c r="V51" s="101">
        <f t="shared" si="16"/>
        <v>15.838660420229859</v>
      </c>
      <c r="W51" s="101">
        <f t="shared" si="17"/>
        <v>57.754695369321503</v>
      </c>
      <c r="X51" s="102">
        <f t="shared" si="18"/>
        <v>73.593355789551367</v>
      </c>
      <c r="Y51" s="564">
        <f t="shared" si="0"/>
        <v>420.86044134979267</v>
      </c>
      <c r="Z51" s="53">
        <f t="shared" si="1"/>
        <v>210.43022067489633</v>
      </c>
      <c r="AA51" s="53">
        <f t="shared" si="9"/>
        <v>94.678526426966414</v>
      </c>
      <c r="AB51" s="53">
        <f t="shared" si="2"/>
        <v>547.11857375473051</v>
      </c>
      <c r="AC51" s="53">
        <f t="shared" si="10"/>
        <v>40.264291857403784</v>
      </c>
      <c r="AD51" s="77">
        <f t="shared" si="11"/>
        <v>134.94281828437019</v>
      </c>
      <c r="AE51" s="67">
        <f t="shared" si="3"/>
        <v>7.4818988280679646E-33</v>
      </c>
      <c r="AF51" s="42">
        <f t="shared" si="4"/>
        <v>0.45483953605746263</v>
      </c>
      <c r="AG51" s="42">
        <f t="shared" si="5"/>
        <v>0.94741051030333334</v>
      </c>
      <c r="AH51" s="42">
        <f t="shared" si="12"/>
        <v>1.4022500463607961</v>
      </c>
      <c r="AI51" s="41">
        <f t="shared" si="6"/>
        <v>350.56251159019899</v>
      </c>
      <c r="AJ51" s="41">
        <f t="shared" si="7"/>
        <v>227.41976802873131</v>
      </c>
      <c r="AK51" s="41">
        <f t="shared" si="8"/>
        <v>473.70525515166668</v>
      </c>
      <c r="AM51" s="15">
        <v>211.3484666455829</v>
      </c>
      <c r="AN51" s="15">
        <v>494.26902040553642</v>
      </c>
      <c r="AP51" s="41">
        <f ca="1">AD51*AJ51/(AJ51+AK51)*2.71828^(-0.69315/半Cs134*(NOW()-R51)/365.25)+AD51*AK51/(AJ51+AK51)*2.71828^(-0.69315/半Cs137*(NOW()-R51)/365.25)</f>
        <v>83.664430266471001</v>
      </c>
    </row>
    <row r="52" spans="1:42" ht="9.9499999999999993" customHeight="1" thickBot="1" x14ac:dyDescent="0.2">
      <c r="A52" s="6"/>
      <c r="R52" s="60">
        <v>41501</v>
      </c>
      <c r="S52" s="592">
        <f t="shared" si="13"/>
        <v>78.681447029477113</v>
      </c>
      <c r="T52" s="592">
        <f t="shared" si="14"/>
        <v>295.59482292792012</v>
      </c>
      <c r="U52" s="102">
        <f t="shared" si="15"/>
        <v>374.27626995739723</v>
      </c>
      <c r="V52" s="101">
        <f t="shared" si="16"/>
        <v>12.86967458975915</v>
      </c>
      <c r="W52" s="101">
        <f t="shared" si="17"/>
        <v>48.349507096312109</v>
      </c>
      <c r="X52" s="102">
        <f t="shared" si="18"/>
        <v>61.219181686071259</v>
      </c>
      <c r="Y52" s="564">
        <f t="shared" si="0"/>
        <v>426.77176209009184</v>
      </c>
      <c r="Z52" s="53">
        <f t="shared" si="1"/>
        <v>213.38588104504595</v>
      </c>
      <c r="AA52" s="53">
        <f t="shared" si="9"/>
        <v>79.865271619112661</v>
      </c>
      <c r="AB52" s="53">
        <f t="shared" si="2"/>
        <v>554.80329071711947</v>
      </c>
      <c r="AC52" s="53">
        <f t="shared" si="10"/>
        <v>33.964603454441544</v>
      </c>
      <c r="AD52" s="77">
        <f t="shared" si="11"/>
        <v>113.82987507355421</v>
      </c>
      <c r="AE52" s="67">
        <f t="shared" si="3"/>
        <v>5.1353573626550779E-34</v>
      </c>
      <c r="AF52" s="42">
        <f t="shared" si="4"/>
        <v>0.44204609546901141</v>
      </c>
      <c r="AG52" s="42">
        <f t="shared" si="5"/>
        <v>0.94555877711612712</v>
      </c>
      <c r="AH52" s="42">
        <f t="shared" si="12"/>
        <v>1.3876048725851384</v>
      </c>
      <c r="AI52" s="41">
        <f t="shared" si="6"/>
        <v>346.90121814628463</v>
      </c>
      <c r="AJ52" s="41">
        <f t="shared" si="7"/>
        <v>221.0230477345057</v>
      </c>
      <c r="AK52" s="41">
        <f t="shared" si="8"/>
        <v>472.77938855806354</v>
      </c>
      <c r="AM52" s="15">
        <v>171.73081047303268</v>
      </c>
      <c r="AN52" s="15">
        <v>413.77871282615791</v>
      </c>
      <c r="AP52" s="41">
        <f ca="1">AD52*AJ52/(AJ52+AK52)*2.71828^(-0.69315/半Cs134*(NOW()-R52)/365.25)+AD52*AK52/(AJ52+AK52)*2.71828^(-0.69315/半Cs137*(NOW()-R52)/365.25)</f>
        <v>71.319286195868273</v>
      </c>
    </row>
    <row r="53" spans="1:42" ht="9.9499999999999993" customHeight="1" thickTop="1" x14ac:dyDescent="0.15">
      <c r="A53" s="6"/>
      <c r="C53" s="6" t="s">
        <v>86</v>
      </c>
      <c r="L53" s="612">
        <f ca="1">SUM(AP33:AP119)/1000</f>
        <v>3.2684940020587607</v>
      </c>
      <c r="M53" s="613"/>
      <c r="R53" s="60">
        <v>41532</v>
      </c>
      <c r="S53" s="592">
        <f t="shared" si="13"/>
        <v>68.729362082440531</v>
      </c>
      <c r="T53" s="592">
        <f t="shared" si="14"/>
        <v>265.95250344245028</v>
      </c>
      <c r="U53" s="102">
        <f t="shared" si="15"/>
        <v>334.68186552489078</v>
      </c>
      <c r="V53" s="101">
        <f t="shared" si="16"/>
        <v>11.241843638581836</v>
      </c>
      <c r="W53" s="101">
        <f t="shared" si="17"/>
        <v>43.501006969963974</v>
      </c>
      <c r="X53" s="102">
        <f t="shared" si="18"/>
        <v>54.742850608545808</v>
      </c>
      <c r="Y53" s="564">
        <f t="shared" si="0"/>
        <v>395.7218610958588</v>
      </c>
      <c r="Z53" s="53">
        <f t="shared" si="1"/>
        <v>197.86093054792943</v>
      </c>
      <c r="AA53" s="53">
        <f t="shared" si="9"/>
        <v>66.220465350271866</v>
      </c>
      <c r="AB53" s="53">
        <f t="shared" si="2"/>
        <v>514.43841942461654</v>
      </c>
      <c r="AC53" s="53">
        <f t="shared" si="10"/>
        <v>28.161825541858214</v>
      </c>
      <c r="AD53" s="77">
        <f t="shared" si="11"/>
        <v>94.382290892130072</v>
      </c>
      <c r="AE53" s="67">
        <f t="shared" si="3"/>
        <v>3.5247596697301142E-35</v>
      </c>
      <c r="AF53" s="42">
        <f t="shared" si="4"/>
        <v>0.42961250073632934</v>
      </c>
      <c r="AG53" s="42">
        <f t="shared" si="5"/>
        <v>0.94371066317924501</v>
      </c>
      <c r="AH53" s="42">
        <f t="shared" si="12"/>
        <v>1.3733231639155743</v>
      </c>
      <c r="AI53" s="41">
        <f t="shared" si="6"/>
        <v>343.33079097889356</v>
      </c>
      <c r="AJ53" s="41">
        <f t="shared" si="7"/>
        <v>214.80625036816468</v>
      </c>
      <c r="AK53" s="41">
        <f t="shared" si="8"/>
        <v>471.85533158962249</v>
      </c>
      <c r="AM53" s="15">
        <v>150.0093033277615</v>
      </c>
      <c r="AN53" s="15">
        <v>372.28488461770411</v>
      </c>
      <c r="AP53" s="41">
        <f ca="1">AD53*AJ53/(AJ53+AK53)*2.71828^(-0.69315/半Cs134*(NOW()-R53)/365.25)+AD53*AK53/(AJ53+AK53)*2.71828^(-0.69315/半Cs137*(NOW()-R53)/365.25)</f>
        <v>59.749505317289497</v>
      </c>
    </row>
    <row r="54" spans="1:42" ht="9.9499999999999993" customHeight="1" thickBot="1" x14ac:dyDescent="0.2">
      <c r="A54" s="6"/>
      <c r="D54" s="607" t="s">
        <v>84</v>
      </c>
      <c r="E54" s="608"/>
      <c r="F54" s="608"/>
      <c r="G54" s="608"/>
      <c r="H54" s="608"/>
      <c r="I54" s="608"/>
      <c r="J54" s="608"/>
      <c r="L54" s="614"/>
      <c r="M54" s="615"/>
      <c r="N54" s="80" t="s">
        <v>83</v>
      </c>
      <c r="R54" s="60">
        <v>41562</v>
      </c>
      <c r="S54" s="592">
        <f t="shared" si="13"/>
        <v>59.661706368652816</v>
      </c>
      <c r="T54" s="592">
        <f t="shared" si="14"/>
        <v>237.5652672835574</v>
      </c>
      <c r="U54" s="102">
        <f t="shared" si="15"/>
        <v>297.22697365221023</v>
      </c>
      <c r="V54" s="101">
        <f t="shared" si="16"/>
        <v>9.7586759702915113</v>
      </c>
      <c r="W54" s="101">
        <f t="shared" si="17"/>
        <v>38.857796840252874</v>
      </c>
      <c r="X54" s="102">
        <f t="shared" si="18"/>
        <v>48.616472810544387</v>
      </c>
      <c r="Y54" s="564">
        <f t="shared" si="0"/>
        <v>407.17274445394003</v>
      </c>
      <c r="Z54" s="53">
        <f t="shared" si="1"/>
        <v>203.58637222697004</v>
      </c>
      <c r="AA54" s="53">
        <f t="shared" si="9"/>
        <v>60.511361293854684</v>
      </c>
      <c r="AB54" s="53">
        <f t="shared" si="2"/>
        <v>529.32456779012205</v>
      </c>
      <c r="AC54" s="53">
        <f t="shared" si="10"/>
        <v>25.733893457921628</v>
      </c>
      <c r="AD54" s="77">
        <f t="shared" si="11"/>
        <v>86.245254751776315</v>
      </c>
      <c r="AE54" s="67">
        <f t="shared" si="3"/>
        <v>2.6376593744512754E-36</v>
      </c>
      <c r="AF54" s="42">
        <f t="shared" si="4"/>
        <v>0.4179130753044315</v>
      </c>
      <c r="AG54" s="42">
        <f t="shared" si="5"/>
        <v>0.94192560516636903</v>
      </c>
      <c r="AH54" s="42">
        <f t="shared" si="12"/>
        <v>1.3598386804708005</v>
      </c>
      <c r="AI54" s="41">
        <f t="shared" si="6"/>
        <v>339.95967011770011</v>
      </c>
      <c r="AJ54" s="41">
        <f t="shared" si="7"/>
        <v>208.95653765221576</v>
      </c>
      <c r="AK54" s="41">
        <f t="shared" si="8"/>
        <v>470.9628025831845</v>
      </c>
      <c r="AM54" s="15">
        <v>130.21815911766831</v>
      </c>
      <c r="AN54" s="15">
        <v>332.54794361795223</v>
      </c>
      <c r="AP54" s="41">
        <f ca="1">AD54*AJ54/(AJ54+AK54)*2.71828^(-0.69315/半Cs134*(NOW()-R54)/365.25)+AD54*AK54/(AJ54+AK54)*2.71828^(-0.69315/半Cs137*(NOW()-R54)/365.25)</f>
        <v>55.139695532516875</v>
      </c>
    </row>
    <row r="55" spans="1:42" ht="9.9499999999999993" customHeight="1" thickTop="1" x14ac:dyDescent="0.15">
      <c r="A55" s="6"/>
      <c r="D55" s="608"/>
      <c r="E55" s="608"/>
      <c r="F55" s="608"/>
      <c r="G55" s="608"/>
      <c r="H55" s="608"/>
      <c r="I55" s="608"/>
      <c r="J55" s="608"/>
      <c r="R55" s="60">
        <v>41593</v>
      </c>
      <c r="S55" s="592">
        <f t="shared" si="13"/>
        <v>46.824922203254012</v>
      </c>
      <c r="T55" s="592">
        <f t="shared" si="14"/>
        <v>191.97496450013375</v>
      </c>
      <c r="U55" s="102">
        <f t="shared" si="15"/>
        <v>238.79988670338776</v>
      </c>
      <c r="V55" s="101">
        <f t="shared" si="16"/>
        <v>7.6590039227532491</v>
      </c>
      <c r="W55" s="101">
        <f t="shared" si="17"/>
        <v>31.40073569785369</v>
      </c>
      <c r="X55" s="102">
        <f t="shared" si="18"/>
        <v>39.05973962060694</v>
      </c>
      <c r="Y55" s="564">
        <f t="shared" si="0"/>
        <v>368.31154423241526</v>
      </c>
      <c r="Z55" s="53">
        <f t="shared" si="1"/>
        <v>184.15577211620763</v>
      </c>
      <c r="AA55" s="53">
        <f t="shared" si="9"/>
        <v>43.976377517125279</v>
      </c>
      <c r="AB55" s="53">
        <f t="shared" si="2"/>
        <v>478.8050075021398</v>
      </c>
      <c r="AC55" s="53">
        <f t="shared" si="10"/>
        <v>18.701998922076335</v>
      </c>
      <c r="AD55" s="77">
        <f t="shared" si="11"/>
        <v>62.678376439201614</v>
      </c>
      <c r="AE55" s="67">
        <f t="shared" si="3"/>
        <v>1.8104125436647108E-37</v>
      </c>
      <c r="AF55" s="42">
        <f t="shared" si="4"/>
        <v>0.40615827899453316</v>
      </c>
      <c r="AG55" s="42">
        <f t="shared" si="5"/>
        <v>0.94008459233824704</v>
      </c>
      <c r="AH55" s="42">
        <f t="shared" si="12"/>
        <v>1.3462428713327803</v>
      </c>
      <c r="AI55" s="41">
        <f t="shared" si="6"/>
        <v>336.56071783319504</v>
      </c>
      <c r="AJ55" s="41">
        <f t="shared" si="7"/>
        <v>203.07913949726657</v>
      </c>
      <c r="AK55" s="41">
        <f t="shared" si="8"/>
        <v>470.04229616912352</v>
      </c>
      <c r="AM55" s="15">
        <v>102.20048237405877</v>
      </c>
      <c r="AN55" s="15">
        <v>268.72985432861498</v>
      </c>
      <c r="AP55" s="41">
        <f ca="1">AD55*AJ55/(AJ55+AK55)*2.71828^(-0.69315/半Cs134*(NOW()-R55)/365.25)+AD55*AK55/(AJ55+AK55)*2.71828^(-0.69315/半Cs137*(NOW()-R55)/365.25)</f>
        <v>40.477237649003769</v>
      </c>
    </row>
    <row r="56" spans="1:42" ht="9.9499999999999993" customHeight="1" x14ac:dyDescent="0.15">
      <c r="A56" s="6"/>
      <c r="R56" s="60">
        <v>41623</v>
      </c>
      <c r="S56" s="592">
        <f t="shared" si="13"/>
        <v>32.606836770712306</v>
      </c>
      <c r="T56" s="592">
        <f t="shared" si="14"/>
        <v>137.4921072448615</v>
      </c>
      <c r="U56" s="102">
        <f t="shared" si="15"/>
        <v>170.09894401557381</v>
      </c>
      <c r="V56" s="101">
        <f t="shared" si="16"/>
        <v>5.333396810600691</v>
      </c>
      <c r="W56" s="101">
        <f t="shared" si="17"/>
        <v>22.489147641612625</v>
      </c>
      <c r="X56" s="102">
        <f t="shared" si="18"/>
        <v>27.822544452213315</v>
      </c>
      <c r="Y56" s="564">
        <f t="shared" si="0"/>
        <v>369.65569326233759</v>
      </c>
      <c r="Z56" s="53">
        <f t="shared" si="1"/>
        <v>184.8278466311688</v>
      </c>
      <c r="AA56" s="53">
        <f t="shared" si="9"/>
        <v>31.439021536634243</v>
      </c>
      <c r="AB56" s="53">
        <f t="shared" si="2"/>
        <v>480.55240124103887</v>
      </c>
      <c r="AC56" s="53">
        <f t="shared" si="10"/>
        <v>13.370190545146652</v>
      </c>
      <c r="AD56" s="77">
        <f t="shared" si="11"/>
        <v>44.809212081780899</v>
      </c>
      <c r="AE56" s="67">
        <f t="shared" si="3"/>
        <v>1.3547736767502706E-38</v>
      </c>
      <c r="AF56" s="42">
        <f t="shared" si="4"/>
        <v>0.395097570820306</v>
      </c>
      <c r="AG56" s="42">
        <f t="shared" si="5"/>
        <v>0.93830639315092268</v>
      </c>
      <c r="AH56" s="42">
        <f t="shared" si="12"/>
        <v>1.3334039639712287</v>
      </c>
      <c r="AI56" s="41">
        <f t="shared" si="6"/>
        <v>333.35099099280717</v>
      </c>
      <c r="AJ56" s="41">
        <f t="shared" si="7"/>
        <v>197.54878541015299</v>
      </c>
      <c r="AK56" s="41">
        <f t="shared" si="8"/>
        <v>469.15319657546132</v>
      </c>
      <c r="AM56" s="15">
        <v>71.167965473467731</v>
      </c>
      <c r="AN56" s="15">
        <v>192.46381447420555</v>
      </c>
      <c r="AP56" s="41">
        <f ca="1">AD56*AJ56/(AJ56+AK56)*2.71828^(-0.69315/半Cs134*(NOW()-R56)/365.25)+AD56*AK56/(AJ56+AK56)*2.71828^(-0.69315/半Cs137*(NOW()-R56)/365.25)</f>
        <v>29.216091122388256</v>
      </c>
    </row>
    <row r="57" spans="1:42" ht="9.9499999999999993" customHeight="1" x14ac:dyDescent="0.15">
      <c r="A57" s="6"/>
      <c r="R57" s="60">
        <v>41654</v>
      </c>
      <c r="S57" s="592">
        <f t="shared" si="13"/>
        <v>27.752580514932806</v>
      </c>
      <c r="T57" s="592">
        <f t="shared" si="14"/>
        <v>120.44564638067797</v>
      </c>
      <c r="U57" s="102">
        <f t="shared" si="15"/>
        <v>148.19822689561079</v>
      </c>
      <c r="V57" s="101">
        <f t="shared" si="16"/>
        <v>4.5394015201508324</v>
      </c>
      <c r="W57" s="101">
        <f t="shared" si="17"/>
        <v>19.700912136145657</v>
      </c>
      <c r="X57" s="102">
        <f t="shared" si="18"/>
        <v>24.24031365629649</v>
      </c>
      <c r="Y57" s="564">
        <f t="shared" si="0"/>
        <v>338.69760759469142</v>
      </c>
      <c r="Z57" s="53">
        <f t="shared" si="1"/>
        <v>169.34880379734571</v>
      </c>
      <c r="AA57" s="53">
        <f t="shared" si="9"/>
        <v>25.097192449659314</v>
      </c>
      <c r="AB57" s="53">
        <f t="shared" si="2"/>
        <v>440.30688987309884</v>
      </c>
      <c r="AC57" s="53">
        <f t="shared" si="10"/>
        <v>10.673177115552313</v>
      </c>
      <c r="AD57" s="77">
        <f t="shared" si="11"/>
        <v>35.770369565211624</v>
      </c>
      <c r="AE57" s="67">
        <f t="shared" si="3"/>
        <v>9.2987717897641595E-40</v>
      </c>
      <c r="AF57" s="42">
        <f t="shared" si="4"/>
        <v>0.38398451468023381</v>
      </c>
      <c r="AG57" s="42">
        <f t="shared" si="5"/>
        <v>0.93647245414658431</v>
      </c>
      <c r="AH57" s="42">
        <f t="shared" si="12"/>
        <v>1.3204569688268182</v>
      </c>
      <c r="AI57" s="41">
        <f t="shared" si="6"/>
        <v>330.11424220670449</v>
      </c>
      <c r="AJ57" s="41">
        <f t="shared" si="7"/>
        <v>191.99225734011691</v>
      </c>
      <c r="AK57" s="41">
        <f t="shared" si="8"/>
        <v>468.23622707329213</v>
      </c>
      <c r="AM57" s="15">
        <v>60.573023558679431</v>
      </c>
      <c r="AN57" s="15">
        <v>168.60188561916837</v>
      </c>
      <c r="AP57" s="41">
        <f ca="1">AD57*AJ57/(AJ57+AK57)*2.71828^(-0.69315/半Cs134*(NOW()-R57)/365.25)+AD57*AK57/(AJ57+AK57)*2.71828^(-0.69315/半Cs137*(NOW()-R57)/365.25)</f>
        <v>23.551345250147872</v>
      </c>
    </row>
    <row r="58" spans="1:42" ht="9.9499999999999993" customHeight="1" x14ac:dyDescent="0.15">
      <c r="A58" s="6"/>
      <c r="R58" s="60">
        <v>41685</v>
      </c>
      <c r="S58" s="592">
        <f t="shared" si="13"/>
        <v>23.902454931180095</v>
      </c>
      <c r="T58" s="592">
        <f t="shared" si="14"/>
        <v>106.73086639001194</v>
      </c>
      <c r="U58" s="102">
        <f t="shared" si="15"/>
        <v>130.63332132119203</v>
      </c>
      <c r="V58" s="101">
        <f t="shared" si="16"/>
        <v>3.909648697048322</v>
      </c>
      <c r="W58" s="101">
        <f t="shared" si="17"/>
        <v>17.457629097847107</v>
      </c>
      <c r="X58" s="102">
        <f t="shared" si="18"/>
        <v>21.367277794895429</v>
      </c>
      <c r="Y58" s="564">
        <f t="shared" si="0"/>
        <v>289.81661443420671</v>
      </c>
      <c r="Z58" s="53">
        <f t="shared" si="1"/>
        <v>144.90830721710336</v>
      </c>
      <c r="AA58" s="53">
        <f t="shared" si="9"/>
        <v>18.929853458801873</v>
      </c>
      <c r="AB58" s="53">
        <f t="shared" si="2"/>
        <v>376.76159876446872</v>
      </c>
      <c r="AC58" s="53">
        <f t="shared" si="10"/>
        <v>8.050369743249334</v>
      </c>
      <c r="AD58" s="77">
        <f t="shared" si="11"/>
        <v>26.980223202051206</v>
      </c>
      <c r="AE58" s="67">
        <f t="shared" si="3"/>
        <v>6.3824060270733533E-41</v>
      </c>
      <c r="AF58" s="42">
        <f t="shared" si="4"/>
        <v>0.37318403959834423</v>
      </c>
      <c r="AG58" s="42">
        <f t="shared" si="5"/>
        <v>0.93464209961347622</v>
      </c>
      <c r="AH58" s="42">
        <f t="shared" si="12"/>
        <v>1.3078261392118204</v>
      </c>
      <c r="AI58" s="41">
        <f t="shared" si="6"/>
        <v>326.9565348029551</v>
      </c>
      <c r="AJ58" s="41">
        <f t="shared" si="7"/>
        <v>186.59201979917211</v>
      </c>
      <c r="AK58" s="41">
        <f t="shared" si="8"/>
        <v>467.32104980673813</v>
      </c>
      <c r="AM58" s="15">
        <v>52.16970598022786</v>
      </c>
      <c r="AN58" s="15">
        <v>149.40370090462912</v>
      </c>
      <c r="AP58" s="41">
        <f ca="1">AD58*AJ58/(AJ58+AK58)*2.71828^(-0.69315/半Cs134*(NOW()-R58)/365.25)+AD58*AK58/(AJ58+AK58)*2.71828^(-0.69315/半Cs137*(NOW()-R58)/365.25)</f>
        <v>17.93544141754499</v>
      </c>
    </row>
    <row r="59" spans="1:42" ht="9.9499999999999993" customHeight="1" x14ac:dyDescent="0.15">
      <c r="A59" s="6"/>
      <c r="R59" s="60">
        <v>41713</v>
      </c>
      <c r="S59" s="592">
        <f t="shared" si="13"/>
        <v>19.896443107280149</v>
      </c>
      <c r="T59" s="592">
        <f t="shared" si="14"/>
        <v>91.122720678401691</v>
      </c>
      <c r="U59" s="102">
        <f t="shared" si="15"/>
        <v>111.01916378568184</v>
      </c>
      <c r="V59" s="101">
        <f t="shared" si="16"/>
        <v>3.2543980563603725</v>
      </c>
      <c r="W59" s="101">
        <f t="shared" si="17"/>
        <v>14.90465423729689</v>
      </c>
      <c r="X59" s="102">
        <f t="shared" si="18"/>
        <v>18.159052293657261</v>
      </c>
      <c r="Y59" s="564">
        <f t="shared" si="0"/>
        <v>351.35425941203982</v>
      </c>
      <c r="Z59" s="53">
        <f t="shared" si="1"/>
        <v>175.67712970601994</v>
      </c>
      <c r="AA59" s="53">
        <f t="shared" si="9"/>
        <v>19.503528036231099</v>
      </c>
      <c r="AB59" s="53">
        <f t="shared" si="2"/>
        <v>456.76053723565184</v>
      </c>
      <c r="AC59" s="53">
        <f t="shared" si="10"/>
        <v>8.2943384813411871</v>
      </c>
      <c r="AD59" s="77">
        <f t="shared" si="11"/>
        <v>27.797866517572288</v>
      </c>
      <c r="AE59" s="67">
        <f t="shared" si="3"/>
        <v>5.6772020222751268E-42</v>
      </c>
      <c r="AF59" s="42">
        <f t="shared" si="4"/>
        <v>0.36369012365256159</v>
      </c>
      <c r="AG59" s="42">
        <f t="shared" si="5"/>
        <v>0.93299195126593826</v>
      </c>
      <c r="AH59" s="42">
        <f t="shared" si="12"/>
        <v>1.2966820749185</v>
      </c>
      <c r="AI59" s="41">
        <f t="shared" si="6"/>
        <v>324.17051872962497</v>
      </c>
      <c r="AJ59" s="41">
        <f t="shared" si="7"/>
        <v>181.84506182628078</v>
      </c>
      <c r="AK59" s="41">
        <f t="shared" si="8"/>
        <v>466.49597563296913</v>
      </c>
      <c r="AM59" s="15">
        <v>43.42614973849841</v>
      </c>
      <c r="AN59" s="15">
        <v>127.5551503170972</v>
      </c>
      <c r="AP59" s="41">
        <f ca="1">AD59*AJ59/(AJ59+AK59)*2.71828^(-0.69315/半Cs134*(NOW()-R59)/365.25)+AD59*AK59/(AJ59+AK59)*2.71828^(-0.69315/半Cs137*(NOW()-R59)/365.25)</f>
        <v>18.63779380524204</v>
      </c>
    </row>
    <row r="60" spans="1:42" ht="9.9499999999999993" customHeight="1" x14ac:dyDescent="0.15">
      <c r="A60" s="6"/>
      <c r="R60" s="60">
        <v>41744</v>
      </c>
      <c r="S60" s="592">
        <f t="shared" si="13"/>
        <v>34.124315586181027</v>
      </c>
      <c r="T60" s="592">
        <f t="shared" si="14"/>
        <v>160.65449206607261</v>
      </c>
      <c r="U60" s="102">
        <f t="shared" si="15"/>
        <v>194.77880765225365</v>
      </c>
      <c r="V60" s="101">
        <f t="shared" si="16"/>
        <v>5.5816060046260514</v>
      </c>
      <c r="W60" s="101">
        <f t="shared" si="17"/>
        <v>26.27774541943548</v>
      </c>
      <c r="X60" s="102">
        <f t="shared" si="18"/>
        <v>31.859351424061529</v>
      </c>
      <c r="Y60" s="564">
        <f t="shared" si="0"/>
        <v>357.14809883118357</v>
      </c>
      <c r="Z60" s="53">
        <f t="shared" si="1"/>
        <v>178.57404941559182</v>
      </c>
      <c r="AA60" s="53">
        <f t="shared" si="9"/>
        <v>34.782440422803596</v>
      </c>
      <c r="AB60" s="53">
        <f t="shared" si="2"/>
        <v>464.29252848053869</v>
      </c>
      <c r="AC60" s="53">
        <f t="shared" si="10"/>
        <v>14.792058828427578</v>
      </c>
      <c r="AD60" s="77">
        <f t="shared" si="11"/>
        <v>49.574499251231174</v>
      </c>
      <c r="AE60" s="67">
        <f t="shared" si="3"/>
        <v>3.8966660568837107E-43</v>
      </c>
      <c r="AF60" s="42">
        <f t="shared" si="4"/>
        <v>0.35346047644579887</v>
      </c>
      <c r="AG60" s="42">
        <f t="shared" si="5"/>
        <v>0.93116839944677765</v>
      </c>
      <c r="AH60" s="42">
        <f t="shared" si="12"/>
        <v>1.2846288758925766</v>
      </c>
      <c r="AI60" s="41">
        <f t="shared" si="6"/>
        <v>321.15721897314415</v>
      </c>
      <c r="AJ60" s="41">
        <f t="shared" si="7"/>
        <v>176.73023822289943</v>
      </c>
      <c r="AK60" s="41">
        <f t="shared" si="8"/>
        <v>465.58419972338885</v>
      </c>
      <c r="AM60" s="15">
        <v>74.480027931577709</v>
      </c>
      <c r="AN60" s="15">
        <v>224.88691878426286</v>
      </c>
      <c r="AP60" s="41">
        <f ca="1">AD60*AJ60/(AJ60+AK60)*2.71828^(-0.69315/半Cs134*(NOW()-R60)/365.25)+AD60*AK60/(AJ60+AK60)*2.71828^(-0.69315/半Cs137*(NOW()-R60)/365.25)</f>
        <v>33.550361276878895</v>
      </c>
    </row>
    <row r="61" spans="1:42" ht="9.9499999999999993" customHeight="1" x14ac:dyDescent="0.15">
      <c r="A61" s="6"/>
      <c r="R61" s="60">
        <v>41774</v>
      </c>
      <c r="S61" s="592">
        <f t="shared" si="13"/>
        <v>48.684086689352455</v>
      </c>
      <c r="T61" s="592">
        <f t="shared" si="14"/>
        <v>235.30823656201795</v>
      </c>
      <c r="U61" s="102">
        <f t="shared" si="15"/>
        <v>283.99232325137041</v>
      </c>
      <c r="V61" s="101">
        <f t="shared" si="16"/>
        <v>7.9631015575611075</v>
      </c>
      <c r="W61" s="101">
        <f t="shared" si="17"/>
        <v>38.488621487969127</v>
      </c>
      <c r="X61" s="102">
        <f t="shared" si="18"/>
        <v>46.451723045530237</v>
      </c>
      <c r="Y61" s="564">
        <f t="shared" si="0"/>
        <v>401.30171789050706</v>
      </c>
      <c r="Z61" s="53">
        <f t="shared" si="1"/>
        <v>200.65085894525353</v>
      </c>
      <c r="AA61" s="53">
        <f t="shared" si="9"/>
        <v>56.983303594245569</v>
      </c>
      <c r="AB61" s="53">
        <f t="shared" si="2"/>
        <v>521.69223325765915</v>
      </c>
      <c r="AC61" s="53">
        <f t="shared" si="10"/>
        <v>24.233503134288942</v>
      </c>
      <c r="AD61" s="77">
        <f t="shared" si="11"/>
        <v>81.216806728534507</v>
      </c>
      <c r="AE61" s="67">
        <f t="shared" si="3"/>
        <v>2.915965545767943E-44</v>
      </c>
      <c r="AF61" s="42">
        <f t="shared" si="4"/>
        <v>0.34383486154815712</v>
      </c>
      <c r="AG61" s="42">
        <f t="shared" si="5"/>
        <v>0.92940706551507268</v>
      </c>
      <c r="AH61" s="42">
        <f t="shared" si="12"/>
        <v>1.2732419270632298</v>
      </c>
      <c r="AI61" s="41">
        <f t="shared" si="6"/>
        <v>318.31048176580742</v>
      </c>
      <c r="AJ61" s="41">
        <f t="shared" si="7"/>
        <v>171.91743077407855</v>
      </c>
      <c r="AK61" s="41">
        <f t="shared" si="8"/>
        <v>464.70353275753632</v>
      </c>
      <c r="AM61" s="15">
        <v>106.25831094806493</v>
      </c>
      <c r="AN61" s="15">
        <v>329.388513227673</v>
      </c>
      <c r="AP61" s="41">
        <f ca="1">AD61*AJ61/(AJ61+AK61)*2.71828^(-0.69315/半Cs134*(NOW()-R61)/365.25)+AD61*AK61/(AJ61+AK61)*2.71828^(-0.69315/半Cs137*(NOW()-R61)/365.25)</f>
        <v>55.456380847344285</v>
      </c>
    </row>
    <row r="62" spans="1:42" ht="9.9499999999999993" customHeight="1" x14ac:dyDescent="0.15">
      <c r="A62" s="6"/>
      <c r="R62" s="60">
        <v>41805</v>
      </c>
      <c r="S62" s="592">
        <f t="shared" si="13"/>
        <v>49.723538030164747</v>
      </c>
      <c r="T62" s="592">
        <f t="shared" si="14"/>
        <v>246.82297630809427</v>
      </c>
      <c r="U62" s="102">
        <f t="shared" si="15"/>
        <v>296.54651433825904</v>
      </c>
      <c r="V62" s="101">
        <f t="shared" si="16"/>
        <v>8.1331213146091859</v>
      </c>
      <c r="W62" s="101">
        <f t="shared" si="17"/>
        <v>40.372050925435495</v>
      </c>
      <c r="X62" s="102">
        <f t="shared" si="18"/>
        <v>48.505172240044679</v>
      </c>
      <c r="Y62" s="564">
        <f t="shared" si="0"/>
        <v>393.81755019716718</v>
      </c>
      <c r="Z62" s="53">
        <f t="shared" si="1"/>
        <v>196.90877509858362</v>
      </c>
      <c r="AA62" s="53">
        <f t="shared" si="9"/>
        <v>58.392610898101147</v>
      </c>
      <c r="AB62" s="53">
        <f t="shared" si="2"/>
        <v>511.96281525631736</v>
      </c>
      <c r="AC62" s="53">
        <f t="shared" si="10"/>
        <v>24.832844534505846</v>
      </c>
      <c r="AD62" s="77">
        <f t="shared" si="11"/>
        <v>83.225455432606992</v>
      </c>
      <c r="AE62" s="67">
        <f t="shared" si="3"/>
        <v>2.0014337909156898E-45</v>
      </c>
      <c r="AF62" s="42">
        <f t="shared" si="4"/>
        <v>0.33416369067417462</v>
      </c>
      <c r="AG62" s="42">
        <f t="shared" si="5"/>
        <v>0.92759052042831058</v>
      </c>
      <c r="AH62" s="42">
        <f t="shared" si="12"/>
        <v>1.2617542111024851</v>
      </c>
      <c r="AI62" s="41">
        <f t="shared" si="6"/>
        <v>315.4385527756213</v>
      </c>
      <c r="AJ62" s="41">
        <f t="shared" si="7"/>
        <v>167.08184533708732</v>
      </c>
      <c r="AK62" s="41">
        <f t="shared" si="8"/>
        <v>463.79526021415529</v>
      </c>
      <c r="AM62" s="15">
        <v>108.52702648322915</v>
      </c>
      <c r="AN62" s="15">
        <v>345.50704380092827</v>
      </c>
      <c r="AP62" s="41">
        <f ca="1">AD62*AJ62/(AJ62+AK62)*2.71828^(-0.69315/半Cs134*(NOW()-R62)/365.25)+AD62*AK62/(AJ62+AK62)*2.71828^(-0.69315/半Cs137*(NOW()-R62)/365.25)</f>
        <v>57.345317602741531</v>
      </c>
    </row>
    <row r="63" spans="1:42" ht="9.9499999999999993" customHeight="1" x14ac:dyDescent="0.15">
      <c r="A63" s="6"/>
      <c r="R63" s="60">
        <v>41835</v>
      </c>
      <c r="S63" s="592">
        <f t="shared" si="13"/>
        <v>44.883164114318099</v>
      </c>
      <c r="T63" s="592">
        <f t="shared" si="14"/>
        <v>228.52033484514422</v>
      </c>
      <c r="U63" s="102">
        <f t="shared" si="15"/>
        <v>273.4034989594623</v>
      </c>
      <c r="V63" s="101">
        <f t="shared" si="16"/>
        <v>7.3413967144456072</v>
      </c>
      <c r="W63" s="101">
        <f t="shared" si="17"/>
        <v>37.378345946001723</v>
      </c>
      <c r="X63" s="102">
        <f t="shared" si="18"/>
        <v>44.719742660447331</v>
      </c>
      <c r="Y63" s="564">
        <f t="shared" si="0"/>
        <v>418.98999185809964</v>
      </c>
      <c r="Z63" s="53">
        <f t="shared" si="1"/>
        <v>209.49499592904982</v>
      </c>
      <c r="AA63" s="53">
        <f t="shared" si="9"/>
        <v>57.276664901500531</v>
      </c>
      <c r="AB63" s="53">
        <f t="shared" si="2"/>
        <v>544.68698941552952</v>
      </c>
      <c r="AC63" s="53">
        <f t="shared" si="10"/>
        <v>24.358261997156276</v>
      </c>
      <c r="AD63" s="77">
        <f t="shared" si="11"/>
        <v>81.634926898656801</v>
      </c>
      <c r="AE63" s="67">
        <f t="shared" si="3"/>
        <v>1.4977193044643912E-46</v>
      </c>
      <c r="AF63" s="42">
        <f t="shared" si="4"/>
        <v>0.32506357563006016</v>
      </c>
      <c r="AG63" s="42">
        <f t="shared" si="5"/>
        <v>0.92583595416582898</v>
      </c>
      <c r="AH63" s="42">
        <f t="shared" si="12"/>
        <v>1.2508995297958891</v>
      </c>
      <c r="AI63" s="41">
        <f t="shared" si="6"/>
        <v>312.72488244897227</v>
      </c>
      <c r="AJ63" s="41">
        <f t="shared" si="7"/>
        <v>162.53178781503007</v>
      </c>
      <c r="AK63" s="41">
        <f t="shared" si="8"/>
        <v>462.91797708291449</v>
      </c>
      <c r="AM63" s="15">
        <v>97.962384284294274</v>
      </c>
      <c r="AN63" s="15">
        <v>319.88669175672192</v>
      </c>
      <c r="AP63" s="41">
        <f ca="1">AD63*AJ63/(AJ63+AK63)*2.71828^(-0.69315/半Cs134*(NOW()-R63)/365.25)+AD63*AK63/(AJ63+AK63)*2.71828^(-0.69315/半Cs137*(NOW()-R63)/365.25)</f>
        <v>56.737490594687721</v>
      </c>
    </row>
    <row r="64" spans="1:42" ht="9.9499999999999993" customHeight="1" x14ac:dyDescent="0.15">
      <c r="A64" s="6"/>
      <c r="R64" s="60">
        <v>41866</v>
      </c>
      <c r="S64" s="592">
        <f t="shared" si="13"/>
        <v>36.974164861611307</v>
      </c>
      <c r="T64" s="592">
        <f t="shared" si="14"/>
        <v>193.16393099173769</v>
      </c>
      <c r="U64" s="102">
        <f t="shared" si="15"/>
        <v>230.138095853349</v>
      </c>
      <c r="V64" s="101">
        <f t="shared" si="16"/>
        <v>6.0477468064202551</v>
      </c>
      <c r="W64" s="101">
        <f t="shared" si="17"/>
        <v>31.595211173620395</v>
      </c>
      <c r="X64" s="102">
        <f t="shared" si="18"/>
        <v>37.642957980040649</v>
      </c>
      <c r="Y64" s="564">
        <f t="shared" si="0"/>
        <v>424.87504064269194</v>
      </c>
      <c r="Z64" s="53">
        <f t="shared" si="1"/>
        <v>212.437520321346</v>
      </c>
      <c r="AA64" s="53">
        <f t="shared" si="9"/>
        <v>48.889966414561698</v>
      </c>
      <c r="AB64" s="53">
        <f t="shared" si="2"/>
        <v>552.33755283549954</v>
      </c>
      <c r="AC64" s="53">
        <f t="shared" si="10"/>
        <v>20.791619292185192</v>
      </c>
      <c r="AD64" s="77">
        <f t="shared" si="11"/>
        <v>69.681585706746887</v>
      </c>
      <c r="AE64" s="67">
        <f t="shared" si="3"/>
        <v>1.0279908929693119E-47</v>
      </c>
      <c r="AF64" s="42">
        <f t="shared" si="4"/>
        <v>0.31592039168800445</v>
      </c>
      <c r="AG64" s="42">
        <f t="shared" si="5"/>
        <v>0.92402638888911615</v>
      </c>
      <c r="AH64" s="42">
        <f t="shared" si="12"/>
        <v>1.2399467805771205</v>
      </c>
      <c r="AI64" s="41">
        <f t="shared" si="6"/>
        <v>309.98669514428013</v>
      </c>
      <c r="AJ64" s="41">
        <f t="shared" si="7"/>
        <v>157.96019584400221</v>
      </c>
      <c r="AK64" s="41">
        <f t="shared" si="8"/>
        <v>462.01319444455805</v>
      </c>
      <c r="AM64" s="15">
        <v>80.700133741429894</v>
      </c>
      <c r="AN64" s="15">
        <v>270.39419005552747</v>
      </c>
      <c r="AP64" s="41">
        <f ca="1">AD64*AJ64/(AJ64+AK64)*2.71828^(-0.69315/半Cs134*(NOW()-R64)/365.25)+AD64*AK64/(AJ64+AK64)*2.71828^(-0.69315/半Cs137*(NOW()-R64)/365.25)</f>
        <v>48.85753194254066</v>
      </c>
    </row>
    <row r="65" spans="1:42" ht="9.9499999999999993" customHeight="1" x14ac:dyDescent="0.15">
      <c r="A65" s="6"/>
      <c r="R65" s="60">
        <v>41897</v>
      </c>
      <c r="S65" s="592">
        <f t="shared" si="13"/>
        <v>32.756874093957663</v>
      </c>
      <c r="T65" s="592">
        <f t="shared" si="14"/>
        <v>175.45729243322214</v>
      </c>
      <c r="U65" s="102">
        <f t="shared" si="15"/>
        <v>208.2141665271798</v>
      </c>
      <c r="V65" s="101">
        <f t="shared" ref="V65:V96" si="19">S65/濃度比</f>
        <v>5.3579379394104203</v>
      </c>
      <c r="W65" s="101">
        <f t="shared" ref="W65:W96" si="20">T65/濃度比</f>
        <v>28.698992497809755</v>
      </c>
      <c r="X65" s="102">
        <f t="shared" si="18"/>
        <v>34.056930437220174</v>
      </c>
      <c r="Y65" s="564">
        <f t="shared" ref="Y65:Y96" si="21">IF(MONTH(R65)&lt;=3,(INDEX(月値割合表,MATCH(MONTH(R65),月,0),2)*INDEX(年度別焼却量,MATCH(YEAR(R65)-1,年度,0),2))/10,(INDEX(月値割合表,MATCH(MONTH(R65),月,0),2)*INDEX(年度別焼却量,MATCH(YEAR(R65),年度,0),2))/10)</f>
        <v>393.96313615710085</v>
      </c>
      <c r="Z65" s="53">
        <f t="shared" ref="Z65:Z96" si="22">Y65*10*飛灰発生率</f>
        <v>196.98156807855045</v>
      </c>
      <c r="AA65" s="53">
        <f t="shared" si="9"/>
        <v>41.014353018692312</v>
      </c>
      <c r="AB65" s="53">
        <f t="shared" ref="AB65:AB96" si="23">Y65*10*主灰発生率</f>
        <v>512.15207700423116</v>
      </c>
      <c r="AC65" s="53">
        <f t="shared" si="10"/>
        <v>17.442327659810928</v>
      </c>
      <c r="AD65" s="77">
        <f t="shared" si="11"/>
        <v>58.45668067850324</v>
      </c>
      <c r="AE65" s="67">
        <f t="shared" ref="AE65:AE96" si="24">1*2.71828^(-0.69315/半I131*(R65-事故日)/365.25)</f>
        <v>7.0558299734662538E-49</v>
      </c>
      <c r="AF65" s="42">
        <f t="shared" ref="AF65:AF96" si="25">1*2.71828^(-0.69315/半Cs134*(R65-事故日)/365.25)</f>
        <v>0.30703438147707562</v>
      </c>
      <c r="AG65" s="42">
        <f t="shared" ref="AG65:AG96" si="26">1*2.71828^(-0.69315/半Cs137*(R65-事故日)/365.25)</f>
        <v>0.92222036044468558</v>
      </c>
      <c r="AH65" s="42">
        <f t="shared" si="12"/>
        <v>1.2292547419217612</v>
      </c>
      <c r="AI65" s="41">
        <f t="shared" ref="AI65:AI96" si="27">250*2.71828^(-0.69315/半Cs134*(R65-事故日)/365.25)+250*2.71828^(-0.69315/半Cs137*(R65-事故日)/365.25)</f>
        <v>307.31368548044031</v>
      </c>
      <c r="AJ65" s="41">
        <f t="shared" ref="AJ65:AJ96" si="28">500*2.71828^(-0.69315/半Cs134*(R65-事故日)/365.25)</f>
        <v>153.51719073853781</v>
      </c>
      <c r="AK65" s="41">
        <f t="shared" ref="AK65:AK96" si="29">500*2.71828^(-0.69315/半Cs137*(R65-事故日)/365.25)</f>
        <v>461.11018022234282</v>
      </c>
      <c r="AM65" s="15">
        <v>71.495438239855417</v>
      </c>
      <c r="AN65" s="15">
        <v>245.60813311904602</v>
      </c>
      <c r="AP65" s="41">
        <f ca="1">AD65*AJ65/(AJ65+AK65)*2.71828^(-0.69315/半Cs134*(NOW()-R65)/365.25)+AD65*AK65/(AJ65+AK65)*2.71828^(-0.69315/半Cs137*(NOW()-R65)/365.25)</f>
        <v>41.343648904975176</v>
      </c>
    </row>
    <row r="66" spans="1:42" ht="9.9499999999999993" customHeight="1" x14ac:dyDescent="0.15">
      <c r="A66" s="6"/>
      <c r="R66" s="60">
        <v>41927</v>
      </c>
      <c r="S66" s="592">
        <f t="shared" si="13"/>
        <v>28.846705274074637</v>
      </c>
      <c r="T66" s="592">
        <f t="shared" si="14"/>
        <v>158.20445323511694</v>
      </c>
      <c r="U66" s="102">
        <f t="shared" si="15"/>
        <v>187.05115850919157</v>
      </c>
      <c r="V66" s="101">
        <f t="shared" si="19"/>
        <v>4.7183640347253126</v>
      </c>
      <c r="W66" s="101">
        <f t="shared" si="20"/>
        <v>25.877000343218715</v>
      </c>
      <c r="X66" s="102">
        <f t="shared" si="18"/>
        <v>30.595364377944026</v>
      </c>
      <c r="Y66" s="564">
        <f t="shared" si="21"/>
        <v>405.36312782555717</v>
      </c>
      <c r="Z66" s="53">
        <f t="shared" si="22"/>
        <v>202.68156391277859</v>
      </c>
      <c r="AA66" s="53">
        <f t="shared" si="9"/>
        <v>37.911821338339983</v>
      </c>
      <c r="AB66" s="53">
        <f t="shared" si="23"/>
        <v>526.97206617322433</v>
      </c>
      <c r="AC66" s="53">
        <f t="shared" si="10"/>
        <v>16.12290238156783</v>
      </c>
      <c r="AD66" s="77">
        <f t="shared" si="11"/>
        <v>54.034723719907817</v>
      </c>
      <c r="AE66" s="67">
        <f t="shared" si="24"/>
        <v>5.2800411426269812E-50</v>
      </c>
      <c r="AF66" s="42">
        <f t="shared" si="25"/>
        <v>0.29867306553546963</v>
      </c>
      <c r="AG66" s="42">
        <f t="shared" si="26"/>
        <v>0.92047595200650678</v>
      </c>
      <c r="AH66" s="42">
        <f t="shared" si="12"/>
        <v>1.2191490175419764</v>
      </c>
      <c r="AI66" s="41">
        <f t="shared" si="27"/>
        <v>304.78725438549407</v>
      </c>
      <c r="AJ66" s="41">
        <f t="shared" si="28"/>
        <v>149.33653276773481</v>
      </c>
      <c r="AK66" s="41">
        <f t="shared" si="29"/>
        <v>460.23797600325338</v>
      </c>
      <c r="AM66" s="15">
        <v>62.961069772110726</v>
      </c>
      <c r="AN66" s="15">
        <v>221.45731232564722</v>
      </c>
      <c r="AP66" s="41">
        <f ca="1">AD66*AJ66/(AJ66+AK66)*2.71828^(-0.69315/半Cs134*(NOW()-R66)/365.25)+AD66*AK66/(AJ66+AK66)*2.71828^(-0.69315/半Cs137*(NOW()-R66)/365.25)</f>
        <v>38.532987986817062</v>
      </c>
    </row>
    <row r="67" spans="1:42" ht="9.9499999999999993" customHeight="1" x14ac:dyDescent="0.15">
      <c r="A67" s="6"/>
      <c r="R67" s="60">
        <v>41958</v>
      </c>
      <c r="S67" s="592">
        <f t="shared" si="13"/>
        <v>22.991933016032192</v>
      </c>
      <c r="T67" s="592">
        <f t="shared" si="14"/>
        <v>129.1163756522088</v>
      </c>
      <c r="U67" s="102">
        <f t="shared" si="15"/>
        <v>152.10830866824099</v>
      </c>
      <c r="V67" s="101">
        <f t="shared" si="19"/>
        <v>3.760717516989982</v>
      </c>
      <c r="W67" s="101">
        <f t="shared" si="20"/>
        <v>21.119155805948726</v>
      </c>
      <c r="X67" s="102">
        <f t="shared" si="18"/>
        <v>24.879873322938707</v>
      </c>
      <c r="Y67" s="564">
        <f t="shared" si="21"/>
        <v>366.67464023049786</v>
      </c>
      <c r="Z67" s="53">
        <f t="shared" si="22"/>
        <v>183.33732011524896</v>
      </c>
      <c r="AA67" s="53">
        <f t="shared" si="9"/>
        <v>27.887129678498397</v>
      </c>
      <c r="AB67" s="53">
        <f t="shared" si="23"/>
        <v>476.67703229964724</v>
      </c>
      <c r="AC67" s="53">
        <f t="shared" si="10"/>
        <v>11.859664179569585</v>
      </c>
      <c r="AD67" s="77">
        <f t="shared" si="11"/>
        <v>39.746793858067981</v>
      </c>
      <c r="AE67" s="67">
        <f t="shared" si="24"/>
        <v>3.6240664007900018E-51</v>
      </c>
      <c r="AF67" s="42">
        <f t="shared" si="25"/>
        <v>0.29027217727404131</v>
      </c>
      <c r="AG67" s="42">
        <f t="shared" si="26"/>
        <v>0.91867686296345807</v>
      </c>
      <c r="AH67" s="42">
        <f t="shared" si="12"/>
        <v>1.2089490402374994</v>
      </c>
      <c r="AI67" s="41">
        <f t="shared" si="27"/>
        <v>302.23726005937488</v>
      </c>
      <c r="AJ67" s="41">
        <f t="shared" si="28"/>
        <v>145.13608863702066</v>
      </c>
      <c r="AK67" s="41">
        <f t="shared" si="29"/>
        <v>459.33843148172906</v>
      </c>
      <c r="AM67" s="15">
        <v>50.182392930644177</v>
      </c>
      <c r="AN67" s="15">
        <v>180.73932145684876</v>
      </c>
      <c r="AP67" s="41">
        <f ca="1">AD67*AJ67/(AJ67+AK67)*2.71828^(-0.69315/半Cs134*(NOW()-R67)/365.25)+AD67*AK67/(AJ67+AK67)*2.71828^(-0.69315/半Cs137*(NOW()-R67)/365.25)</f>
        <v>28.583187120099588</v>
      </c>
    </row>
    <row r="68" spans="1:42" ht="9.9499999999999993" customHeight="1" x14ac:dyDescent="0.15">
      <c r="A68" s="6"/>
      <c r="R68" s="60">
        <v>41988</v>
      </c>
      <c r="S68" s="592">
        <f t="shared" si="13"/>
        <v>16.259776152865275</v>
      </c>
      <c r="T68" s="592">
        <f t="shared" si="14"/>
        <v>93.363825319256804</v>
      </c>
      <c r="U68" s="102">
        <f t="shared" si="15"/>
        <v>109.62360147212208</v>
      </c>
      <c r="V68" s="101">
        <f t="shared" si="19"/>
        <v>2.6595599838333661</v>
      </c>
      <c r="W68" s="101">
        <f t="shared" si="20"/>
        <v>15.271224611105584</v>
      </c>
      <c r="X68" s="102">
        <f t="shared" si="18"/>
        <v>17.930784594938949</v>
      </c>
      <c r="Y68" s="564">
        <f t="shared" si="21"/>
        <v>368.01281539682373</v>
      </c>
      <c r="Z68" s="53">
        <f t="shared" si="22"/>
        <v>184.00640769841186</v>
      </c>
      <c r="AA68" s="53">
        <f t="shared" si="9"/>
        <v>20.171445105847518</v>
      </c>
      <c r="AB68" s="53">
        <f t="shared" si="23"/>
        <v>478.41666001587083</v>
      </c>
      <c r="AC68" s="53">
        <f t="shared" si="10"/>
        <v>8.5783860773747218</v>
      </c>
      <c r="AD68" s="77">
        <f t="shared" si="11"/>
        <v>28.749831183222241</v>
      </c>
      <c r="AE68" s="67">
        <f t="shared" si="24"/>
        <v>2.7119729035056247E-52</v>
      </c>
      <c r="AF68" s="42">
        <f t="shared" si="25"/>
        <v>0.2823673381756639</v>
      </c>
      <c r="AG68" s="42">
        <f t="shared" si="26"/>
        <v>0.9169391571607578</v>
      </c>
      <c r="AH68" s="42">
        <f t="shared" si="12"/>
        <v>1.1993064953364216</v>
      </c>
      <c r="AI68" s="41">
        <f t="shared" si="27"/>
        <v>299.82662383410542</v>
      </c>
      <c r="AJ68" s="41">
        <f t="shared" si="28"/>
        <v>141.18366908783196</v>
      </c>
      <c r="AK68" s="41">
        <f t="shared" si="29"/>
        <v>458.46957858037888</v>
      </c>
      <c r="AM68" s="15">
        <v>35.488728820601594</v>
      </c>
      <c r="AN68" s="15">
        <v>130.6922871059505</v>
      </c>
      <c r="AP68" s="41">
        <f ca="1">AD68*AJ68/(AJ68+AK68)*2.71828^(-0.69315/半Cs134*(NOW()-R68)/365.25)+AD68*AK68/(AJ68+AK68)*2.71828^(-0.69315/半Cs137*(NOW()-R68)/365.25)</f>
        <v>20.841148972549167</v>
      </c>
    </row>
    <row r="69" spans="1:42" ht="9.9499999999999993" customHeight="1" x14ac:dyDescent="0.15">
      <c r="A69" s="6"/>
      <c r="R69" s="60">
        <v>42019</v>
      </c>
      <c r="S69" s="592">
        <f t="shared" si="13"/>
        <v>14.071521804574587</v>
      </c>
      <c r="T69" s="592">
        <f t="shared" si="14"/>
        <v>82.612295388905153</v>
      </c>
      <c r="U69" s="102">
        <f t="shared" si="15"/>
        <v>96.68381719347974</v>
      </c>
      <c r="V69" s="101">
        <f t="shared" si="19"/>
        <v>2.3016341646554856</v>
      </c>
      <c r="W69" s="101">
        <f t="shared" si="20"/>
        <v>13.512630981099729</v>
      </c>
      <c r="X69" s="102">
        <f t="shared" si="18"/>
        <v>15.814265145755215</v>
      </c>
      <c r="Y69" s="564">
        <f t="shared" si="21"/>
        <v>337.19231817872418</v>
      </c>
      <c r="Z69" s="53">
        <f t="shared" si="22"/>
        <v>168.59615908936212</v>
      </c>
      <c r="AA69" s="53">
        <f t="shared" si="9"/>
        <v>16.300520224918714</v>
      </c>
      <c r="AB69" s="53">
        <f t="shared" si="23"/>
        <v>438.35001363234147</v>
      </c>
      <c r="AC69" s="53">
        <f t="shared" si="10"/>
        <v>6.932183342227261</v>
      </c>
      <c r="AD69" s="77">
        <f t="shared" si="11"/>
        <v>23.232703567145975</v>
      </c>
      <c r="AE69" s="67">
        <f t="shared" si="24"/>
        <v>1.8614191848053906E-53</v>
      </c>
      <c r="AF69" s="42">
        <f t="shared" si="25"/>
        <v>0.27442508716472036</v>
      </c>
      <c r="AG69" s="42">
        <f t="shared" si="26"/>
        <v>0.91514698085545176</v>
      </c>
      <c r="AH69" s="42">
        <f t="shared" si="12"/>
        <v>1.1895720680201722</v>
      </c>
      <c r="AI69" s="41">
        <f t="shared" si="27"/>
        <v>297.39301700504302</v>
      </c>
      <c r="AJ69" s="41">
        <f t="shared" si="28"/>
        <v>137.21254358236018</v>
      </c>
      <c r="AK69" s="41">
        <f t="shared" si="29"/>
        <v>457.57349042772586</v>
      </c>
      <c r="AM69" s="15">
        <v>30.712625851723661</v>
      </c>
      <c r="AN69" s="15">
        <v>115.64211074823523</v>
      </c>
      <c r="AP69" s="41">
        <f ca="1">AD69*AJ69/(AJ69+AK69)*2.71828^(-0.69315/半Cs134*(NOW()-R69)/365.25)+AD69*AK69/(AJ69+AK69)*2.71828^(-0.69315/半Cs137*(NOW()-R69)/365.25)</f>
        <v>16.979525045528376</v>
      </c>
    </row>
    <row r="70" spans="1:42" ht="9.9499999999999993" customHeight="1" x14ac:dyDescent="0.15">
      <c r="A70" s="6"/>
      <c r="R70" s="60">
        <v>42050</v>
      </c>
      <c r="S70" s="592">
        <f t="shared" si="13"/>
        <v>12.327895522082517</v>
      </c>
      <c r="T70" s="592">
        <f t="shared" si="14"/>
        <v>73.941110852341055</v>
      </c>
      <c r="U70" s="102">
        <f t="shared" si="15"/>
        <v>86.269006374423569</v>
      </c>
      <c r="V70" s="101">
        <f t="shared" si="19"/>
        <v>2.0164347471432791</v>
      </c>
      <c r="W70" s="101">
        <f t="shared" si="20"/>
        <v>12.094312845039985</v>
      </c>
      <c r="X70" s="102">
        <f t="shared" si="18"/>
        <v>14.110747592183264</v>
      </c>
      <c r="Y70" s="564">
        <f t="shared" si="21"/>
        <v>288.52856907310309</v>
      </c>
      <c r="Z70" s="53">
        <f t="shared" si="22"/>
        <v>144.26428453655154</v>
      </c>
      <c r="AA70" s="53">
        <f t="shared" si="9"/>
        <v>12.445536482285421</v>
      </c>
      <c r="AB70" s="53">
        <f t="shared" si="23"/>
        <v>375.08713979503398</v>
      </c>
      <c r="AC70" s="53">
        <f t="shared" si="10"/>
        <v>5.2927599547216833</v>
      </c>
      <c r="AD70" s="77">
        <f t="shared" si="11"/>
        <v>17.738296437007104</v>
      </c>
      <c r="AE70" s="67">
        <f t="shared" si="24"/>
        <v>1.277623894059799E-54</v>
      </c>
      <c r="AF70" s="42">
        <f t="shared" si="25"/>
        <v>0.26670623079824379</v>
      </c>
      <c r="AG70" s="42">
        <f t="shared" si="26"/>
        <v>0.91335830739532808</v>
      </c>
      <c r="AH70" s="42">
        <f t="shared" si="12"/>
        <v>1.1800645381935719</v>
      </c>
      <c r="AI70" s="41">
        <f t="shared" si="27"/>
        <v>295.01613454839298</v>
      </c>
      <c r="AJ70" s="41">
        <f t="shared" si="28"/>
        <v>133.35311539912189</v>
      </c>
      <c r="AK70" s="41">
        <f t="shared" si="29"/>
        <v>456.67915369766405</v>
      </c>
      <c r="AM70" s="15">
        <v>26.906971965588799</v>
      </c>
      <c r="AN70" s="15">
        <v>103.50403762273774</v>
      </c>
      <c r="AP70" s="41">
        <f ca="1">AD70*AJ70/(AJ70+AK70)*2.71828^(-0.69315/半Cs134*(NOW()-R70)/365.25)+AD70*AK70/(AJ70+AK70)*2.71828^(-0.69315/半Cs137*(NOW()-R70)/365.25)</f>
        <v>13.06840826287223</v>
      </c>
    </row>
    <row r="71" spans="1:42" ht="9.9499999999999993" customHeight="1" x14ac:dyDescent="0.15">
      <c r="A71" s="6"/>
      <c r="R71" s="60">
        <v>42078</v>
      </c>
      <c r="S71" s="592">
        <f t="shared" si="13"/>
        <v>10.425259453390826</v>
      </c>
      <c r="T71" s="592">
        <f t="shared" si="14"/>
        <v>63.698801863228546</v>
      </c>
      <c r="U71" s="102">
        <f t="shared" si="15"/>
        <v>74.124061316619375</v>
      </c>
      <c r="V71" s="101">
        <f t="shared" si="19"/>
        <v>1.705226603530628</v>
      </c>
      <c r="W71" s="101">
        <f t="shared" si="20"/>
        <v>10.419010868345785</v>
      </c>
      <c r="X71" s="102">
        <f t="shared" si="18"/>
        <v>12.124237471876413</v>
      </c>
      <c r="Y71" s="564">
        <f t="shared" si="21"/>
        <v>349.79271945401081</v>
      </c>
      <c r="Z71" s="53">
        <f t="shared" si="22"/>
        <v>174.8963597270054</v>
      </c>
      <c r="AA71" s="53">
        <f t="shared" si="9"/>
        <v>12.964028492458068</v>
      </c>
      <c r="AB71" s="53">
        <f t="shared" si="23"/>
        <v>454.73053529021405</v>
      </c>
      <c r="AC71" s="53">
        <f t="shared" si="10"/>
        <v>5.5132609955720326</v>
      </c>
      <c r="AD71" s="77">
        <f t="shared" si="11"/>
        <v>18.477289488030102</v>
      </c>
      <c r="AE71" s="67">
        <f t="shared" si="24"/>
        <v>1.1364568352899382E-55</v>
      </c>
      <c r="AF71" s="42">
        <f t="shared" si="25"/>
        <v>0.25992114282893963</v>
      </c>
      <c r="AG71" s="42">
        <f t="shared" si="26"/>
        <v>0.91174573644193124</v>
      </c>
      <c r="AH71" s="42">
        <f t="shared" si="12"/>
        <v>1.1716668792708709</v>
      </c>
      <c r="AI71" s="41">
        <f t="shared" si="27"/>
        <v>292.91671981771776</v>
      </c>
      <c r="AJ71" s="41">
        <f t="shared" si="28"/>
        <v>129.96057141446983</v>
      </c>
      <c r="AK71" s="41">
        <f t="shared" si="29"/>
        <v>455.87286822096564</v>
      </c>
      <c r="AM71" s="15">
        <v>22.754261937400845</v>
      </c>
      <c r="AN71" s="15">
        <v>89.16667748934934</v>
      </c>
      <c r="AP71" s="41">
        <f ca="1">AD71*AJ71/(AJ71+AK71)*2.71828^(-0.69315/半Cs134*(NOW()-R71)/365.25)+AD71*AK71/(AJ71+AK71)*2.71828^(-0.69315/半Cs137*(NOW()-R71)/365.25)</f>
        <v>13.710416699224899</v>
      </c>
    </row>
    <row r="72" spans="1:42" ht="9.9499999999999993" customHeight="1" x14ac:dyDescent="0.15">
      <c r="A72" s="6"/>
      <c r="R72" s="60">
        <v>42109</v>
      </c>
      <c r="S72" s="592">
        <f t="shared" si="13"/>
        <v>18.203320720588327</v>
      </c>
      <c r="T72" s="592">
        <f t="shared" si="14"/>
        <v>113.43618885107811</v>
      </c>
      <c r="U72" s="102">
        <f t="shared" si="15"/>
        <v>131.63950957166645</v>
      </c>
      <c r="V72" s="101">
        <f t="shared" si="19"/>
        <v>2.9774594008067097</v>
      </c>
      <c r="W72" s="101">
        <f t="shared" si="20"/>
        <v>18.554397413012882</v>
      </c>
      <c r="X72" s="102">
        <f t="shared" si="18"/>
        <v>21.531856813819591</v>
      </c>
      <c r="Y72" s="564">
        <f t="shared" si="21"/>
        <v>357.72715071823916</v>
      </c>
      <c r="Z72" s="53">
        <f t="shared" si="22"/>
        <v>178.86357535911958</v>
      </c>
      <c r="AA72" s="53">
        <f t="shared" si="9"/>
        <v>23.545513340509302</v>
      </c>
      <c r="AB72" s="53">
        <f t="shared" si="23"/>
        <v>465.04529593371092</v>
      </c>
      <c r="AC72" s="53">
        <f t="shared" si="10"/>
        <v>10.013288723985021</v>
      </c>
      <c r="AD72" s="77">
        <f t="shared" si="11"/>
        <v>33.558802064494323</v>
      </c>
      <c r="AE72" s="67">
        <f t="shared" si="24"/>
        <v>7.8003085988706434E-57</v>
      </c>
      <c r="AF72" s="42">
        <f t="shared" si="25"/>
        <v>0.2526102442925286</v>
      </c>
      <c r="AG72" s="42">
        <f t="shared" si="26"/>
        <v>0.90996371078346261</v>
      </c>
      <c r="AH72" s="42">
        <f t="shared" si="12"/>
        <v>1.1625739550759913</v>
      </c>
      <c r="AI72" s="41">
        <f t="shared" si="27"/>
        <v>290.64348876899783</v>
      </c>
      <c r="AJ72" s="41">
        <f t="shared" si="28"/>
        <v>126.3051221462643</v>
      </c>
      <c r="AK72" s="41">
        <f t="shared" si="29"/>
        <v>454.9818553917313</v>
      </c>
      <c r="AM72" s="15">
        <v>39.730726094501478</v>
      </c>
      <c r="AN72" s="15">
        <v>158.78992651420566</v>
      </c>
      <c r="AP72" s="41">
        <f ca="1">AD72*AJ72/(AJ72+AK72)*2.71828^(-0.69315/半Cs134*(NOW()-R72)/365.25)+AD72*AK72/(AJ72+AK72)*2.71828^(-0.69315/半Cs137*(NOW()-R72)/365.25)</f>
        <v>25.095878617431637</v>
      </c>
    </row>
    <row r="73" spans="1:42" ht="9.9499999999999993" customHeight="1" x14ac:dyDescent="0.15">
      <c r="A73" s="6"/>
      <c r="R73" s="60">
        <v>42139</v>
      </c>
      <c r="S73" s="592">
        <f t="shared" si="13"/>
        <v>26.438347597129514</v>
      </c>
      <c r="T73" s="592">
        <f t="shared" si="14"/>
        <v>167.79256910397078</v>
      </c>
      <c r="U73" s="102">
        <f t="shared" si="15"/>
        <v>194.23091670110028</v>
      </c>
      <c r="V73" s="101">
        <f t="shared" si="19"/>
        <v>4.3244366125921108</v>
      </c>
      <c r="W73" s="101">
        <f t="shared" si="20"/>
        <v>27.445298027357971</v>
      </c>
      <c r="X73" s="102">
        <f t="shared" si="18"/>
        <v>31.76973463995008</v>
      </c>
      <c r="Y73" s="564">
        <f t="shared" si="21"/>
        <v>401.95235698891918</v>
      </c>
      <c r="Z73" s="53">
        <f t="shared" si="22"/>
        <v>200.97617849445962</v>
      </c>
      <c r="AA73" s="53">
        <f t="shared" si="9"/>
        <v>39.035787384062843</v>
      </c>
      <c r="AB73" s="53">
        <f t="shared" si="23"/>
        <v>522.53806408559501</v>
      </c>
      <c r="AC73" s="53">
        <f t="shared" si="10"/>
        <v>16.600895635272582</v>
      </c>
      <c r="AD73" s="77">
        <f t="shared" si="11"/>
        <v>55.636683019335422</v>
      </c>
      <c r="AE73" s="67">
        <f t="shared" si="24"/>
        <v>5.8371517570725939E-58</v>
      </c>
      <c r="AF73" s="42">
        <f t="shared" si="25"/>
        <v>0.24573103404755547</v>
      </c>
      <c r="AG73" s="42">
        <f t="shared" si="26"/>
        <v>0.90824248617857339</v>
      </c>
      <c r="AH73" s="42">
        <f t="shared" si="12"/>
        <v>1.153973520226129</v>
      </c>
      <c r="AI73" s="41">
        <f t="shared" si="27"/>
        <v>288.4933800565322</v>
      </c>
      <c r="AJ73" s="41">
        <f t="shared" si="28"/>
        <v>122.86551702377774</v>
      </c>
      <c r="AK73" s="41">
        <f t="shared" si="29"/>
        <v>454.12124308928668</v>
      </c>
      <c r="AM73" s="15">
        <v>57.704567364169641</v>
      </c>
      <c r="AN73" s="15">
        <v>234.87892168722195</v>
      </c>
      <c r="AP73" s="41">
        <f ca="1">AD73*AJ73/(AJ73+AK73)*2.71828^(-0.69315/半Cs134*(NOW()-R73)/365.25)+AD73*AK73/(AJ73+AK73)*2.71828^(-0.69315/半Cs137*(NOW()-R73)/365.25)</f>
        <v>41.916202669846683</v>
      </c>
    </row>
    <row r="74" spans="1:42" ht="9.9499999999999993" customHeight="1" x14ac:dyDescent="0.15">
      <c r="A74" s="6"/>
      <c r="R74" s="60">
        <v>42170</v>
      </c>
      <c r="S74" s="592">
        <f t="shared" si="13"/>
        <v>27.515913693930379</v>
      </c>
      <c r="T74" s="592">
        <f t="shared" si="14"/>
        <v>177.78461308094981</v>
      </c>
      <c r="U74" s="102">
        <f t="shared" si="15"/>
        <v>205.30052677488018</v>
      </c>
      <c r="V74" s="101">
        <f t="shared" si="19"/>
        <v>4.500690679317505</v>
      </c>
      <c r="W74" s="101">
        <f t="shared" si="20"/>
        <v>29.079664950250308</v>
      </c>
      <c r="X74" s="102">
        <f t="shared" si="18"/>
        <v>33.580355629567812</v>
      </c>
      <c r="Y74" s="564">
        <f t="shared" si="21"/>
        <v>394.45605505367786</v>
      </c>
      <c r="Z74" s="53">
        <f t="shared" si="22"/>
        <v>197.22802752683893</v>
      </c>
      <c r="AA74" s="53">
        <f t="shared" si="9"/>
        <v>40.491017946030603</v>
      </c>
      <c r="AB74" s="53">
        <f t="shared" si="23"/>
        <v>512.79287156978125</v>
      </c>
      <c r="AC74" s="53">
        <f t="shared" si="10"/>
        <v>17.219766991620549</v>
      </c>
      <c r="AD74" s="77">
        <f t="shared" si="11"/>
        <v>57.710784937651155</v>
      </c>
      <c r="AE74" s="67">
        <f t="shared" si="24"/>
        <v>4.0064508945462373E-59</v>
      </c>
      <c r="AF74" s="42">
        <f t="shared" si="25"/>
        <v>0.23881926597199188</v>
      </c>
      <c r="AG74" s="42">
        <f t="shared" si="26"/>
        <v>0.90646730769427597</v>
      </c>
      <c r="AH74" s="42">
        <f t="shared" si="12"/>
        <v>1.1452865736662678</v>
      </c>
      <c r="AI74" s="41">
        <f t="shared" si="27"/>
        <v>286.32164341656699</v>
      </c>
      <c r="AJ74" s="41">
        <f t="shared" si="28"/>
        <v>119.40963298599594</v>
      </c>
      <c r="AK74" s="41">
        <f t="shared" si="29"/>
        <v>453.23365384713799</v>
      </c>
      <c r="AM74" s="15">
        <v>60.056472497187173</v>
      </c>
      <c r="AN74" s="15">
        <v>248.86595655591088</v>
      </c>
      <c r="AP74" s="41">
        <f ca="1">AD74*AJ74/(AJ74+AK74)*2.71828^(-0.69315/半Cs134*(NOW()-R74)/365.25)+AD74*AK74/(AJ74+AK74)*2.71828^(-0.69315/半Cs137*(NOW()-R74)/365.25)</f>
        <v>43.80859819435176</v>
      </c>
    </row>
    <row r="75" spans="1:42" ht="9.9499999999999993" customHeight="1" x14ac:dyDescent="0.15">
      <c r="A75" s="6"/>
      <c r="R75" s="60">
        <v>42200</v>
      </c>
      <c r="S75" s="592">
        <f t="shared" si="13"/>
        <v>25.297826920947852</v>
      </c>
      <c r="T75" s="592">
        <f t="shared" si="14"/>
        <v>166.19548559237933</v>
      </c>
      <c r="U75" s="102">
        <f t="shared" si="15"/>
        <v>191.49331251332717</v>
      </c>
      <c r="V75" s="101">
        <f t="shared" si="19"/>
        <v>4.1378852651079816</v>
      </c>
      <c r="W75" s="101">
        <f t="shared" si="20"/>
        <v>27.18406814581866</v>
      </c>
      <c r="X75" s="102">
        <f t="shared" si="18"/>
        <v>31.321953410926643</v>
      </c>
      <c r="Y75" s="564">
        <f t="shared" si="21"/>
        <v>419.66930933518216</v>
      </c>
      <c r="Z75" s="53">
        <f t="shared" si="22"/>
        <v>209.83465466759108</v>
      </c>
      <c r="AA75" s="53">
        <f t="shared" si="9"/>
        <v>40.181933102387106</v>
      </c>
      <c r="AB75" s="53">
        <f t="shared" si="23"/>
        <v>545.57010213573676</v>
      </c>
      <c r="AC75" s="53">
        <f t="shared" si="10"/>
        <v>17.088321321490035</v>
      </c>
      <c r="AD75" s="77">
        <f t="shared" si="11"/>
        <v>57.270254423877141</v>
      </c>
      <c r="AE75" s="67">
        <f t="shared" si="24"/>
        <v>2.9981200849043654E-60</v>
      </c>
      <c r="AF75" s="42">
        <f t="shared" si="25"/>
        <v>0.23231561864061523</v>
      </c>
      <c r="AG75" s="42">
        <f t="shared" si="26"/>
        <v>0.90475269664436087</v>
      </c>
      <c r="AH75" s="42">
        <f t="shared" si="12"/>
        <v>1.1370683152849761</v>
      </c>
      <c r="AI75" s="41">
        <f t="shared" si="27"/>
        <v>284.26707882124401</v>
      </c>
      <c r="AJ75" s="41">
        <f t="shared" si="28"/>
        <v>116.15780932030762</v>
      </c>
      <c r="AK75" s="41">
        <f t="shared" si="29"/>
        <v>452.37634832218043</v>
      </c>
      <c r="AM75" s="15">
        <v>55.21525701876444</v>
      </c>
      <c r="AN75" s="15">
        <v>232.64329674238542</v>
      </c>
      <c r="AP75" s="41">
        <f ca="1">AD75*AJ75/(AJ75+AK75)*2.71828^(-0.69315/半Cs134*(NOW()-R75)/365.25)+AD75*AK75/(AJ75+AK75)*2.71828^(-0.69315/半Cs137*(NOW()-R75)/365.25)</f>
        <v>43.788402289517379</v>
      </c>
    </row>
    <row r="76" spans="1:42" ht="9.9499999999999993" customHeight="1" x14ac:dyDescent="0.15">
      <c r="A76" s="6"/>
      <c r="R76" s="60">
        <v>42231</v>
      </c>
      <c r="S76" s="592">
        <f t="shared" si="13"/>
        <v>21.249413814122633</v>
      </c>
      <c r="T76" s="592">
        <f t="shared" si="14"/>
        <v>141.90023226465729</v>
      </c>
      <c r="U76" s="102">
        <f t="shared" si="15"/>
        <v>163.14964607877994</v>
      </c>
      <c r="V76" s="101">
        <f t="shared" si="19"/>
        <v>3.475699181135262</v>
      </c>
      <c r="W76" s="101">
        <f t="shared" si="20"/>
        <v>23.210170661620047</v>
      </c>
      <c r="X76" s="102">
        <f t="shared" si="18"/>
        <v>26.685869842755309</v>
      </c>
      <c r="Y76" s="564">
        <f t="shared" si="21"/>
        <v>425.56389967582726</v>
      </c>
      <c r="Z76" s="53">
        <f t="shared" si="22"/>
        <v>212.78194983791366</v>
      </c>
      <c r="AA76" s="53">
        <f t="shared" si="9"/>
        <v>34.715299808008318</v>
      </c>
      <c r="AB76" s="53">
        <f t="shared" si="23"/>
        <v>553.23306957857551</v>
      </c>
      <c r="AC76" s="53">
        <f t="shared" si="10"/>
        <v>14.763505687481858</v>
      </c>
      <c r="AD76" s="77">
        <f t="shared" si="11"/>
        <v>49.478805495490178</v>
      </c>
      <c r="AE76" s="67">
        <f t="shared" si="24"/>
        <v>2.0578222729206919E-61</v>
      </c>
      <c r="AF76" s="42">
        <f t="shared" si="25"/>
        <v>0.22578119093758348</v>
      </c>
      <c r="AG76" s="42">
        <f t="shared" si="26"/>
        <v>0.902984339024965</v>
      </c>
      <c r="AH76" s="42">
        <f t="shared" si="12"/>
        <v>1.1287655299625485</v>
      </c>
      <c r="AI76" s="41">
        <f t="shared" si="27"/>
        <v>282.19138249063712</v>
      </c>
      <c r="AJ76" s="41">
        <f t="shared" si="28"/>
        <v>112.89059546879174</v>
      </c>
      <c r="AK76" s="41">
        <f t="shared" si="29"/>
        <v>451.49216951248252</v>
      </c>
      <c r="AM76" s="15">
        <v>46.379155368215486</v>
      </c>
      <c r="AN76" s="15">
        <v>198.63438362897273</v>
      </c>
      <c r="AP76" s="41">
        <f ca="1">AD76*AJ76/(AJ76+AK76)*2.71828^(-0.69315/半Cs134*(NOW()-R76)/365.25)+AD76*AK76/(AJ76+AK76)*2.71828^(-0.69315/半Cs137*(NOW()-R76)/365.25)</f>
        <v>38.109391358916447</v>
      </c>
    </row>
    <row r="77" spans="1:42" ht="9.9499999999999993" customHeight="1" x14ac:dyDescent="0.15">
      <c r="A77" s="6"/>
      <c r="R77" s="60">
        <v>42262</v>
      </c>
      <c r="S77" s="592">
        <f t="shared" si="13"/>
        <v>19.198486019709723</v>
      </c>
      <c r="T77" s="592">
        <f t="shared" si="14"/>
        <v>130.19151904465443</v>
      </c>
      <c r="U77" s="102">
        <f t="shared" si="15"/>
        <v>149.39000506436415</v>
      </c>
      <c r="V77" s="101">
        <f t="shared" si="19"/>
        <v>3.1402354305601348</v>
      </c>
      <c r="W77" s="101">
        <f t="shared" si="20"/>
        <v>21.295013598611348</v>
      </c>
      <c r="X77" s="102">
        <f t="shared" si="18"/>
        <v>24.435249029171484</v>
      </c>
      <c r="Y77" s="564">
        <f t="shared" si="21"/>
        <v>394.60187705525675</v>
      </c>
      <c r="Z77" s="53">
        <f t="shared" si="22"/>
        <v>197.3009385276284</v>
      </c>
      <c r="AA77" s="53">
        <f t="shared" si="9"/>
        <v>29.474788205846206</v>
      </c>
      <c r="AB77" s="53">
        <f t="shared" si="23"/>
        <v>512.98244017183379</v>
      </c>
      <c r="AC77" s="53">
        <f t="shared" si="10"/>
        <v>12.53485367319082</v>
      </c>
      <c r="AD77" s="77">
        <f t="shared" si="11"/>
        <v>42.009641879037027</v>
      </c>
      <c r="AE77" s="67">
        <f t="shared" si="24"/>
        <v>1.4124292513332333E-62</v>
      </c>
      <c r="AF77" s="42">
        <f t="shared" si="25"/>
        <v>0.21943055950987753</v>
      </c>
      <c r="AG77" s="42">
        <f t="shared" si="26"/>
        <v>0.90121943769664337</v>
      </c>
      <c r="AH77" s="42">
        <f t="shared" si="12"/>
        <v>1.1206499972065209</v>
      </c>
      <c r="AI77" s="41">
        <f t="shared" si="27"/>
        <v>280.16249930163019</v>
      </c>
      <c r="AJ77" s="41">
        <f t="shared" si="28"/>
        <v>109.71527975493876</v>
      </c>
      <c r="AK77" s="41">
        <f t="shared" si="29"/>
        <v>450.60971884832168</v>
      </c>
      <c r="AM77" s="15">
        <v>41.902782529975127</v>
      </c>
      <c r="AN77" s="15">
        <v>182.24432565355005</v>
      </c>
      <c r="AP77" s="41">
        <f ca="1">AD77*AJ77/(AJ77+AK77)*2.71828^(-0.69315/半Cs134*(NOW()-R77)/365.25)+AD77*AK77/(AJ77+AK77)*2.71828^(-0.69315/半Cs137*(NOW()-R77)/365.25)</f>
        <v>32.590838169133086</v>
      </c>
    </row>
    <row r="78" spans="1:42" ht="9.9499999999999993" customHeight="1" x14ac:dyDescent="0.15">
      <c r="A78" s="6"/>
      <c r="R78" s="60">
        <v>42292</v>
      </c>
      <c r="S78" s="592">
        <f t="shared" si="13"/>
        <v>17.231411526689552</v>
      </c>
      <c r="T78" s="592">
        <f t="shared" si="14"/>
        <v>118.50231052943479</v>
      </c>
      <c r="U78" s="102">
        <f t="shared" si="15"/>
        <v>135.73372205612435</v>
      </c>
      <c r="V78" s="101">
        <f t="shared" si="19"/>
        <v>2.8184872983797384</v>
      </c>
      <c r="W78" s="101">
        <f t="shared" si="20"/>
        <v>19.383046858264553</v>
      </c>
      <c r="X78" s="102">
        <f t="shared" si="18"/>
        <v>22.201534156644293</v>
      </c>
      <c r="Y78" s="564">
        <f t="shared" si="21"/>
        <v>406.02035177516888</v>
      </c>
      <c r="Z78" s="53">
        <f t="shared" si="22"/>
        <v>203.01017588758444</v>
      </c>
      <c r="AA78" s="53">
        <f t="shared" si="9"/>
        <v>27.555326788490305</v>
      </c>
      <c r="AB78" s="53">
        <f t="shared" si="23"/>
        <v>527.82645730771958</v>
      </c>
      <c r="AC78" s="53">
        <f t="shared" si="10"/>
        <v>11.718557120697888</v>
      </c>
      <c r="AD78" s="77">
        <f t="shared" si="11"/>
        <v>39.273883909188193</v>
      </c>
      <c r="AE78" s="67">
        <f t="shared" si="24"/>
        <v>1.0569535527548172E-63</v>
      </c>
      <c r="AF78" s="42">
        <f t="shared" si="25"/>
        <v>0.21345491526287499</v>
      </c>
      <c r="AG78" s="42">
        <f t="shared" si="26"/>
        <v>0.89951475315572649</v>
      </c>
      <c r="AH78" s="42">
        <f t="shared" si="12"/>
        <v>1.1129696684186015</v>
      </c>
      <c r="AI78" s="41">
        <f t="shared" si="27"/>
        <v>278.24241710465037</v>
      </c>
      <c r="AJ78" s="41">
        <f t="shared" si="28"/>
        <v>106.7274576314375</v>
      </c>
      <c r="AK78" s="41">
        <f t="shared" si="29"/>
        <v>449.75737657786323</v>
      </c>
      <c r="AM78" s="15">
        <v>37.609428636513712</v>
      </c>
      <c r="AN78" s="15">
        <v>165.88157069906435</v>
      </c>
      <c r="AP78" s="41">
        <f ca="1">AD78*AJ78/(AJ78+AK78)*2.71828^(-0.69315/半Cs134*(NOW()-R78)/365.25)+AD78*AK78/(AJ78+AK78)*2.71828^(-0.69315/半Cs137*(NOW()-R78)/365.25)</f>
        <v>30.678708163714223</v>
      </c>
    </row>
    <row r="79" spans="1:42" ht="9.9499999999999993" customHeight="1" x14ac:dyDescent="0.15">
      <c r="A79" s="6"/>
      <c r="R79" s="60">
        <v>42323</v>
      </c>
      <c r="S79" s="592">
        <f t="shared" si="13"/>
        <v>14.007354008406171</v>
      </c>
      <c r="T79" s="592">
        <f t="shared" si="14"/>
        <v>97.65466412634683</v>
      </c>
      <c r="U79" s="102">
        <f t="shared" si="15"/>
        <v>111.662018134753</v>
      </c>
      <c r="V79" s="101">
        <f t="shared" si="19"/>
        <v>2.2911384418770249</v>
      </c>
      <c r="W79" s="101">
        <f t="shared" si="20"/>
        <v>15.973063497516389</v>
      </c>
      <c r="X79" s="102">
        <f t="shared" si="18"/>
        <v>18.264201939393413</v>
      </c>
      <c r="Y79" s="564">
        <f t="shared" si="21"/>
        <v>367.26913770383106</v>
      </c>
      <c r="Z79" s="53">
        <f t="shared" si="22"/>
        <v>183.63456885191556</v>
      </c>
      <c r="AA79" s="53">
        <f t="shared" si="9"/>
        <v>20.505006557310143</v>
      </c>
      <c r="AB79" s="53">
        <f t="shared" si="23"/>
        <v>477.44987901498041</v>
      </c>
      <c r="AC79" s="53">
        <f t="shared" si="10"/>
        <v>8.7202410062685551</v>
      </c>
      <c r="AD79" s="77">
        <f t="shared" si="11"/>
        <v>29.225247563578698</v>
      </c>
      <c r="AE79" s="67">
        <f t="shared" si="24"/>
        <v>7.2546212316605665E-65</v>
      </c>
      <c r="AF79" s="42">
        <f t="shared" si="25"/>
        <v>0.20745098956987301</v>
      </c>
      <c r="AG79" s="42">
        <f t="shared" si="26"/>
        <v>0.89775663320383059</v>
      </c>
      <c r="AH79" s="42">
        <f t="shared" si="12"/>
        <v>1.1052076227737035</v>
      </c>
      <c r="AI79" s="41">
        <f t="shared" si="27"/>
        <v>276.30190569342591</v>
      </c>
      <c r="AJ79" s="41">
        <f t="shared" si="28"/>
        <v>103.7254947849365</v>
      </c>
      <c r="AK79" s="41">
        <f t="shared" si="29"/>
        <v>448.87831660191529</v>
      </c>
      <c r="AM79" s="15">
        <v>30.572572661825639</v>
      </c>
      <c r="AN79" s="15">
        <v>136.69867700465039</v>
      </c>
      <c r="AP79" s="41">
        <f ca="1">AD79*AJ79/(AJ79+AK79)*2.71828^(-0.69315/半Cs134*(NOW()-R79)/365.25)+AD79*AK79/(AJ79+AK79)*2.71828^(-0.69315/半Cs137*(NOW()-R79)/365.25)</f>
        <v>22.989571252318811</v>
      </c>
    </row>
    <row r="80" spans="1:42" ht="9.9499999999999993" customHeight="1" x14ac:dyDescent="0.15">
      <c r="A80" s="6"/>
      <c r="R80" s="60">
        <v>42353</v>
      </c>
      <c r="S80" s="592">
        <f t="shared" si="13"/>
        <v>10.098747783624249</v>
      </c>
      <c r="T80" s="592">
        <f t="shared" si="14"/>
        <v>71.285527921198735</v>
      </c>
      <c r="U80" s="102">
        <f t="shared" si="15"/>
        <v>81.384275704822983</v>
      </c>
      <c r="V80" s="101">
        <f t="shared" si="19"/>
        <v>1.6518201259136052</v>
      </c>
      <c r="W80" s="101">
        <f t="shared" si="20"/>
        <v>11.659947572663683</v>
      </c>
      <c r="X80" s="102">
        <f t="shared" si="18"/>
        <v>13.311767698577288</v>
      </c>
      <c r="Y80" s="564">
        <f t="shared" si="21"/>
        <v>368.60948248230886</v>
      </c>
      <c r="Z80" s="53">
        <f t="shared" si="22"/>
        <v>184.30474124115446</v>
      </c>
      <c r="AA80" s="53">
        <f t="shared" si="9"/>
        <v>14.999507874876173</v>
      </c>
      <c r="AB80" s="53">
        <f t="shared" si="23"/>
        <v>479.19232722700156</v>
      </c>
      <c r="AC80" s="53">
        <f t="shared" si="10"/>
        <v>6.3788969429864775</v>
      </c>
      <c r="AD80" s="77">
        <f t="shared" si="11"/>
        <v>21.378404817862652</v>
      </c>
      <c r="AE80" s="67">
        <f t="shared" si="24"/>
        <v>5.4288012496602859E-66</v>
      </c>
      <c r="AF80" s="42">
        <f t="shared" si="25"/>
        <v>0.20180157904507151</v>
      </c>
      <c r="AG80" s="42">
        <f t="shared" si="26"/>
        <v>0.8960584986650999</v>
      </c>
      <c r="AH80" s="42">
        <f t="shared" si="12"/>
        <v>1.0978600777101715</v>
      </c>
      <c r="AI80" s="41">
        <f t="shared" si="27"/>
        <v>274.46501942754287</v>
      </c>
      <c r="AJ80" s="41">
        <f t="shared" si="28"/>
        <v>100.90078952253576</v>
      </c>
      <c r="AK80" s="41">
        <f t="shared" si="29"/>
        <v>448.02924933254997</v>
      </c>
      <c r="AM80" s="15">
        <v>22.041614727736405</v>
      </c>
      <c r="AN80" s="15">
        <v>99.786707000478728</v>
      </c>
      <c r="AP80" s="41">
        <f ca="1">AD80*AJ80/(AJ80+AK80)*2.71828^(-0.69315/半Cs134*(NOW()-R80)/365.25)+AD80*AK80/(AJ80+AK80)*2.71828^(-0.69315/半Cs137*(NOW()-R80)/365.25)</f>
        <v>16.929527943617096</v>
      </c>
    </row>
    <row r="81" spans="1:42" ht="9.9499999999999993" customHeight="1" x14ac:dyDescent="0.15">
      <c r="A81" s="6"/>
      <c r="R81" s="60">
        <v>42384</v>
      </c>
      <c r="S81" s="592">
        <f t="shared" si="13"/>
        <v>8.9133421729051925</v>
      </c>
      <c r="T81" s="592">
        <f t="shared" si="14"/>
        <v>63.673119440564292</v>
      </c>
      <c r="U81" s="102">
        <f t="shared" si="15"/>
        <v>72.586461613469481</v>
      </c>
      <c r="V81" s="101">
        <f t="shared" si="19"/>
        <v>1.4579270921325467</v>
      </c>
      <c r="W81" s="101">
        <f t="shared" si="20"/>
        <v>10.414810075975485</v>
      </c>
      <c r="X81" s="102">
        <f t="shared" si="18"/>
        <v>11.872737168108031</v>
      </c>
      <c r="Y81" s="564">
        <f t="shared" si="21"/>
        <v>337.73901532979687</v>
      </c>
      <c r="Z81" s="53">
        <f t="shared" si="22"/>
        <v>168.86950766489846</v>
      </c>
      <c r="AA81" s="53">
        <f t="shared" si="9"/>
        <v>12.257640035803643</v>
      </c>
      <c r="AB81" s="53">
        <f t="shared" si="23"/>
        <v>439.06071992873598</v>
      </c>
      <c r="AC81" s="53">
        <f t="shared" si="10"/>
        <v>5.2128525285541745</v>
      </c>
      <c r="AD81" s="77">
        <f t="shared" si="11"/>
        <v>17.470492564357819</v>
      </c>
      <c r="AE81" s="67">
        <f t="shared" si="24"/>
        <v>3.7261710039766376E-67</v>
      </c>
      <c r="AF81" s="42">
        <f t="shared" si="25"/>
        <v>0.19612543106869459</v>
      </c>
      <c r="AG81" s="42">
        <f t="shared" si="26"/>
        <v>0.89430713403317807</v>
      </c>
      <c r="AH81" s="42">
        <f t="shared" si="12"/>
        <v>1.0904325651018727</v>
      </c>
      <c r="AI81" s="41">
        <f t="shared" si="27"/>
        <v>272.60814127546814</v>
      </c>
      <c r="AJ81" s="41">
        <f t="shared" si="28"/>
        <v>98.062715534347291</v>
      </c>
      <c r="AK81" s="41">
        <f t="shared" si="29"/>
        <v>447.15356701658902</v>
      </c>
      <c r="AM81" s="15">
        <v>19.454338133906116</v>
      </c>
      <c r="AN81" s="15">
        <v>89.13072679276064</v>
      </c>
      <c r="AP81" s="41">
        <f ca="1">AD81*AJ81/(AJ81+AK81)*2.71828^(-0.69315/半Cs134*(NOW()-R81)/365.25)+AD81*AK81/(AJ81+AK81)*2.71828^(-0.69315/半Cs137*(NOW()-R81)/365.25)</f>
        <v>13.929094396096513</v>
      </c>
    </row>
    <row r="82" spans="1:42" ht="9.9499999999999993" customHeight="1" x14ac:dyDescent="0.15">
      <c r="A82" s="6"/>
      <c r="R82" s="60">
        <v>42415</v>
      </c>
      <c r="S82" s="592">
        <f t="shared" si="13"/>
        <v>7.9628807992638704</v>
      </c>
      <c r="T82" s="592">
        <f t="shared" si="14"/>
        <v>57.515587373915302</v>
      </c>
      <c r="U82" s="102">
        <f t="shared" si="15"/>
        <v>65.478468173179166</v>
      </c>
      <c r="V82" s="101">
        <f t="shared" si="19"/>
        <v>1.3024631415989898</v>
      </c>
      <c r="W82" s="101">
        <f t="shared" si="20"/>
        <v>9.4076420971749517</v>
      </c>
      <c r="X82" s="102">
        <f t="shared" si="18"/>
        <v>10.710105238773941</v>
      </c>
      <c r="Y82" s="564">
        <f t="shared" si="21"/>
        <v>288.9963666420611</v>
      </c>
      <c r="Z82" s="53">
        <f t="shared" si="22"/>
        <v>144.49818332103055</v>
      </c>
      <c r="AA82" s="53">
        <f t="shared" si="9"/>
        <v>9.461519697668308</v>
      </c>
      <c r="AB82" s="53">
        <f t="shared" si="23"/>
        <v>375.69527663467943</v>
      </c>
      <c r="AC82" s="53">
        <f t="shared" si="10"/>
        <v>4.0237359504677048</v>
      </c>
      <c r="AD82" s="77">
        <f t="shared" si="11"/>
        <v>13.485255648136013</v>
      </c>
      <c r="AE82" s="67">
        <f t="shared" si="24"/>
        <v>2.5575352112486148E-68</v>
      </c>
      <c r="AF82" s="42">
        <f t="shared" si="25"/>
        <v>0.19060893821494954</v>
      </c>
      <c r="AG82" s="42">
        <f t="shared" si="26"/>
        <v>0.89255919247918947</v>
      </c>
      <c r="AH82" s="42">
        <f t="shared" si="12"/>
        <v>1.083168130694139</v>
      </c>
      <c r="AI82" s="41">
        <f t="shared" si="27"/>
        <v>270.79203267353478</v>
      </c>
      <c r="AJ82" s="41">
        <f t="shared" si="28"/>
        <v>95.304469107474773</v>
      </c>
      <c r="AK82" s="41">
        <f t="shared" si="29"/>
        <v>446.27959623959475</v>
      </c>
      <c r="AM82" s="15">
        <v>17.379852874915056</v>
      </c>
      <c r="AN82" s="15">
        <v>80.511307590871922</v>
      </c>
      <c r="AP82" s="41">
        <f ca="1">AD82*AJ82/(AJ82+AK82)*2.71828^(-0.69315/半Cs134*(NOW()-R82)/365.25)+AD82*AK82/(AJ82+AK82)*2.71828^(-0.69315/半Cs137*(NOW()-R82)/365.25)</f>
        <v>10.823802403765296</v>
      </c>
    </row>
    <row r="83" spans="1:42" ht="9.9499999999999993" customHeight="1" x14ac:dyDescent="0.15">
      <c r="A83" s="6"/>
      <c r="R83" s="60">
        <v>42444</v>
      </c>
      <c r="S83" s="592">
        <f t="shared" si="13"/>
        <v>6.8492095751315274</v>
      </c>
      <c r="T83" s="592">
        <f t="shared" si="14"/>
        <v>49.95707169299834</v>
      </c>
      <c r="U83" s="102">
        <f t="shared" si="15"/>
        <v>56.806281268129865</v>
      </c>
      <c r="V83" s="101">
        <f t="shared" si="19"/>
        <v>1.1203034737780302</v>
      </c>
      <c r="W83" s="101">
        <f t="shared" si="20"/>
        <v>8.1713196747041259</v>
      </c>
      <c r="X83" s="102">
        <f t="shared" si="18"/>
        <v>9.2916231484821559</v>
      </c>
      <c r="Y83" s="564">
        <f t="shared" si="21"/>
        <v>350.35984590642931</v>
      </c>
      <c r="Z83" s="53">
        <f t="shared" si="22"/>
        <v>175.17992295321466</v>
      </c>
      <c r="AA83" s="53">
        <f t="shared" si="9"/>
        <v>9.9513199758096302</v>
      </c>
      <c r="AB83" s="53">
        <f t="shared" si="23"/>
        <v>455.46779967835812</v>
      </c>
      <c r="AC83" s="53">
        <f t="shared" si="10"/>
        <v>4.2320351508796659</v>
      </c>
      <c r="AD83" s="77">
        <f t="shared" si="11"/>
        <v>14.183355126689296</v>
      </c>
      <c r="AE83" s="67">
        <f t="shared" si="24"/>
        <v>2.0866095049004787E-69</v>
      </c>
      <c r="AF83" s="42">
        <f t="shared" si="25"/>
        <v>0.18558890519189994</v>
      </c>
      <c r="AG83" s="42">
        <f t="shared" si="26"/>
        <v>0.89092711435749306</v>
      </c>
      <c r="AH83" s="42">
        <f t="shared" si="12"/>
        <v>1.076516019549393</v>
      </c>
      <c r="AI83" s="41">
        <f t="shared" si="27"/>
        <v>269.12900488734829</v>
      </c>
      <c r="AJ83" s="41">
        <f t="shared" si="28"/>
        <v>92.794452595949963</v>
      </c>
      <c r="AK83" s="41">
        <f t="shared" si="29"/>
        <v>445.46355717874656</v>
      </c>
      <c r="AM83" s="15">
        <v>14.949144377026203</v>
      </c>
      <c r="AN83" s="15">
        <v>69.930767450326911</v>
      </c>
      <c r="AP83" s="41">
        <f ca="1">AD83*AJ83/(AJ83+AK83)*2.71828^(-0.69315/半Cs134*(NOW()-R83)/365.25)+AD83*AK83/(AJ83+AK83)*2.71828^(-0.69315/半Cs137*(NOW()-R83)/365.25)</f>
        <v>11.454470681094572</v>
      </c>
    </row>
    <row r="84" spans="1:42" ht="9.9499999999999993" customHeight="1" x14ac:dyDescent="0.15">
      <c r="A84" s="6"/>
      <c r="R84" s="60">
        <v>42475</v>
      </c>
      <c r="S84" s="592">
        <f t="shared" si="13"/>
        <v>12.19504177402062</v>
      </c>
      <c r="T84" s="592">
        <f t="shared" si="14"/>
        <v>89.786094690143912</v>
      </c>
      <c r="U84" s="102">
        <f t="shared" si="15"/>
        <v>101.98113646416454</v>
      </c>
      <c r="V84" s="101">
        <f t="shared" si="19"/>
        <v>1.9947042811930797</v>
      </c>
      <c r="W84" s="101">
        <f t="shared" si="20"/>
        <v>14.68602656626984</v>
      </c>
      <c r="X84" s="102">
        <f t="shared" si="18"/>
        <v>16.680730847462918</v>
      </c>
      <c r="Y84" s="564">
        <f t="shared" si="21"/>
        <v>352.22219168239587</v>
      </c>
      <c r="Z84" s="53">
        <f t="shared" si="22"/>
        <v>176.11109584119797</v>
      </c>
      <c r="AA84" s="53">
        <f t="shared" si="9"/>
        <v>17.960009697834767</v>
      </c>
      <c r="AB84" s="53">
        <f t="shared" si="23"/>
        <v>457.88884918711466</v>
      </c>
      <c r="AC84" s="53">
        <f t="shared" si="10"/>
        <v>7.6379206513447997</v>
      </c>
      <c r="AD84" s="77">
        <f t="shared" si="11"/>
        <v>25.597930349179567</v>
      </c>
      <c r="AE84" s="67">
        <f t="shared" si="24"/>
        <v>1.4321879686180307E-70</v>
      </c>
      <c r="AF84" s="42">
        <f t="shared" si="25"/>
        <v>0.18036877711546054</v>
      </c>
      <c r="AG84" s="42">
        <f t="shared" si="26"/>
        <v>0.88918577912097607</v>
      </c>
      <c r="AH84" s="42">
        <f t="shared" si="12"/>
        <v>1.0695545562364366</v>
      </c>
      <c r="AI84" s="41">
        <f t="shared" si="27"/>
        <v>267.38863905910915</v>
      </c>
      <c r="AJ84" s="41">
        <f t="shared" si="28"/>
        <v>90.184388557730273</v>
      </c>
      <c r="AK84" s="41">
        <f t="shared" si="29"/>
        <v>444.59288956048806</v>
      </c>
      <c r="AM84" s="15">
        <v>26.617004219818917</v>
      </c>
      <c r="AN84" s="15">
        <v>125.68411828929283</v>
      </c>
      <c r="AP84" s="41">
        <f ca="1">AD84*AJ84/(AJ84+AK84)*2.71828^(-0.69315/半Cs134*(NOW()-R84)/365.25)+AD84*AK84/(AJ84+AK84)*2.71828^(-0.69315/半Cs137*(NOW()-R84)/365.25)</f>
        <v>20.807430646189491</v>
      </c>
    </row>
    <row r="85" spans="1:42" ht="9.9499999999999993" customHeight="1" x14ac:dyDescent="0.15">
      <c r="A85" s="6"/>
      <c r="R85" s="60">
        <v>42505</v>
      </c>
      <c r="S85" s="592">
        <f t="shared" si="13"/>
        <v>18.043335496331927</v>
      </c>
      <c r="T85" s="592">
        <f t="shared" si="14"/>
        <v>133.95842051514938</v>
      </c>
      <c r="U85" s="102">
        <f t="shared" si="15"/>
        <v>152.00175601148132</v>
      </c>
      <c r="V85" s="101">
        <f t="shared" si="19"/>
        <v>2.9512911253989365</v>
      </c>
      <c r="W85" s="101">
        <f t="shared" si="20"/>
        <v>21.911153717625595</v>
      </c>
      <c r="X85" s="102">
        <f t="shared" si="18"/>
        <v>24.86244484302453</v>
      </c>
      <c r="Y85" s="564">
        <f t="shared" si="21"/>
        <v>395.76682912182287</v>
      </c>
      <c r="Z85" s="53">
        <f t="shared" si="22"/>
        <v>197.88341456091143</v>
      </c>
      <c r="AA85" s="53">
        <f t="shared" si="9"/>
        <v>30.078626498806468</v>
      </c>
      <c r="AB85" s="53">
        <f t="shared" si="23"/>
        <v>514.49687785836977</v>
      </c>
      <c r="AC85" s="53">
        <f t="shared" si="10"/>
        <v>12.791650247662046</v>
      </c>
      <c r="AD85" s="77">
        <f t="shared" si="11"/>
        <v>42.870276746468512</v>
      </c>
      <c r="AE85" s="67">
        <f t="shared" si="24"/>
        <v>1.0717394589603265E-71</v>
      </c>
      <c r="AF85" s="42">
        <f t="shared" si="25"/>
        <v>0.17545688313079261</v>
      </c>
      <c r="AG85" s="42">
        <f t="shared" si="26"/>
        <v>0.88750385661878872</v>
      </c>
      <c r="AH85" s="42">
        <f t="shared" si="12"/>
        <v>1.0629607397495813</v>
      </c>
      <c r="AI85" s="41">
        <f t="shared" si="27"/>
        <v>265.74018493739533</v>
      </c>
      <c r="AJ85" s="41">
        <f t="shared" si="28"/>
        <v>87.728441565396309</v>
      </c>
      <c r="AK85" s="41">
        <f t="shared" si="29"/>
        <v>443.75192830939437</v>
      </c>
      <c r="AM85" s="15">
        <v>39.381540952863595</v>
      </c>
      <c r="AN85" s="15">
        <v>187.51729906480782</v>
      </c>
      <c r="AP85" s="41">
        <f ca="1">AD85*AJ85/(AJ85+AK85)*2.71828^(-0.69315/半Cs134*(NOW()-R85)/365.25)+AD85*AK85/(AJ85+AK85)*2.71828^(-0.69315/半Cs137*(NOW()-R85)/365.25)</f>
        <v>35.063527689934361</v>
      </c>
    </row>
    <row r="86" spans="1:42" ht="9.9499999999999993" customHeight="1" x14ac:dyDescent="0.15">
      <c r="A86" s="6"/>
      <c r="R86" s="60">
        <v>42536</v>
      </c>
      <c r="S86" s="592">
        <f t="shared" si="13"/>
        <v>19.129612132997671</v>
      </c>
      <c r="T86" s="592">
        <f t="shared" si="14"/>
        <v>143.17114047016321</v>
      </c>
      <c r="U86" s="102">
        <f t="shared" si="15"/>
        <v>162.30075260316087</v>
      </c>
      <c r="V86" s="101">
        <f t="shared" si="19"/>
        <v>3.1289699474865462</v>
      </c>
      <c r="W86" s="101">
        <f t="shared" si="20"/>
        <v>23.41804908348217</v>
      </c>
      <c r="X86" s="102">
        <f t="shared" si="18"/>
        <v>26.547019030968716</v>
      </c>
      <c r="Y86" s="564">
        <f t="shared" si="21"/>
        <v>388.38588559589141</v>
      </c>
      <c r="Z86" s="53">
        <f t="shared" si="22"/>
        <v>194.19294279794573</v>
      </c>
      <c r="AA86" s="53">
        <f t="shared" si="9"/>
        <v>31.517660766329161</v>
      </c>
      <c r="AB86" s="53">
        <f t="shared" si="23"/>
        <v>504.90165127465889</v>
      </c>
      <c r="AC86" s="53">
        <f t="shared" si="10"/>
        <v>13.403633745155899</v>
      </c>
      <c r="AD86" s="77">
        <f t="shared" si="11"/>
        <v>44.921294511485058</v>
      </c>
      <c r="AE86" s="67">
        <f t="shared" si="24"/>
        <v>7.3561073838270948E-73</v>
      </c>
      <c r="AF86" s="42">
        <f t="shared" si="25"/>
        <v>0.17052174220257513</v>
      </c>
      <c r="AG86" s="42">
        <f t="shared" si="26"/>
        <v>0.88576921220942018</v>
      </c>
      <c r="AH86" s="42">
        <f t="shared" si="12"/>
        <v>1.0562909544119954</v>
      </c>
      <c r="AI86" s="41">
        <f t="shared" si="27"/>
        <v>264.07273860299881</v>
      </c>
      <c r="AJ86" s="41">
        <f t="shared" si="28"/>
        <v>85.260871101287563</v>
      </c>
      <c r="AK86" s="41">
        <f t="shared" si="29"/>
        <v>442.88460610471009</v>
      </c>
      <c r="AM86" s="15">
        <v>41.752457785934048</v>
      </c>
      <c r="AN86" s="15">
        <v>200.41342277514434</v>
      </c>
      <c r="AP86" s="41">
        <f ca="1">AD86*AJ86/(AJ86+AK86)*2.71828^(-0.69315/半Cs134*(NOW()-R86)/365.25)+AD86*AK86/(AJ86+AK86)*2.71828^(-0.69315/半Cs137*(NOW()-R86)/365.25)</f>
        <v>36.973047361672037</v>
      </c>
    </row>
    <row r="87" spans="1:42" ht="9.9499999999999993" customHeight="1" x14ac:dyDescent="0.15">
      <c r="A87" s="6"/>
      <c r="R87" s="60">
        <v>42566</v>
      </c>
      <c r="S87" s="592">
        <f t="shared" si="13"/>
        <v>17.906097381964628</v>
      </c>
      <c r="T87" s="592">
        <f t="shared" si="14"/>
        <v>134.97487387160655</v>
      </c>
      <c r="U87" s="102">
        <f t="shared" si="15"/>
        <v>152.88097125357118</v>
      </c>
      <c r="V87" s="101">
        <f t="shared" si="19"/>
        <v>2.9288435225662433</v>
      </c>
      <c r="W87" s="101">
        <f t="shared" si="20"/>
        <v>22.077411767358353</v>
      </c>
      <c r="X87" s="102">
        <f t="shared" si="18"/>
        <v>25.006255289924596</v>
      </c>
      <c r="Y87" s="564">
        <f t="shared" si="21"/>
        <v>413.21114044346598</v>
      </c>
      <c r="Z87" s="53">
        <f t="shared" si="22"/>
        <v>206.60557022173299</v>
      </c>
      <c r="AA87" s="53">
        <f t="shared" si="9"/>
        <v>31.58606024189644</v>
      </c>
      <c r="AB87" s="53">
        <f t="shared" si="23"/>
        <v>537.17448257650574</v>
      </c>
      <c r="AC87" s="53">
        <f t="shared" si="10"/>
        <v>13.432722246541255</v>
      </c>
      <c r="AD87" s="77">
        <f t="shared" si="11"/>
        <v>45.018782488437694</v>
      </c>
      <c r="AE87" s="67">
        <f t="shared" si="24"/>
        <v>5.5047456900535746E-74</v>
      </c>
      <c r="AF87" s="42">
        <f t="shared" si="25"/>
        <v>0.1658780076650628</v>
      </c>
      <c r="AG87" s="42">
        <f t="shared" si="26"/>
        <v>0.88409375224959885</v>
      </c>
      <c r="AH87" s="42">
        <f t="shared" si="12"/>
        <v>1.0499717599146616</v>
      </c>
      <c r="AI87" s="41">
        <f t="shared" si="27"/>
        <v>262.49293997866539</v>
      </c>
      <c r="AJ87" s="41">
        <f t="shared" si="28"/>
        <v>82.939003832531398</v>
      </c>
      <c r="AK87" s="41">
        <f t="shared" si="29"/>
        <v>442.04687612479944</v>
      </c>
      <c r="AM87" s="15">
        <v>39.082003851070617</v>
      </c>
      <c r="AN87" s="15">
        <v>188.94014794056511</v>
      </c>
      <c r="AP87" s="41">
        <f ca="1">AD87*AJ87/(AJ87+AK87)*2.71828^(-0.69315/半Cs134*(NOW()-R87)/365.25)+AD87*AK87/(AJ87+AK87)*2.71828^(-0.69315/半Cs137*(NOW()-R87)/365.25)</f>
        <v>37.276289156853124</v>
      </c>
    </row>
    <row r="88" spans="1:42" ht="9.9499999999999993" customHeight="1" x14ac:dyDescent="0.15">
      <c r="A88" s="6"/>
      <c r="R88" s="60">
        <v>42597</v>
      </c>
      <c r="S88" s="592">
        <f t="shared" si="13"/>
        <v>15.312645601010477</v>
      </c>
      <c r="T88" s="592">
        <f t="shared" si="14"/>
        <v>116.20413914363898</v>
      </c>
      <c r="U88" s="102">
        <f t="shared" si="15"/>
        <v>131.51678474464947</v>
      </c>
      <c r="V88" s="101">
        <f t="shared" si="19"/>
        <v>2.5046408452488449</v>
      </c>
      <c r="W88" s="101">
        <f t="shared" si="20"/>
        <v>19.007142258091054</v>
      </c>
      <c r="X88" s="102">
        <f t="shared" si="18"/>
        <v>21.511783103339898</v>
      </c>
      <c r="Y88" s="564">
        <f t="shared" si="21"/>
        <v>419.01502064848626</v>
      </c>
      <c r="Z88" s="53">
        <f t="shared" si="22"/>
        <v>209.50751032424316</v>
      </c>
      <c r="AA88" s="53">
        <f t="shared" si="9"/>
        <v>27.553754137700913</v>
      </c>
      <c r="AB88" s="53">
        <f t="shared" si="23"/>
        <v>544.71952684303221</v>
      </c>
      <c r="AC88" s="53">
        <f t="shared" si="10"/>
        <v>11.717888313601245</v>
      </c>
      <c r="AD88" s="77">
        <f t="shared" si="11"/>
        <v>39.271642451302156</v>
      </c>
      <c r="AE88" s="67">
        <f t="shared" si="24"/>
        <v>3.7782970551421681E-75</v>
      </c>
      <c r="AF88" s="42">
        <f t="shared" si="25"/>
        <v>0.16121229532530362</v>
      </c>
      <c r="AG88" s="42">
        <f t="shared" si="26"/>
        <v>0.88236577295884966</v>
      </c>
      <c r="AH88" s="42">
        <f t="shared" si="12"/>
        <v>1.0435780682841533</v>
      </c>
      <c r="AI88" s="41">
        <f t="shared" si="27"/>
        <v>260.89451707103831</v>
      </c>
      <c r="AJ88" s="41">
        <f t="shared" si="28"/>
        <v>80.606147662651807</v>
      </c>
      <c r="AK88" s="41">
        <f t="shared" si="29"/>
        <v>441.18288647942484</v>
      </c>
      <c r="AM88" s="15">
        <v>33.421513442205473</v>
      </c>
      <c r="AN88" s="15">
        <v>162.6645508999714</v>
      </c>
      <c r="AP88" s="41">
        <f ca="1">AD88*AJ88/(AJ88+AK88)*2.71828^(-0.69315/半Cs134*(NOW()-R88)/365.25)+AD88*AK88/(AJ88+AK88)*2.71828^(-0.69315/半Cs137*(NOW()-R88)/365.25)</f>
        <v>32.716788499590258</v>
      </c>
    </row>
    <row r="89" spans="1:42" ht="9.9499999999999993" customHeight="1" x14ac:dyDescent="0.15">
      <c r="A89" s="6"/>
      <c r="R89" s="60">
        <v>42628</v>
      </c>
      <c r="S89" s="592">
        <f t="shared" si="13"/>
        <v>14.079716578829943</v>
      </c>
      <c r="T89" s="592">
        <f t="shared" si="14"/>
        <v>107.51457287031015</v>
      </c>
      <c r="U89" s="102">
        <f t="shared" si="15"/>
        <v>121.59428944914009</v>
      </c>
      <c r="V89" s="101">
        <f t="shared" si="19"/>
        <v>2.3029745578737679</v>
      </c>
      <c r="W89" s="101">
        <f t="shared" si="20"/>
        <v>17.585817479684376</v>
      </c>
      <c r="X89" s="102">
        <f t="shared" si="18"/>
        <v>19.888792037558144</v>
      </c>
      <c r="Y89" s="564">
        <f t="shared" si="21"/>
        <v>388.5294635851173</v>
      </c>
      <c r="Z89" s="53">
        <f t="shared" si="22"/>
        <v>194.26473179255868</v>
      </c>
      <c r="AA89" s="53">
        <f t="shared" si="9"/>
        <v>23.621482027343948</v>
      </c>
      <c r="AB89" s="53">
        <f t="shared" si="23"/>
        <v>505.08830266065252</v>
      </c>
      <c r="AC89" s="53">
        <f t="shared" si="10"/>
        <v>10.045596212220945</v>
      </c>
      <c r="AD89" s="77">
        <f t="shared" si="11"/>
        <v>33.667078239564894</v>
      </c>
      <c r="AE89" s="67">
        <f t="shared" si="24"/>
        <v>2.5933130140215856E-76</v>
      </c>
      <c r="AF89" s="42">
        <f t="shared" si="25"/>
        <v>0.15667781720968191</v>
      </c>
      <c r="AG89" s="42">
        <f t="shared" si="26"/>
        <v>0.88064117103890704</v>
      </c>
      <c r="AH89" s="42">
        <f t="shared" si="12"/>
        <v>1.0373189882485889</v>
      </c>
      <c r="AI89" s="41">
        <f t="shared" si="27"/>
        <v>259.32974706214725</v>
      </c>
      <c r="AJ89" s="41">
        <f t="shared" si="28"/>
        <v>78.338908604840952</v>
      </c>
      <c r="AK89" s="41">
        <f t="shared" si="29"/>
        <v>440.32058551945352</v>
      </c>
      <c r="AM89" s="15">
        <v>30.730511837272314</v>
      </c>
      <c r="AN89" s="15">
        <v>150.50074670346703</v>
      </c>
      <c r="AP89" s="41">
        <f ca="1">AD89*AJ89/(AJ89+AK89)*2.71828^(-0.69315/半Cs134*(NOW()-R89)/365.25)+AD89*AK89/(AJ89+AK89)*2.71828^(-0.69315/半Cs137*(NOW()-R89)/365.25)</f>
        <v>28.216922497881868</v>
      </c>
    </row>
    <row r="90" spans="1:42" ht="9.9499999999999993" customHeight="1" x14ac:dyDescent="0.15">
      <c r="A90" s="6"/>
      <c r="R90" s="60">
        <v>42658</v>
      </c>
      <c r="S90" s="592">
        <f t="shared" si="13"/>
        <v>12.84627270741707</v>
      </c>
      <c r="T90" s="592">
        <f t="shared" si="14"/>
        <v>98.61609220018083</v>
      </c>
      <c r="U90" s="102">
        <f t="shared" si="15"/>
        <v>111.4623649075979</v>
      </c>
      <c r="V90" s="101">
        <f t="shared" si="19"/>
        <v>2.1012240582436661</v>
      </c>
      <c r="W90" s="101">
        <f t="shared" si="20"/>
        <v>16.130321236396902</v>
      </c>
      <c r="X90" s="102">
        <f t="shared" si="18"/>
        <v>18.231545294640568</v>
      </c>
      <c r="Y90" s="564">
        <f t="shared" si="21"/>
        <v>399.77222271995652</v>
      </c>
      <c r="Z90" s="53">
        <f t="shared" si="22"/>
        <v>199.88611135997826</v>
      </c>
      <c r="AA90" s="53">
        <f t="shared" si="9"/>
        <v>22.279778684366647</v>
      </c>
      <c r="AB90" s="53">
        <f t="shared" si="23"/>
        <v>519.70388953594352</v>
      </c>
      <c r="AC90" s="53">
        <f t="shared" si="10"/>
        <v>9.4750050018754344</v>
      </c>
      <c r="AD90" s="77">
        <f t="shared" si="11"/>
        <v>31.754783686242082</v>
      </c>
      <c r="AE90" s="67">
        <f t="shared" si="24"/>
        <v>1.940636248497582E-77</v>
      </c>
      <c r="AF90" s="42">
        <f t="shared" si="25"/>
        <v>0.15241108745639148</v>
      </c>
      <c r="AG90" s="42">
        <f t="shared" si="26"/>
        <v>0.8789754109281378</v>
      </c>
      <c r="AH90" s="42">
        <f t="shared" si="12"/>
        <v>1.0313864983845293</v>
      </c>
      <c r="AI90" s="41">
        <f t="shared" si="27"/>
        <v>257.8466245961323</v>
      </c>
      <c r="AJ90" s="41">
        <f t="shared" si="28"/>
        <v>76.205543728195735</v>
      </c>
      <c r="AK90" s="41">
        <f t="shared" si="29"/>
        <v>439.48770546406888</v>
      </c>
      <c r="AM90" s="15">
        <v>28.038386517927691</v>
      </c>
      <c r="AN90" s="15">
        <v>138.04450054420192</v>
      </c>
      <c r="AP90" s="41">
        <f ca="1">AD90*AJ90/(AJ90+AK90)*2.71828^(-0.69315/半Cs134*(NOW()-R90)/365.25)+AD90*AK90/(AJ90+AK90)*2.71828^(-0.69315/半Cs137*(NOW()-R90)/365.25)</f>
        <v>26.767281216530638</v>
      </c>
    </row>
    <row r="91" spans="1:42" ht="9.9499999999999993" customHeight="1" x14ac:dyDescent="0.15">
      <c r="A91" s="6"/>
      <c r="R91" s="60">
        <v>42689</v>
      </c>
      <c r="S91" s="592">
        <f t="shared" si="13"/>
        <v>10.617104682470472</v>
      </c>
      <c r="T91" s="592">
        <f t="shared" si="14"/>
        <v>81.911591947906516</v>
      </c>
      <c r="U91" s="102">
        <f t="shared" si="15"/>
        <v>92.528696630376984</v>
      </c>
      <c r="V91" s="101">
        <f t="shared" si="19"/>
        <v>1.7366061188174766</v>
      </c>
      <c r="W91" s="101">
        <f t="shared" si="20"/>
        <v>13.398019142984975</v>
      </c>
      <c r="X91" s="102">
        <f t="shared" si="18"/>
        <v>15.134625261802451</v>
      </c>
      <c r="Y91" s="564">
        <f t="shared" si="21"/>
        <v>361.61733980666361</v>
      </c>
      <c r="Z91" s="53">
        <f t="shared" si="22"/>
        <v>180.8086699033318</v>
      </c>
      <c r="AA91" s="53">
        <f t="shared" si="9"/>
        <v>16.729990565627361</v>
      </c>
      <c r="AB91" s="53">
        <f t="shared" si="23"/>
        <v>470.1025417486627</v>
      </c>
      <c r="AC91" s="53">
        <f t="shared" si="10"/>
        <v>7.1148258039868528</v>
      </c>
      <c r="AD91" s="77">
        <f t="shared" si="11"/>
        <v>23.844816369614215</v>
      </c>
      <c r="AE91" s="67">
        <f t="shared" si="24"/>
        <v>1.3319961785062935E-78</v>
      </c>
      <c r="AF91" s="42">
        <f t="shared" si="25"/>
        <v>0.14812416418385471</v>
      </c>
      <c r="AG91" s="42">
        <f t="shared" si="26"/>
        <v>0.8772574355400109</v>
      </c>
      <c r="AH91" s="42">
        <f t="shared" si="12"/>
        <v>1.0253815997238656</v>
      </c>
      <c r="AI91" s="41">
        <f t="shared" si="27"/>
        <v>256.34539993096638</v>
      </c>
      <c r="AJ91" s="41">
        <f t="shared" si="28"/>
        <v>74.062082091927351</v>
      </c>
      <c r="AK91" s="41">
        <f t="shared" si="29"/>
        <v>438.62871777000544</v>
      </c>
      <c r="AM91" s="15">
        <v>23.172985002609465</v>
      </c>
      <c r="AN91" s="15">
        <v>114.66125403018648</v>
      </c>
      <c r="AP91" s="41">
        <f ca="1">AD91*AJ91/(AJ91+AK91)*2.71828^(-0.69315/半Cs134*(NOW()-R91)/365.25)+AD91*AK91/(AJ91+AK91)*2.71828^(-0.69315/半Cs137*(NOW()-R91)/365.25)</f>
        <v>20.217386201233293</v>
      </c>
    </row>
    <row r="92" spans="1:42" ht="9.9499999999999993" customHeight="1" x14ac:dyDescent="0.15">
      <c r="A92" s="6"/>
      <c r="R92" s="60">
        <v>42719</v>
      </c>
      <c r="S92" s="592">
        <f t="shared" si="13"/>
        <v>7.7732420199925869</v>
      </c>
      <c r="T92" s="592">
        <f t="shared" si="14"/>
        <v>60.220189693202812</v>
      </c>
      <c r="U92" s="102">
        <f t="shared" si="15"/>
        <v>67.993431713195406</v>
      </c>
      <c r="V92" s="101">
        <f t="shared" si="19"/>
        <v>1.2714445283049784</v>
      </c>
      <c r="W92" s="101">
        <f t="shared" si="20"/>
        <v>9.8500253153038457</v>
      </c>
      <c r="X92" s="102">
        <f t="shared" si="18"/>
        <v>11.121469843608825</v>
      </c>
      <c r="Y92" s="564">
        <f t="shared" si="21"/>
        <v>362.93705840934058</v>
      </c>
      <c r="Z92" s="53">
        <f t="shared" si="22"/>
        <v>181.46852920467029</v>
      </c>
      <c r="AA92" s="53">
        <f t="shared" si="9"/>
        <v>12.338668048571755</v>
      </c>
      <c r="AB92" s="53">
        <f t="shared" si="23"/>
        <v>471.81817593214276</v>
      </c>
      <c r="AC92" s="53">
        <f t="shared" si="10"/>
        <v>5.2473116152958488</v>
      </c>
      <c r="AD92" s="77">
        <f t="shared" si="11"/>
        <v>17.585979663867604</v>
      </c>
      <c r="AE92" s="67">
        <f t="shared" si="24"/>
        <v>9.9676361969931463E-80</v>
      </c>
      <c r="AF92" s="42">
        <f t="shared" si="25"/>
        <v>0.14409037184643203</v>
      </c>
      <c r="AG92" s="42">
        <f t="shared" si="26"/>
        <v>0.8755980758699714</v>
      </c>
      <c r="AH92" s="42">
        <f t="shared" si="12"/>
        <v>1.0196884477164034</v>
      </c>
      <c r="AI92" s="41">
        <f t="shared" si="27"/>
        <v>254.92211192910085</v>
      </c>
      <c r="AJ92" s="41">
        <f t="shared" si="28"/>
        <v>72.04518592321601</v>
      </c>
      <c r="AK92" s="41">
        <f t="shared" si="29"/>
        <v>437.79903793498568</v>
      </c>
      <c r="AM92" s="15">
        <v>16.965945626244689</v>
      </c>
      <c r="AN92" s="15">
        <v>84.297256395037266</v>
      </c>
      <c r="AP92" s="41">
        <f ca="1">AD92*AJ92/(AJ92+AK92)*2.71828^(-0.69315/半Cs134*(NOW()-R92)/365.25)+AD92*AK92/(AJ92+AK92)*2.71828^(-0.69315/半Cs137*(NOW()-R92)/365.25)</f>
        <v>14.993934604071207</v>
      </c>
    </row>
    <row r="93" spans="1:42" ht="9.9499999999999993" customHeight="1" x14ac:dyDescent="0.15">
      <c r="A93" s="6"/>
      <c r="R93" s="60">
        <v>42750</v>
      </c>
      <c r="S93" s="592">
        <f t="shared" si="13"/>
        <v>6.9663374391046835</v>
      </c>
      <c r="T93" s="592">
        <f t="shared" si="14"/>
        <v>54.186844499064705</v>
      </c>
      <c r="U93" s="102">
        <f t="shared" si="15"/>
        <v>61.153181938169389</v>
      </c>
      <c r="V93" s="101">
        <f t="shared" si="19"/>
        <v>1.1394617067749826</v>
      </c>
      <c r="W93" s="101">
        <f t="shared" si="20"/>
        <v>8.8631701891245438</v>
      </c>
      <c r="X93" s="102">
        <f t="shared" si="18"/>
        <v>10.002631895899526</v>
      </c>
      <c r="Y93" s="564">
        <f t="shared" si="21"/>
        <v>332.54164789357179</v>
      </c>
      <c r="Z93" s="53">
        <f t="shared" si="22"/>
        <v>166.2708239467859</v>
      </c>
      <c r="AA93" s="53">
        <f t="shared" si="9"/>
        <v>10.167989947827129</v>
      </c>
      <c r="AB93" s="53">
        <f t="shared" si="23"/>
        <v>432.30414226164334</v>
      </c>
      <c r="AC93" s="53">
        <f t="shared" si="10"/>
        <v>4.3241792021157996</v>
      </c>
      <c r="AD93" s="77">
        <f t="shared" si="11"/>
        <v>14.492169149942928</v>
      </c>
      <c r="AE93" s="67">
        <f t="shared" si="24"/>
        <v>6.8414950681329591E-81</v>
      </c>
      <c r="AF93" s="42">
        <f t="shared" si="25"/>
        <v>0.1400374884327257</v>
      </c>
      <c r="AG93" s="42">
        <f t="shared" si="26"/>
        <v>0.87388670155217618</v>
      </c>
      <c r="AH93" s="42">
        <f t="shared" si="12"/>
        <v>1.0139241899849019</v>
      </c>
      <c r="AI93" s="41">
        <f t="shared" si="27"/>
        <v>253.48104749622547</v>
      </c>
      <c r="AJ93" s="41">
        <f t="shared" si="28"/>
        <v>70.018744216362848</v>
      </c>
      <c r="AK93" s="41">
        <f t="shared" si="29"/>
        <v>436.9433507760881</v>
      </c>
      <c r="AM93" s="15">
        <v>15.204788671437178</v>
      </c>
      <c r="AN93" s="15">
        <v>75.851676111396415</v>
      </c>
      <c r="AP93" s="41">
        <f ca="1">AD93*AJ93/(AJ93+AK93)*2.71828^(-0.69315/半Cs134*(NOW()-R93)/365.25)+AD93*AK93/(AJ93+AK93)*2.71828^(-0.69315/半Cs137*(NOW()-R93)/365.25)</f>
        <v>12.426374978575197</v>
      </c>
    </row>
    <row r="94" spans="1:42" ht="9.9499999999999993" customHeight="1" x14ac:dyDescent="0.15">
      <c r="A94" s="6"/>
      <c r="R94" s="60">
        <v>42781</v>
      </c>
      <c r="S94" s="592">
        <f t="shared" si="13"/>
        <v>6.3166432850109517</v>
      </c>
      <c r="T94" s="592">
        <f t="shared" si="14"/>
        <v>49.306584869916968</v>
      </c>
      <c r="U94" s="102">
        <f t="shared" si="15"/>
        <v>55.623228154927922</v>
      </c>
      <c r="V94" s="101">
        <f t="shared" si="19"/>
        <v>1.0331932958378696</v>
      </c>
      <c r="W94" s="101">
        <f t="shared" si="20"/>
        <v>8.0649216094162934</v>
      </c>
      <c r="X94" s="102">
        <f t="shared" si="18"/>
        <v>9.0981149052541639</v>
      </c>
      <c r="Y94" s="564">
        <f t="shared" si="21"/>
        <v>284.54908564402149</v>
      </c>
      <c r="Z94" s="53">
        <f t="shared" si="22"/>
        <v>142.27454282201074</v>
      </c>
      <c r="AA94" s="53">
        <f t="shared" si="9"/>
        <v>7.9137693560267666</v>
      </c>
      <c r="AB94" s="53">
        <f t="shared" si="23"/>
        <v>369.91381133722797</v>
      </c>
      <c r="AC94" s="53">
        <f t="shared" si="10"/>
        <v>3.3655183605866106</v>
      </c>
      <c r="AD94" s="77">
        <f t="shared" si="11"/>
        <v>11.279287716613377</v>
      </c>
      <c r="AE94" s="67">
        <f t="shared" si="24"/>
        <v>4.6958028806673868E-82</v>
      </c>
      <c r="AF94" s="42">
        <f t="shared" si="25"/>
        <v>0.13609860197630813</v>
      </c>
      <c r="AG94" s="42">
        <f t="shared" si="26"/>
        <v>0.87217867215042888</v>
      </c>
      <c r="AH94" s="42">
        <f t="shared" si="12"/>
        <v>1.008277274126737</v>
      </c>
      <c r="AI94" s="41">
        <f t="shared" si="27"/>
        <v>252.06931853168425</v>
      </c>
      <c r="AJ94" s="41">
        <f t="shared" si="28"/>
        <v>68.049300988154059</v>
      </c>
      <c r="AK94" s="41">
        <f t="shared" si="29"/>
        <v>436.08933607521442</v>
      </c>
      <c r="AM94" s="15">
        <v>13.786760561197816</v>
      </c>
      <c r="AN94" s="15">
        <v>69.020204816993456</v>
      </c>
      <c r="AP94" s="41">
        <f ca="1">AD94*AJ94/(AJ94+AK94)*2.71828^(-0.69315/半Cs134*(NOW()-R94)/365.25)+AD94*AK94/(AJ94+AK94)*2.71828^(-0.69315/半Cs137*(NOW()-R94)/365.25)</f>
        <v>9.7256411492181289</v>
      </c>
    </row>
    <row r="95" spans="1:42" ht="9.9499999999999993" customHeight="1" x14ac:dyDescent="0.15">
      <c r="A95" s="6"/>
      <c r="R95" s="60">
        <v>42809</v>
      </c>
      <c r="S95" s="592">
        <f t="shared" si="13"/>
        <v>5.5071102665540277</v>
      </c>
      <c r="T95" s="592">
        <f t="shared" si="14"/>
        <v>43.106392112319028</v>
      </c>
      <c r="U95" s="102">
        <f t="shared" si="15"/>
        <v>48.613502378873058</v>
      </c>
      <c r="V95" s="101">
        <f t="shared" si="19"/>
        <v>0.90078054911623195</v>
      </c>
      <c r="W95" s="101">
        <f t="shared" si="20"/>
        <v>7.0507757567838061</v>
      </c>
      <c r="X95" s="102">
        <f t="shared" si="18"/>
        <v>7.9515563059000378</v>
      </c>
      <c r="Y95" s="564">
        <f t="shared" si="21"/>
        <v>344.96826018069726</v>
      </c>
      <c r="Z95" s="53">
        <f t="shared" si="22"/>
        <v>172.48413009034863</v>
      </c>
      <c r="AA95" s="53">
        <f t="shared" si="9"/>
        <v>8.3850576684650129</v>
      </c>
      <c r="AB95" s="53">
        <f t="shared" si="23"/>
        <v>448.45873823490643</v>
      </c>
      <c r="AC95" s="53">
        <f t="shared" si="10"/>
        <v>3.5659449079477445</v>
      </c>
      <c r="AD95" s="77">
        <f t="shared" si="11"/>
        <v>11.951002576412758</v>
      </c>
      <c r="AE95" s="67">
        <f t="shared" si="24"/>
        <v>4.1769548188013801E-83</v>
      </c>
      <c r="AF95" s="42">
        <f t="shared" si="25"/>
        <v>0.13263621197460204</v>
      </c>
      <c r="AG95" s="42">
        <f t="shared" si="26"/>
        <v>0.87063880550500161</v>
      </c>
      <c r="AH95" s="42">
        <f t="shared" si="12"/>
        <v>1.0032750174796037</v>
      </c>
      <c r="AI95" s="41">
        <f t="shared" si="27"/>
        <v>250.81875436990092</v>
      </c>
      <c r="AJ95" s="41">
        <f t="shared" si="28"/>
        <v>66.318105987301024</v>
      </c>
      <c r="AK95" s="41">
        <f t="shared" si="29"/>
        <v>435.31940275250082</v>
      </c>
      <c r="AM95" s="15">
        <v>12.019866755696182</v>
      </c>
      <c r="AN95" s="15">
        <v>60.341068446805622</v>
      </c>
      <c r="AP95" s="41">
        <f ca="1">AD95*AJ95/(AJ95+AK95)*2.71828^(-0.69315/半Cs134*(NOW()-R95)/365.25)+AD95*AK95/(AJ95+AK95)*2.71828^(-0.69315/半Cs137*(NOW()-R95)/365.25)</f>
        <v>10.356210917975204</v>
      </c>
    </row>
    <row r="96" spans="1:42" ht="9.9499999999999993" customHeight="1" x14ac:dyDescent="0.15">
      <c r="A96" s="6"/>
      <c r="R96" s="60">
        <v>42840</v>
      </c>
      <c r="S96" s="592">
        <f t="shared" si="13"/>
        <v>9.9388924112290962</v>
      </c>
      <c r="T96" s="592">
        <f t="shared" si="14"/>
        <v>77.987756763293689</v>
      </c>
      <c r="U96" s="102">
        <f t="shared" si="15"/>
        <v>87.92664917452278</v>
      </c>
      <c r="V96" s="101">
        <f t="shared" si="19"/>
        <v>1.6256730899626821</v>
      </c>
      <c r="W96" s="101">
        <f t="shared" si="20"/>
        <v>12.756209874392141</v>
      </c>
      <c r="X96" s="102">
        <f t="shared" si="18"/>
        <v>14.381882964354823</v>
      </c>
      <c r="Y96" s="564">
        <f t="shared" si="21"/>
        <v>356.09311388627418</v>
      </c>
      <c r="Z96" s="53">
        <f t="shared" si="22"/>
        <v>178.04655694313712</v>
      </c>
      <c r="AA96" s="53">
        <f t="shared" si="9"/>
        <v>15.65503714907091</v>
      </c>
      <c r="AB96" s="53">
        <f t="shared" si="23"/>
        <v>462.92104805215649</v>
      </c>
      <c r="AC96" s="53">
        <f t="shared" si="10"/>
        <v>6.6576763348225896</v>
      </c>
      <c r="AD96" s="77">
        <f t="shared" si="11"/>
        <v>22.3127134838935</v>
      </c>
      <c r="AE96" s="67">
        <f t="shared" si="24"/>
        <v>2.8669400876874204E-84</v>
      </c>
      <c r="AF96" s="42">
        <f t="shared" si="25"/>
        <v>0.12890550397045017</v>
      </c>
      <c r="AG96" s="42">
        <f t="shared" si="26"/>
        <v>0.86893712418239621</v>
      </c>
      <c r="AH96" s="42">
        <f t="shared" si="12"/>
        <v>0.99784262815284641</v>
      </c>
      <c r="AI96" s="41">
        <f t="shared" si="27"/>
        <v>249.46065703821159</v>
      </c>
      <c r="AJ96" s="41">
        <f t="shared" si="28"/>
        <v>64.452751985225078</v>
      </c>
      <c r="AK96" s="41">
        <f t="shared" si="29"/>
        <v>434.46856209119812</v>
      </c>
      <c r="AM96" s="15">
        <v>21.692713001900024</v>
      </c>
      <c r="AN96" s="15">
        <v>109.16860210905661</v>
      </c>
      <c r="AP96" s="41">
        <f ca="1">AD96*AJ96/(AJ96+AK96)*2.71828^(-0.69315/半Cs134*(NOW()-R96)/365.25)+AD96*AK96/(AJ96+AK96)*2.71828^(-0.69315/半Cs137*(NOW()-R96)/365.25)</f>
        <v>19.440475370987027</v>
      </c>
    </row>
    <row r="97" spans="1:42" ht="9.9499999999999993" customHeight="1" x14ac:dyDescent="0.15">
      <c r="A97" s="6"/>
      <c r="R97" s="60">
        <v>42870</v>
      </c>
      <c r="S97" s="592">
        <f t="shared" si="13"/>
        <v>14.890724325820685</v>
      </c>
      <c r="T97" s="592">
        <f t="shared" si="14"/>
        <v>117.0861075943388</v>
      </c>
      <c r="U97" s="102">
        <f t="shared" ref="U97:U118" si="30">S97+T97</f>
        <v>131.9768319201595</v>
      </c>
      <c r="V97" s="101">
        <f t="shared" ref="V97:V119" si="31">S97/濃度比</f>
        <v>2.4356285212615321</v>
      </c>
      <c r="W97" s="101">
        <f t="shared" ref="W97:W119" si="32">T97/濃度比</f>
        <v>19.151403038585954</v>
      </c>
      <c r="X97" s="102">
        <f t="shared" ref="X97:X119" si="33">V97+W97</f>
        <v>21.587031559847485</v>
      </c>
      <c r="Y97" s="564">
        <f t="shared" ref="Y97:Y119" si="34">IF(MONTH(R97)&lt;=3,(INDEX(月値割合表,MATCH(MONTH(R97),月,0),2)*INDEX(年度別焼却量,MATCH(YEAR(R97)-1,年度,0),2))/10,(INDEX(月値割合表,MATCH(MONTH(R97),月,0),2)*INDEX(年度別焼却量,MATCH(YEAR(R97),年度,0),2))/10)</f>
        <v>400.11630693038626</v>
      </c>
      <c r="Z97" s="53">
        <f t="shared" ref="Z97:Z119" si="35">Y97*10*飛灰発生率</f>
        <v>200.05815346519313</v>
      </c>
      <c r="AA97" s="53">
        <f t="shared" si="9"/>
        <v>26.403041294133267</v>
      </c>
      <c r="AB97" s="53">
        <f t="shared" ref="AB97:AB119" si="36">Y97*10*主灰発生率</f>
        <v>520.15119900950208</v>
      </c>
      <c r="AC97" s="53">
        <f t="shared" si="10"/>
        <v>11.228520348910632</v>
      </c>
      <c r="AD97" s="77">
        <f t="shared" si="11"/>
        <v>37.631561643043895</v>
      </c>
      <c r="AE97" s="67">
        <f t="shared" ref="AE97:AE119" si="37">1*2.71828^(-0.69315/半I131*(R97-事故日)/365.25)</f>
        <v>2.14539773114732E-85</v>
      </c>
      <c r="AF97" s="42">
        <f t="shared" ref="AF97:AF119" si="38">1*2.71828^(-0.69315/半Cs134*(R97-事故日)/365.25)</f>
        <v>0.12539508393174401</v>
      </c>
      <c r="AG97" s="42">
        <f t="shared" ref="AG97:AG119" si="39">1*2.71828^(-0.69315/半Cs137*(R97-事故日)/365.25)</f>
        <v>0.86729350263955829</v>
      </c>
      <c r="AH97" s="42">
        <f t="shared" si="12"/>
        <v>0.99268858657130232</v>
      </c>
      <c r="AI97" s="41">
        <f t="shared" ref="AI97:AI119" si="40">250*2.71828^(-0.69315/半Cs134*(R97-事故日)/365.25)+250*2.71828^(-0.69315/半Cs137*(R97-事故日)/365.25)</f>
        <v>248.17214664282557</v>
      </c>
      <c r="AJ97" s="41">
        <f t="shared" ref="AJ97:AJ119" si="41">500*2.71828^(-0.69315/半Cs134*(R97-事故日)/365.25)</f>
        <v>62.697541965872006</v>
      </c>
      <c r="AK97" s="41">
        <f t="shared" ref="AK97:AK119" si="42">500*2.71828^(-0.69315/半Cs137*(R97-事故日)/365.25)</f>
        <v>433.64675131977913</v>
      </c>
      <c r="AM97" s="15">
        <v>32.500624398095582</v>
      </c>
      <c r="AN97" s="15">
        <v>163.89914549357442</v>
      </c>
      <c r="AP97" s="41">
        <f ca="1">AD97*AJ97/(AJ97+AK97)*2.71828^(-0.69315/半Cs134*(NOW()-R97)/365.25)+AD97*AK97/(AJ97+AK97)*2.71828^(-0.69315/半Cs137*(NOW()-R97)/365.25)</f>
        <v>32.957613575094484</v>
      </c>
    </row>
    <row r="98" spans="1:42" ht="9.9499999999999993" customHeight="1" x14ac:dyDescent="0.15">
      <c r="A98" s="6"/>
      <c r="R98" s="60">
        <v>42901</v>
      </c>
      <c r="S98" s="592">
        <f t="shared" si="13"/>
        <v>15.986588056284356</v>
      </c>
      <c r="T98" s="592">
        <f t="shared" si="14"/>
        <v>125.95892846359939</v>
      </c>
      <c r="U98" s="102">
        <f t="shared" si="30"/>
        <v>141.94551651988374</v>
      </c>
      <c r="V98" s="101">
        <f t="shared" si="31"/>
        <v>2.6148754738563835</v>
      </c>
      <c r="W98" s="101">
        <f t="shared" si="32"/>
        <v>20.602702189678432</v>
      </c>
      <c r="X98" s="102">
        <f t="shared" si="33"/>
        <v>23.217577663534815</v>
      </c>
      <c r="Y98" s="564">
        <f t="shared" si="34"/>
        <v>392.65424682845594</v>
      </c>
      <c r="Z98" s="53">
        <f t="shared" si="35"/>
        <v>196.327123414228</v>
      </c>
      <c r="AA98" s="53">
        <f t="shared" ref="AA98:AA119" si="43">(Z98*U98)/10^3</f>
        <v>27.867754939895551</v>
      </c>
      <c r="AB98" s="53">
        <f t="shared" si="36"/>
        <v>510.45052087699275</v>
      </c>
      <c r="AC98" s="53">
        <f t="shared" ref="AC98:AC119" si="44">(AB98*X98)/10^3</f>
        <v>11.851424611853378</v>
      </c>
      <c r="AD98" s="77">
        <f t="shared" ref="AD98:AD119" si="45">AA98+AC98</f>
        <v>39.71917955174893</v>
      </c>
      <c r="AE98" s="67">
        <f t="shared" si="37"/>
        <v>1.472538494257577E-86</v>
      </c>
      <c r="AF98" s="42">
        <f t="shared" si="38"/>
        <v>0.12186804982589187</v>
      </c>
      <c r="AG98" s="42">
        <f t="shared" si="39"/>
        <v>0.86559835977970978</v>
      </c>
      <c r="AH98" s="42">
        <f t="shared" ref="AH98:AH119" si="46">AF98+AG98</f>
        <v>0.98746640960560161</v>
      </c>
      <c r="AI98" s="41">
        <f t="shared" si="40"/>
        <v>246.8666024014004</v>
      </c>
      <c r="AJ98" s="41">
        <f t="shared" si="41"/>
        <v>60.934024912945937</v>
      </c>
      <c r="AK98" s="41">
        <f t="shared" si="42"/>
        <v>432.79917988985488</v>
      </c>
      <c r="AM98" s="15">
        <v>34.892466105455419</v>
      </c>
      <c r="AN98" s="15">
        <v>176.31947262262895</v>
      </c>
      <c r="AP98" s="41">
        <f ca="1">AD98*AJ98/(AJ98+AK98)*2.71828^(-0.69315/半Cs134*(NOW()-R98)/365.25)+AD98*AK98/(AJ98+AK98)*2.71828^(-0.69315/半Cs137*(NOW()-R98)/365.25)</f>
        <v>34.969907424519683</v>
      </c>
    </row>
    <row r="99" spans="1:42" ht="9.9499999999999993" customHeight="1" x14ac:dyDescent="0.15">
      <c r="A99" s="6"/>
      <c r="R99" s="60">
        <v>42931</v>
      </c>
      <c r="S99" s="592">
        <f t="shared" si="13"/>
        <v>15.133014756919993</v>
      </c>
      <c r="T99" s="592">
        <f t="shared" si="14"/>
        <v>119.4282104221591</v>
      </c>
      <c r="U99" s="102">
        <f t="shared" si="30"/>
        <v>134.56122517907909</v>
      </c>
      <c r="V99" s="101">
        <f t="shared" si="31"/>
        <v>2.4752591981515031</v>
      </c>
      <c r="W99" s="101">
        <f t="shared" si="32"/>
        <v>19.53449336531202</v>
      </c>
      <c r="X99" s="102">
        <f t="shared" si="33"/>
        <v>22.009752563463522</v>
      </c>
      <c r="Y99" s="564">
        <f t="shared" si="34"/>
        <v>417.75233124916849</v>
      </c>
      <c r="Z99" s="53">
        <f t="shared" si="35"/>
        <v>208.87616562458425</v>
      </c>
      <c r="AA99" s="53">
        <f t="shared" si="43"/>
        <v>28.106632757152301</v>
      </c>
      <c r="AB99" s="53">
        <f t="shared" si="36"/>
        <v>543.07803062391906</v>
      </c>
      <c r="AC99" s="53">
        <f t="shared" si="44"/>
        <v>11.953013076685524</v>
      </c>
      <c r="AD99" s="77">
        <f t="shared" si="45"/>
        <v>40.059645833837827</v>
      </c>
      <c r="AE99" s="67">
        <f t="shared" si="37"/>
        <v>1.1019346927322042E-87</v>
      </c>
      <c r="AF99" s="42">
        <f t="shared" si="38"/>
        <v>0.11854927730641186</v>
      </c>
      <c r="AG99" s="42">
        <f t="shared" si="39"/>
        <v>0.86396105361337716</v>
      </c>
      <c r="AH99" s="42">
        <f t="shared" si="46"/>
        <v>0.98251033091978901</v>
      </c>
      <c r="AI99" s="41">
        <f t="shared" si="40"/>
        <v>245.62758272994728</v>
      </c>
      <c r="AJ99" s="41">
        <f t="shared" si="41"/>
        <v>59.274638653205933</v>
      </c>
      <c r="AK99" s="41">
        <f t="shared" si="42"/>
        <v>431.9805268066886</v>
      </c>
      <c r="AM99" s="15">
        <v>33.029449599886242</v>
      </c>
      <c r="AN99" s="15">
        <v>167.17766128015941</v>
      </c>
      <c r="AP99" s="41">
        <f ca="1">AD99*AJ99/(AJ99+AK99)*2.71828^(-0.69315/半Cs134*(NOW()-R99)/365.25)+AD99*AK99/(AJ99+AK99)*2.71828^(-0.69315/半Cs137*(NOW()-R99)/365.25)</f>
        <v>35.447574556334636</v>
      </c>
    </row>
    <row r="100" spans="1:42" ht="9.9499999999999993" customHeight="1" x14ac:dyDescent="0.15">
      <c r="A100" s="6"/>
      <c r="R100" s="60">
        <v>42962</v>
      </c>
      <c r="S100" s="592">
        <f>AM100*6.9/15.06</f>
        <v>13.085506441627279</v>
      </c>
      <c r="T100" s="592">
        <f>AN100*54.7/76.57</f>
        <v>103.41245858422445</v>
      </c>
      <c r="U100" s="102">
        <f t="shared" si="30"/>
        <v>116.49796502585173</v>
      </c>
      <c r="V100" s="101">
        <f t="shared" si="31"/>
        <v>2.1403547609241196</v>
      </c>
      <c r="W100" s="101">
        <f t="shared" si="32"/>
        <v>16.914847664244316</v>
      </c>
      <c r="X100" s="102">
        <f t="shared" si="33"/>
        <v>19.055202425168435</v>
      </c>
      <c r="Y100" s="564">
        <f t="shared" si="34"/>
        <v>423.61999610287012</v>
      </c>
      <c r="Z100" s="53">
        <f t="shared" si="35"/>
        <v>211.80999805143506</v>
      </c>
      <c r="AA100" s="53">
        <f t="shared" si="43"/>
        <v>24.675433745121804</v>
      </c>
      <c r="AB100" s="53">
        <f t="shared" si="36"/>
        <v>550.70599493373118</v>
      </c>
      <c r="AC100" s="53">
        <f t="shared" si="44"/>
        <v>10.493814210216032</v>
      </c>
      <c r="AD100" s="77">
        <f t="shared" si="45"/>
        <v>35.169247955337838</v>
      </c>
      <c r="AE100" s="67">
        <f t="shared" si="37"/>
        <v>7.5633586707407704E-89</v>
      </c>
      <c r="AF100" s="42">
        <f t="shared" si="38"/>
        <v>0.11521479774649998</v>
      </c>
      <c r="AG100" s="42">
        <f t="shared" si="39"/>
        <v>0.86227242409319449</v>
      </c>
      <c r="AH100" s="42">
        <f t="shared" si="46"/>
        <v>0.9774872218396945</v>
      </c>
      <c r="AI100" s="41">
        <f t="shared" si="40"/>
        <v>244.37180545992362</v>
      </c>
      <c r="AJ100" s="41">
        <f t="shared" si="41"/>
        <v>57.607398873249991</v>
      </c>
      <c r="AK100" s="41">
        <f t="shared" si="42"/>
        <v>431.13621204659722</v>
      </c>
      <c r="AM100" s="15">
        <v>28.560540146508234</v>
      </c>
      <c r="AN100" s="15">
        <v>144.75853663243265</v>
      </c>
      <c r="AP100" s="41">
        <f ca="1">AD100*AJ100/(AJ100+AK100)*2.71828^(-0.69315/半Cs134*(NOW()-R100)/365.25)+AD100*AK100/(AJ100+AK100)*2.71828^(-0.69315/半Cs137*(NOW()-R100)/365.25)</f>
        <v>31.28012916142524</v>
      </c>
    </row>
    <row r="101" spans="1:42" ht="9.9499999999999993" customHeight="1" x14ac:dyDescent="0.15">
      <c r="A101" s="6"/>
      <c r="R101" s="60">
        <v>42993</v>
      </c>
      <c r="S101" s="592">
        <f>AM101*6.9/15.06</f>
        <v>12.157827314343724</v>
      </c>
      <c r="T101" s="592">
        <f>AN101*54.7/76.57</f>
        <v>96.184795100226879</v>
      </c>
      <c r="U101" s="102">
        <f t="shared" si="30"/>
        <v>108.3426224145706</v>
      </c>
      <c r="V101" s="101">
        <f t="shared" si="31"/>
        <v>1.988617230126315</v>
      </c>
      <c r="W101" s="101">
        <f t="shared" si="32"/>
        <v>15.732641685641946</v>
      </c>
      <c r="X101" s="102">
        <f t="shared" si="33"/>
        <v>17.72125891576826</v>
      </c>
      <c r="Y101" s="564">
        <f t="shared" si="34"/>
        <v>392.79940273991281</v>
      </c>
      <c r="Z101" s="53">
        <f t="shared" si="35"/>
        <v>196.3997013699564</v>
      </c>
      <c r="AA101" s="53">
        <f t="shared" si="43"/>
        <v>21.278458687859608</v>
      </c>
      <c r="AB101" s="53">
        <f t="shared" si="36"/>
        <v>510.63922356188664</v>
      </c>
      <c r="AC101" s="53">
        <f t="shared" si="44"/>
        <v>9.0491698932870666</v>
      </c>
      <c r="AD101" s="77">
        <f t="shared" si="45"/>
        <v>30.327628581146676</v>
      </c>
      <c r="AE101" s="67">
        <f t="shared" si="37"/>
        <v>5.1912690252480865E-90</v>
      </c>
      <c r="AF101" s="42">
        <f t="shared" si="38"/>
        <v>0.11197410833181805</v>
      </c>
      <c r="AG101" s="42">
        <f t="shared" si="39"/>
        <v>0.86058709503388842</v>
      </c>
      <c r="AH101" s="42">
        <f t="shared" si="46"/>
        <v>0.97256120336570651</v>
      </c>
      <c r="AI101" s="41">
        <f t="shared" si="40"/>
        <v>243.14030084142661</v>
      </c>
      <c r="AJ101" s="41">
        <f t="shared" si="41"/>
        <v>55.987054165909022</v>
      </c>
      <c r="AK101" s="41">
        <f t="shared" si="42"/>
        <v>430.29354751694422</v>
      </c>
      <c r="AM101" s="15">
        <v>26.535779616524128</v>
      </c>
      <c r="AN101" s="15">
        <v>134.64112908271244</v>
      </c>
      <c r="AP101" s="41">
        <f ca="1">AD101*AJ101/(AJ101+AK101)*2.71828^(-0.69315/半Cs134*(NOW()-R101)/365.25)+AD101*AK101/(AJ101+AK101)*2.71828^(-0.69315/半Cs137*(NOW()-R101)/365.25)</f>
        <v>27.110533030207083</v>
      </c>
    </row>
    <row r="102" spans="1:42" ht="9.9499999999999993" customHeight="1" x14ac:dyDescent="0.15">
      <c r="A102" s="6"/>
      <c r="R102" s="60">
        <v>43023</v>
      </c>
      <c r="S102" s="592">
        <f>AM102*6.9/15.06</f>
        <v>11.200571710866075</v>
      </c>
      <c r="T102" s="592">
        <f>AN102*54.7/76.57</f>
        <v>88.69405012044794</v>
      </c>
      <c r="U102" s="102">
        <f t="shared" si="30"/>
        <v>99.894621831314012</v>
      </c>
      <c r="V102" s="101">
        <f t="shared" si="31"/>
        <v>1.8320419689803746</v>
      </c>
      <c r="W102" s="101">
        <f t="shared" si="32"/>
        <v>14.507404301681397</v>
      </c>
      <c r="X102" s="102">
        <f t="shared" si="33"/>
        <v>16.339446270661771</v>
      </c>
      <c r="Y102" s="564">
        <f t="shared" si="34"/>
        <v>404.16571980777155</v>
      </c>
      <c r="Z102" s="53">
        <f t="shared" si="35"/>
        <v>202.08285990388578</v>
      </c>
      <c r="AA102" s="53">
        <f t="shared" si="43"/>
        <v>20.186990868689076</v>
      </c>
      <c r="AB102" s="53">
        <f t="shared" si="36"/>
        <v>525.41543575010303</v>
      </c>
      <c r="AC102" s="53">
        <f t="shared" si="44"/>
        <v>8.5849972822151503</v>
      </c>
      <c r="AD102" s="77">
        <f t="shared" si="45"/>
        <v>28.771988150904228</v>
      </c>
      <c r="AE102" s="67">
        <f t="shared" si="37"/>
        <v>3.8847469594407849E-91</v>
      </c>
      <c r="AF102" s="42">
        <f t="shared" si="38"/>
        <v>0.10892477264329396</v>
      </c>
      <c r="AG102" s="42">
        <f t="shared" si="39"/>
        <v>0.85895926783037602</v>
      </c>
      <c r="AH102" s="42">
        <f t="shared" si="46"/>
        <v>0.96788404047366994</v>
      </c>
      <c r="AI102" s="41">
        <f t="shared" si="40"/>
        <v>241.9710101184175</v>
      </c>
      <c r="AJ102" s="41">
        <f t="shared" si="41"/>
        <v>54.462386321646981</v>
      </c>
      <c r="AK102" s="41">
        <f t="shared" si="42"/>
        <v>429.479633915188</v>
      </c>
      <c r="AM102" s="15">
        <v>24.446465212412043</v>
      </c>
      <c r="AN102" s="15">
        <v>124.15545553423578</v>
      </c>
      <c r="AP102" s="41">
        <f ca="1">AD102*AJ102/(AJ102+AK102)*2.71828^(-0.69315/半Cs134*(NOW()-R102)/365.25)+AD102*AK102/(AJ102+AK102)*2.71828^(-0.69315/半Cs137*(NOW()-R102)/365.25)</f>
        <v>25.844199736376329</v>
      </c>
    </row>
    <row r="103" spans="1:42" ht="9.9499999999999993" customHeight="1" x14ac:dyDescent="0.15">
      <c r="A103" s="6"/>
      <c r="R103" s="60">
        <v>43054</v>
      </c>
      <c r="S103" s="592">
        <f>AM103*6.9/15.06</f>
        <v>9.3446115772347937</v>
      </c>
      <c r="T103" s="592">
        <f>AN103*54.7/76.57</f>
        <v>74.04613601120198</v>
      </c>
      <c r="U103" s="102">
        <f t="shared" si="30"/>
        <v>83.390747588436767</v>
      </c>
      <c r="V103" s="101">
        <f t="shared" si="31"/>
        <v>1.5284684599363425</v>
      </c>
      <c r="W103" s="101">
        <f t="shared" si="32"/>
        <v>12.111491476970476</v>
      </c>
      <c r="X103" s="102">
        <f t="shared" si="33"/>
        <v>13.63995993690682</v>
      </c>
      <c r="Y103" s="564">
        <f t="shared" si="34"/>
        <v>365.59151469689084</v>
      </c>
      <c r="Z103" s="53">
        <f t="shared" si="35"/>
        <v>182.79575734844545</v>
      </c>
      <c r="AA103" s="53">
        <f t="shared" si="43"/>
        <v>15.243474861281349</v>
      </c>
      <c r="AB103" s="53">
        <f t="shared" si="36"/>
        <v>475.26896910595815</v>
      </c>
      <c r="AC103" s="53">
        <f t="shared" si="44"/>
        <v>6.4826496978602748</v>
      </c>
      <c r="AD103" s="77">
        <f t="shared" si="45"/>
        <v>21.726124559141624</v>
      </c>
      <c r="AE103" s="67">
        <f t="shared" si="37"/>
        <v>2.6663771268032477E-92</v>
      </c>
      <c r="AF103" s="42">
        <f t="shared" si="38"/>
        <v>0.10586100510122509</v>
      </c>
      <c r="AG103" s="42">
        <f t="shared" si="39"/>
        <v>0.85728041440263558</v>
      </c>
      <c r="AH103" s="42">
        <f t="shared" si="46"/>
        <v>0.96314141950386067</v>
      </c>
      <c r="AI103" s="41">
        <f t="shared" si="40"/>
        <v>240.78535487596514</v>
      </c>
      <c r="AJ103" s="41">
        <f t="shared" si="41"/>
        <v>52.930502550612545</v>
      </c>
      <c r="AK103" s="41">
        <f t="shared" si="42"/>
        <v>428.64020720131776</v>
      </c>
      <c r="AM103" s="15">
        <v>20.395630485964634</v>
      </c>
      <c r="AN103" s="15">
        <v>103.65105364493117</v>
      </c>
      <c r="AP103" s="41">
        <f ca="1">AD103*AJ103/(AJ103+AK103)*2.71828^(-0.69315/半Cs134*(NOW()-R103)/365.25)+AD103*AK103/(AJ103+AK103)*2.71828^(-0.69315/半Cs137*(NOW()-R103)/365.25)</f>
        <v>19.611406874143697</v>
      </c>
    </row>
    <row r="104" spans="1:42" ht="9.9499999999999993" customHeight="1" x14ac:dyDescent="0.15">
      <c r="A104" s="6"/>
      <c r="R104" s="60">
        <v>43084</v>
      </c>
      <c r="S104" s="109">
        <v>6.9</v>
      </c>
      <c r="T104" s="109">
        <v>54.65</v>
      </c>
      <c r="U104" s="102">
        <f t="shared" si="30"/>
        <v>61.55</v>
      </c>
      <c r="V104" s="101">
        <f t="shared" si="31"/>
        <v>1.1286111023869445</v>
      </c>
      <c r="W104" s="101">
        <f t="shared" si="32"/>
        <v>8.9389270645574648</v>
      </c>
      <c r="X104" s="102">
        <f t="shared" si="33"/>
        <v>10.067538166944409</v>
      </c>
      <c r="Y104" s="564">
        <f t="shared" si="34"/>
        <v>366.92573700820014</v>
      </c>
      <c r="Z104" s="53">
        <f t="shared" si="35"/>
        <v>183.46286850410007</v>
      </c>
      <c r="AA104" s="53">
        <f t="shared" si="43"/>
        <v>11.292139556427358</v>
      </c>
      <c r="AB104" s="53">
        <f t="shared" si="36"/>
        <v>477.00345811066018</v>
      </c>
      <c r="AC104" s="53">
        <f t="shared" si="44"/>
        <v>4.8022505202935397</v>
      </c>
      <c r="AD104" s="77">
        <f t="shared" si="45"/>
        <v>16.094390076720899</v>
      </c>
      <c r="AE104" s="67">
        <f t="shared" si="37"/>
        <v>1.9953118179184824E-93</v>
      </c>
      <c r="AF104" s="42">
        <f t="shared" si="38"/>
        <v>0.10297814453919582</v>
      </c>
      <c r="AG104" s="42">
        <f t="shared" si="39"/>
        <v>0.85565884188817898</v>
      </c>
      <c r="AH104" s="42">
        <f t="shared" si="46"/>
        <v>0.95863698642737483</v>
      </c>
      <c r="AI104" s="41">
        <f t="shared" si="40"/>
        <v>239.65924660684368</v>
      </c>
      <c r="AJ104" s="41">
        <f t="shared" si="41"/>
        <v>51.489072269597912</v>
      </c>
      <c r="AK104" s="41">
        <f t="shared" si="42"/>
        <v>427.82942094408946</v>
      </c>
      <c r="AM104" s="591">
        <v>15.060558423692514</v>
      </c>
      <c r="AN104" s="591">
        <v>76.573010492435301</v>
      </c>
      <c r="AP104" s="41">
        <f ca="1">AD104*AJ104/(AJ104+AK104)*2.71828^(-0.69315/半Cs134*(NOW()-R104)/365.25)+AD104*AK104/(AJ104+AK104)*2.71828^(-0.69315/半Cs137*(NOW()-R104)/365.25)</f>
        <v>14.596101905369277</v>
      </c>
    </row>
    <row r="105" spans="1:42" ht="9.9499999999999993" customHeight="1" x14ac:dyDescent="0.15">
      <c r="A105" s="6"/>
      <c r="R105" s="60">
        <v>43115</v>
      </c>
      <c r="S105" s="109">
        <v>6.9</v>
      </c>
      <c r="T105" s="109">
        <v>54.65</v>
      </c>
      <c r="U105" s="102">
        <f t="shared" si="30"/>
        <v>61.55</v>
      </c>
      <c r="V105" s="101">
        <f t="shared" si="31"/>
        <v>1.1286111023869445</v>
      </c>
      <c r="W105" s="101">
        <f t="shared" si="32"/>
        <v>8.9389270645574648</v>
      </c>
      <c r="X105" s="102">
        <f t="shared" si="33"/>
        <v>10.067538166944409</v>
      </c>
      <c r="Y105" s="564">
        <f t="shared" si="34"/>
        <v>336.19628090348226</v>
      </c>
      <c r="Z105" s="53">
        <f t="shared" si="35"/>
        <v>168.09814045174113</v>
      </c>
      <c r="AA105" s="53">
        <f t="shared" si="43"/>
        <v>10.346440544804665</v>
      </c>
      <c r="AB105" s="53">
        <f t="shared" si="36"/>
        <v>437.05516517452691</v>
      </c>
      <c r="AC105" s="53">
        <f t="shared" si="44"/>
        <v>4.4000695564547421</v>
      </c>
      <c r="AD105" s="77">
        <f t="shared" si="45"/>
        <v>14.746510101259407</v>
      </c>
      <c r="AE105" s="67">
        <f t="shared" si="37"/>
        <v>1.3695238963270222E-94</v>
      </c>
      <c r="AF105" s="42">
        <f t="shared" si="38"/>
        <v>0.10008164001478548</v>
      </c>
      <c r="AG105" s="42">
        <f t="shared" si="39"/>
        <v>0.85398643921033268</v>
      </c>
      <c r="AH105" s="42">
        <f t="shared" si="46"/>
        <v>0.95406807922511816</v>
      </c>
      <c r="AI105" s="41">
        <f t="shared" si="40"/>
        <v>238.51701980627956</v>
      </c>
      <c r="AJ105" s="41">
        <f t="shared" si="41"/>
        <v>50.040820007392739</v>
      </c>
      <c r="AK105" s="41">
        <f t="shared" si="42"/>
        <v>426.99321960516636</v>
      </c>
      <c r="AM105" s="591">
        <v>13.610010365075995</v>
      </c>
      <c r="AN105" s="591">
        <v>69.235842446987093</v>
      </c>
      <c r="AP105" s="41">
        <f ca="1">AD105*AJ105/(AJ105+AK105)*2.71828^(-0.69315/半Cs134*(NOW()-R105)/365.25)+AD105*AK105/(AJ105+AK105)*2.71828^(-0.69315/半Cs137*(NOW()-R105)/365.25)</f>
        <v>13.437746124240707</v>
      </c>
    </row>
    <row r="106" spans="1:42" ht="9.9499999999999993" customHeight="1" x14ac:dyDescent="0.15">
      <c r="A106" s="6"/>
      <c r="R106" s="60">
        <v>43146</v>
      </c>
      <c r="S106" s="111">
        <f>AM106*6.9/13.61</f>
        <v>6.3059482350135809</v>
      </c>
      <c r="T106" s="111">
        <f>AN106*54.7/69.24</f>
        <v>50.001388397983654</v>
      </c>
      <c r="U106" s="102">
        <f t="shared" si="30"/>
        <v>56.307336632997234</v>
      </c>
      <c r="V106" s="101">
        <f t="shared" si="31"/>
        <v>1.0314439404512585</v>
      </c>
      <c r="W106" s="101">
        <f t="shared" si="32"/>
        <v>8.1785684174965372</v>
      </c>
      <c r="X106" s="102">
        <f t="shared" si="33"/>
        <v>9.2100123579477966</v>
      </c>
      <c r="Y106" s="564">
        <f t="shared" si="34"/>
        <v>287.67628035157674</v>
      </c>
      <c r="Z106" s="53">
        <f t="shared" si="35"/>
        <v>143.83814017578837</v>
      </c>
      <c r="AA106" s="53">
        <f t="shared" si="43"/>
        <v>8.0991425795423595</v>
      </c>
      <c r="AB106" s="53">
        <f t="shared" si="36"/>
        <v>373.97916445704976</v>
      </c>
      <c r="AC106" s="53">
        <f t="shared" si="44"/>
        <v>3.4443527262644196</v>
      </c>
      <c r="AD106" s="77">
        <f t="shared" si="45"/>
        <v>11.543495305806779</v>
      </c>
      <c r="AE106" s="67">
        <f t="shared" si="37"/>
        <v>9.4000129993089718E-96</v>
      </c>
      <c r="AF106" s="42">
        <f t="shared" si="38"/>
        <v>9.7266606549088308E-2</v>
      </c>
      <c r="AG106" s="42">
        <f t="shared" si="39"/>
        <v>0.85231730527766869</v>
      </c>
      <c r="AH106" s="42">
        <f t="shared" si="46"/>
        <v>0.94958391182675705</v>
      </c>
      <c r="AI106" s="41">
        <f t="shared" si="40"/>
        <v>237.39597795668925</v>
      </c>
      <c r="AJ106" s="41">
        <f t="shared" si="41"/>
        <v>48.633303274544154</v>
      </c>
      <c r="AK106" s="41">
        <f t="shared" si="42"/>
        <v>426.15865263883433</v>
      </c>
      <c r="AM106" s="15">
        <v>12.43825441717896</v>
      </c>
      <c r="AN106" s="15">
        <v>63.292433869769425</v>
      </c>
      <c r="AP106" s="41">
        <f ca="1">AD106*AJ106/(AJ106+AK106)*2.71828^(-0.69315/半Cs134*(NOW()-R106)/365.25)+AD106*AK106/(AJ106+AK106)*2.71828^(-0.69315/半Cs137*(NOW()-R106)/365.25)</f>
        <v>10.568674621864945</v>
      </c>
    </row>
    <row r="107" spans="1:42" ht="9.9499999999999993" customHeight="1" x14ac:dyDescent="0.15">
      <c r="A107" s="6"/>
      <c r="R107" s="60">
        <v>43174</v>
      </c>
      <c r="S107" s="111">
        <f t="shared" ref="S107:S119" si="47">AM107*6.9/13.61</f>
        <v>5.5346059807587009</v>
      </c>
      <c r="T107" s="111">
        <f t="shared" ref="T107:T119" si="48">AN107*54.7/69.24</f>
        <v>43.885970037020236</v>
      </c>
      <c r="U107" s="102">
        <f t="shared" si="30"/>
        <v>49.420576017778934</v>
      </c>
      <c r="V107" s="101">
        <f t="shared" si="31"/>
        <v>0.90527793582919602</v>
      </c>
      <c r="W107" s="101">
        <f t="shared" si="32"/>
        <v>7.1782888438843218</v>
      </c>
      <c r="X107" s="102">
        <f t="shared" si="33"/>
        <v>8.083566779713518</v>
      </c>
      <c r="Y107" s="564">
        <f t="shared" si="34"/>
        <v>348.75946167083737</v>
      </c>
      <c r="Z107" s="53">
        <f t="shared" si="35"/>
        <v>174.37973083541871</v>
      </c>
      <c r="AA107" s="53">
        <f t="shared" si="43"/>
        <v>8.6179467437116397</v>
      </c>
      <c r="AB107" s="53">
        <f t="shared" si="36"/>
        <v>453.3873001720886</v>
      </c>
      <c r="AC107" s="53">
        <f t="shared" si="44"/>
        <v>3.6649865180150965</v>
      </c>
      <c r="AD107" s="77">
        <f t="shared" si="45"/>
        <v>12.282933261726736</v>
      </c>
      <c r="AE107" s="67">
        <f t="shared" si="37"/>
        <v>8.3613879440946017E-97</v>
      </c>
      <c r="AF107" s="42">
        <f t="shared" si="38"/>
        <v>9.4792114371174033E-2</v>
      </c>
      <c r="AG107" s="42">
        <f t="shared" si="39"/>
        <v>0.8508125046770284</v>
      </c>
      <c r="AH107" s="42">
        <f t="shared" si="46"/>
        <v>0.94560461904820248</v>
      </c>
      <c r="AI107" s="41">
        <f t="shared" si="40"/>
        <v>236.40115476205062</v>
      </c>
      <c r="AJ107" s="41">
        <f t="shared" si="41"/>
        <v>47.396057185587019</v>
      </c>
      <c r="AK107" s="41">
        <f t="shared" si="42"/>
        <v>425.40625233851421</v>
      </c>
      <c r="AM107" s="15">
        <v>10.916809767844335</v>
      </c>
      <c r="AN107" s="15">
        <v>55.55145457702524</v>
      </c>
      <c r="AP107" s="41">
        <f ca="1">AD107*AJ107/(AJ107+AK107)*2.71828^(-0.69315/半Cs134*(NOW()-R107)/365.25)+AD107*AK107/(AJ107+AK107)*2.71828^(-0.69315/半Cs137*(NOW()-R107)/365.25)</f>
        <v>11.292992820192087</v>
      </c>
    </row>
    <row r="108" spans="1:42" ht="9.9499999999999993" customHeight="1" x14ac:dyDescent="0.15">
      <c r="A108" s="6"/>
      <c r="R108" s="60">
        <v>43205</v>
      </c>
      <c r="S108" s="111">
        <f t="shared" si="47"/>
        <v>10.057623879639092</v>
      </c>
      <c r="T108" s="111">
        <f t="shared" si="48"/>
        <v>79.728167982265063</v>
      </c>
      <c r="U108" s="102">
        <f t="shared" si="30"/>
        <v>89.785791861904158</v>
      </c>
      <c r="V108" s="101">
        <f t="shared" si="31"/>
        <v>1.645093619448222</v>
      </c>
      <c r="W108" s="101">
        <f t="shared" si="32"/>
        <v>13.040883414167487</v>
      </c>
      <c r="X108" s="102">
        <f t="shared" si="33"/>
        <v>14.685977033615709</v>
      </c>
      <c r="Y108" s="564">
        <f t="shared" si="34"/>
        <v>358.80910520309362</v>
      </c>
      <c r="Z108" s="53">
        <f t="shared" si="35"/>
        <v>179.40455260154681</v>
      </c>
      <c r="AA108" s="53">
        <f t="shared" si="43"/>
        <v>16.107979818960519</v>
      </c>
      <c r="AB108" s="53">
        <f t="shared" si="36"/>
        <v>466.45183676402172</v>
      </c>
      <c r="AC108" s="53">
        <f t="shared" si="44"/>
        <v>6.8503009620042867</v>
      </c>
      <c r="AD108" s="77">
        <f t="shared" si="45"/>
        <v>22.958280780964806</v>
      </c>
      <c r="AE108" s="67">
        <f t="shared" si="37"/>
        <v>5.739013067062413E-98</v>
      </c>
      <c r="AF108" s="42">
        <f t="shared" si="38"/>
        <v>9.2125861358137676E-2</v>
      </c>
      <c r="AG108" s="42">
        <f t="shared" si="39"/>
        <v>0.84914957426421711</v>
      </c>
      <c r="AH108" s="42">
        <f t="shared" si="46"/>
        <v>0.94127543562235483</v>
      </c>
      <c r="AI108" s="41">
        <f t="shared" si="40"/>
        <v>235.31885890558868</v>
      </c>
      <c r="AJ108" s="41">
        <f t="shared" si="41"/>
        <v>46.062930679068835</v>
      </c>
      <c r="AK108" s="41">
        <f t="shared" si="42"/>
        <v>424.57478713210855</v>
      </c>
      <c r="AM108" s="15">
        <v>19.838298695925801</v>
      </c>
      <c r="AN108" s="15">
        <v>100.92099362142656</v>
      </c>
      <c r="AP108" s="41">
        <f ca="1">AD108*AJ108/(AJ108+AK108)*2.71828^(-0.69315/半Cs134*(NOW()-R108)/365.25)+AD108*AK108/(AJ108+AK108)*2.71828^(-0.69315/半Cs137*(NOW()-R108)/365.25)</f>
        <v>21.205044235510574</v>
      </c>
    </row>
    <row r="109" spans="1:42" ht="9.9499999999999993" customHeight="1" x14ac:dyDescent="0.15">
      <c r="A109" s="6"/>
      <c r="R109" s="60">
        <v>43235</v>
      </c>
      <c r="S109" s="111">
        <f t="shared" si="47"/>
        <v>15.164927477517359</v>
      </c>
      <c r="T109" s="111">
        <f t="shared" si="48"/>
        <v>120.17704175067189</v>
      </c>
      <c r="U109" s="102">
        <f t="shared" si="30"/>
        <v>135.34196922818924</v>
      </c>
      <c r="V109" s="101">
        <f t="shared" si="31"/>
        <v>2.4804790605824536</v>
      </c>
      <c r="W109" s="101">
        <f t="shared" si="32"/>
        <v>19.656977329250381</v>
      </c>
      <c r="X109" s="102">
        <f t="shared" si="33"/>
        <v>22.137456389832835</v>
      </c>
      <c r="Y109" s="564">
        <f t="shared" si="34"/>
        <v>403.16807168787011</v>
      </c>
      <c r="Z109" s="53">
        <f t="shared" si="35"/>
        <v>201.58403584393506</v>
      </c>
      <c r="AA109" s="53">
        <f t="shared" si="43"/>
        <v>27.282780376084055</v>
      </c>
      <c r="AB109" s="53">
        <f t="shared" si="36"/>
        <v>524.11849319423118</v>
      </c>
      <c r="AC109" s="53">
        <f t="shared" si="44"/>
        <v>11.602650286192191</v>
      </c>
      <c r="AD109" s="77">
        <f t="shared" si="45"/>
        <v>38.885430662276249</v>
      </c>
      <c r="AE109" s="67">
        <f t="shared" si="37"/>
        <v>4.2946365241389509E-99</v>
      </c>
      <c r="AF109" s="42">
        <f t="shared" si="38"/>
        <v>8.9617043194183912E-2</v>
      </c>
      <c r="AG109" s="42">
        <f t="shared" si="39"/>
        <v>0.84754338148626951</v>
      </c>
      <c r="AH109" s="42">
        <f t="shared" si="46"/>
        <v>0.93716042468045346</v>
      </c>
      <c r="AI109" s="41">
        <f t="shared" si="40"/>
        <v>234.29010617011335</v>
      </c>
      <c r="AJ109" s="41">
        <f t="shared" si="41"/>
        <v>44.808521597091953</v>
      </c>
      <c r="AK109" s="41">
        <f t="shared" si="42"/>
        <v>423.77169074313474</v>
      </c>
      <c r="AM109" s="15">
        <v>29.912269995508876</v>
      </c>
      <c r="AN109" s="15">
        <v>152.12172524344646</v>
      </c>
      <c r="AP109" s="41">
        <f ca="1">AD109*AJ109/(AJ109+AK109)*2.71828^(-0.69315/半Cs134*(NOW()-R109)/365.25)+AD109*AK109/(AJ109+AK109)*2.71828^(-0.69315/半Cs137*(NOW()-R109)/365.25)</f>
        <v>36.073602675662919</v>
      </c>
    </row>
    <row r="110" spans="1:42" ht="9.9499999999999993" customHeight="1" x14ac:dyDescent="0.15">
      <c r="A110" s="6"/>
      <c r="R110" s="60">
        <v>43266</v>
      </c>
      <c r="S110" s="111">
        <f t="shared" si="47"/>
        <v>16.378158369816369</v>
      </c>
      <c r="T110" s="111">
        <f t="shared" si="48"/>
        <v>129.72613794778354</v>
      </c>
      <c r="U110" s="102">
        <f t="shared" si="30"/>
        <v>146.1042963175999</v>
      </c>
      <c r="V110" s="101">
        <f t="shared" si="31"/>
        <v>2.6789233873661464</v>
      </c>
      <c r="W110" s="101">
        <f t="shared" si="32"/>
        <v>21.21889268951432</v>
      </c>
      <c r="X110" s="102">
        <f t="shared" si="33"/>
        <v>23.897816076880467</v>
      </c>
      <c r="Y110" s="564">
        <f t="shared" si="34"/>
        <v>395.64909700474715</v>
      </c>
      <c r="Z110" s="53">
        <f t="shared" si="35"/>
        <v>197.82454850237357</v>
      </c>
      <c r="AA110" s="53">
        <f t="shared" si="43"/>
        <v>28.903016453286202</v>
      </c>
      <c r="AB110" s="53">
        <f t="shared" si="36"/>
        <v>514.34382610617126</v>
      </c>
      <c r="AC110" s="53">
        <f t="shared" si="44"/>
        <v>12.291694156564271</v>
      </c>
      <c r="AD110" s="77">
        <f t="shared" si="45"/>
        <v>41.194710609850475</v>
      </c>
      <c r="AE110" s="67">
        <f t="shared" si="37"/>
        <v>2.9477133814519115E-100</v>
      </c>
      <c r="AF110" s="42">
        <f t="shared" si="38"/>
        <v>8.7096351330509594E-2</v>
      </c>
      <c r="AG110" s="42">
        <f t="shared" si="39"/>
        <v>0.84588684064148545</v>
      </c>
      <c r="AH110" s="42">
        <f t="shared" si="46"/>
        <v>0.93298319197199509</v>
      </c>
      <c r="AI110" s="41">
        <f t="shared" si="40"/>
        <v>233.24579799299877</v>
      </c>
      <c r="AJ110" s="41">
        <f t="shared" si="41"/>
        <v>43.548175665254796</v>
      </c>
      <c r="AK110" s="41">
        <f t="shared" si="42"/>
        <v>422.94342032074275</v>
      </c>
      <c r="AM110" s="15">
        <v>32.305323972927646</v>
      </c>
      <c r="AN110" s="15">
        <v>164.20910039313583</v>
      </c>
      <c r="AP110" s="41">
        <f ca="1">AD110*AJ110/(AJ110+AK110)*2.71828^(-0.69315/半Cs134*(NOW()-R110)/365.25)+AD110*AK110/(AJ110+AK110)*2.71828^(-0.69315/半Cs137*(NOW()-R110)/365.25)</f>
        <v>38.387000761163897</v>
      </c>
    </row>
    <row r="111" spans="1:42" ht="9.9499999999999993" customHeight="1" x14ac:dyDescent="0.15">
      <c r="A111" s="6"/>
      <c r="R111" s="60">
        <v>43296</v>
      </c>
      <c r="S111" s="111">
        <f t="shared" si="47"/>
        <v>15.589670217304672</v>
      </c>
      <c r="T111" s="111">
        <f t="shared" si="48"/>
        <v>123.46229742137527</v>
      </c>
      <c r="U111" s="102">
        <f t="shared" si="30"/>
        <v>139.05196763867994</v>
      </c>
      <c r="V111" s="101">
        <f t="shared" si="31"/>
        <v>2.5499528825798756</v>
      </c>
      <c r="W111" s="101">
        <f t="shared" si="32"/>
        <v>20.19433617332799</v>
      </c>
      <c r="X111" s="102">
        <f t="shared" si="33"/>
        <v>22.744289055907867</v>
      </c>
      <c r="Y111" s="564">
        <f t="shared" si="34"/>
        <v>420.93860938825145</v>
      </c>
      <c r="Z111" s="53">
        <f t="shared" si="35"/>
        <v>210.46930469412575</v>
      </c>
      <c r="AA111" s="53">
        <f t="shared" si="43"/>
        <v>29.266170945263042</v>
      </c>
      <c r="AB111" s="53">
        <f t="shared" si="36"/>
        <v>547.22019220472691</v>
      </c>
      <c r="AC111" s="53">
        <f t="shared" si="44"/>
        <v>12.44613422873377</v>
      </c>
      <c r="AD111" s="77">
        <f t="shared" si="45"/>
        <v>41.71230517399681</v>
      </c>
      <c r="AE111" s="67">
        <f t="shared" si="37"/>
        <v>2.2058422594176746E-101</v>
      </c>
      <c r="AF111" s="42">
        <f t="shared" si="38"/>
        <v>8.4724499333570027E-2</v>
      </c>
      <c r="AG111" s="42">
        <f t="shared" si="39"/>
        <v>0.8442868194254628</v>
      </c>
      <c r="AH111" s="42">
        <f t="shared" si="46"/>
        <v>0.92901131875903287</v>
      </c>
      <c r="AI111" s="41">
        <f t="shared" si="40"/>
        <v>232.25282968975822</v>
      </c>
      <c r="AJ111" s="41">
        <f t="shared" si="41"/>
        <v>42.362249666785011</v>
      </c>
      <c r="AK111" s="41">
        <f t="shared" si="42"/>
        <v>422.1434097127314</v>
      </c>
      <c r="AM111" s="15">
        <v>30.750059660509645</v>
      </c>
      <c r="AN111" s="15">
        <v>156.2802463154666</v>
      </c>
      <c r="AP111" s="41">
        <f ca="1">AD111*AJ111/(AJ111+AK111)*2.71828^(-0.69315/半Cs134*(NOW()-R111)/365.25)+AD111*AK111/(AJ111+AK111)*2.71828^(-0.69315/半Cs137*(NOW()-R111)/365.25)</f>
        <v>39.035498577273735</v>
      </c>
    </row>
    <row r="112" spans="1:42" ht="9.9499999999999993" customHeight="1" x14ac:dyDescent="0.15">
      <c r="A112" s="6"/>
      <c r="R112" s="60">
        <v>43327</v>
      </c>
      <c r="S112" s="111">
        <f t="shared" si="47"/>
        <v>13.550697374820869</v>
      </c>
      <c r="T112" s="111">
        <f t="shared" si="48"/>
        <v>107.27241337049647</v>
      </c>
      <c r="U112" s="102">
        <f t="shared" si="30"/>
        <v>120.82311074531734</v>
      </c>
      <c r="V112" s="101">
        <f t="shared" si="31"/>
        <v>2.2164445655519498</v>
      </c>
      <c r="W112" s="101">
        <f t="shared" si="32"/>
        <v>17.546208218809277</v>
      </c>
      <c r="X112" s="102">
        <f t="shared" si="33"/>
        <v>19.762652784361226</v>
      </c>
      <c r="Y112" s="564">
        <f t="shared" si="34"/>
        <v>426.85102806102805</v>
      </c>
      <c r="Z112" s="53">
        <f t="shared" si="35"/>
        <v>213.42551403051402</v>
      </c>
      <c r="AA112" s="53">
        <f t="shared" si="43"/>
        <v>25.786734517585074</v>
      </c>
      <c r="AB112" s="53">
        <f t="shared" si="36"/>
        <v>554.90633647933646</v>
      </c>
      <c r="AC112" s="53">
        <f t="shared" si="44"/>
        <v>10.966421255683047</v>
      </c>
      <c r="AD112" s="77">
        <f t="shared" si="45"/>
        <v>36.753155773268119</v>
      </c>
      <c r="AE112" s="67">
        <f t="shared" si="37"/>
        <v>1.5140258573479772E-102</v>
      </c>
      <c r="AF112" s="42">
        <f t="shared" si="38"/>
        <v>8.2341421868480508E-2</v>
      </c>
      <c r="AG112" s="42">
        <f t="shared" si="39"/>
        <v>0.84263664359772117</v>
      </c>
      <c r="AH112" s="42">
        <f t="shared" si="46"/>
        <v>0.92497806546620165</v>
      </c>
      <c r="AI112" s="41">
        <f t="shared" si="40"/>
        <v>231.24451636655044</v>
      </c>
      <c r="AJ112" s="41">
        <f t="shared" si="41"/>
        <v>41.170710934240255</v>
      </c>
      <c r="AK112" s="41">
        <f t="shared" si="42"/>
        <v>421.31832179886061</v>
      </c>
      <c r="AM112" s="15">
        <v>26.728259604537971</v>
      </c>
      <c r="AN112" s="15">
        <v>135.7868720616668</v>
      </c>
      <c r="AP112" s="41">
        <f ca="1">AD112*AJ112/(AJ112+AK112)*2.71828^(-0.69315/半Cs134*(NOW()-R112)/365.25)+AD112*AK112/(AJ112+AK112)*2.71828^(-0.69315/半Cs137*(NOW()-R112)/365.25)</f>
        <v>34.544566408413715</v>
      </c>
    </row>
    <row r="113" spans="1:42" ht="9.9499999999999993" customHeight="1" x14ac:dyDescent="0.15">
      <c r="A113" s="6"/>
      <c r="R113" s="60">
        <v>43358</v>
      </c>
      <c r="S113" s="111">
        <f t="shared" si="47"/>
        <v>12.652475955942919</v>
      </c>
      <c r="T113" s="111">
        <f t="shared" si="48"/>
        <v>100.12106885870251</v>
      </c>
      <c r="U113" s="102">
        <f t="shared" si="30"/>
        <v>112.77354481464543</v>
      </c>
      <c r="V113" s="101">
        <f t="shared" si="31"/>
        <v>2.0695253386320354</v>
      </c>
      <c r="W113" s="101">
        <f t="shared" si="32"/>
        <v>16.376485492286871</v>
      </c>
      <c r="X113" s="102">
        <f t="shared" si="33"/>
        <v>18.446010830918908</v>
      </c>
      <c r="Y113" s="564">
        <f t="shared" si="34"/>
        <v>395.79536004852332</v>
      </c>
      <c r="Z113" s="53">
        <f t="shared" si="35"/>
        <v>197.89768002426169</v>
      </c>
      <c r="AA113" s="53">
        <f t="shared" si="43"/>
        <v>22.31762288693044</v>
      </c>
      <c r="AB113" s="53">
        <f t="shared" si="36"/>
        <v>514.53396806308035</v>
      </c>
      <c r="AC113" s="53">
        <f t="shared" si="44"/>
        <v>9.4910991477672635</v>
      </c>
      <c r="AD113" s="77">
        <f t="shared" si="45"/>
        <v>31.808722034697702</v>
      </c>
      <c r="AE113" s="67">
        <f t="shared" si="37"/>
        <v>1.0391832357602129E-103</v>
      </c>
      <c r="AF113" s="42">
        <f t="shared" si="38"/>
        <v>8.002537410848562E-2</v>
      </c>
      <c r="AG113" s="42">
        <f t="shared" si="39"/>
        <v>0.84098969307232896</v>
      </c>
      <c r="AH113" s="42">
        <f t="shared" si="46"/>
        <v>0.92101506718081461</v>
      </c>
      <c r="AI113" s="41">
        <f t="shared" si="40"/>
        <v>230.25376679520363</v>
      </c>
      <c r="AJ113" s="41">
        <f t="shared" si="41"/>
        <v>40.012687054242811</v>
      </c>
      <c r="AK113" s="41">
        <f t="shared" si="42"/>
        <v>420.49484653616446</v>
      </c>
      <c r="AM113" s="15">
        <v>24.956550400055523</v>
      </c>
      <c r="AN113" s="15">
        <v>126.73460343284391</v>
      </c>
      <c r="AP113" s="41">
        <f ca="1">AD113*AJ113/(AJ113+AK113)*2.71828^(-0.69315/半Cs134*(NOW()-R113)/365.25)+AD113*AK113/(AJ113+AK113)*2.71828^(-0.69315/半Cs137*(NOW()-R113)/365.25)</f>
        <v>30.025899789271374</v>
      </c>
    </row>
    <row r="114" spans="1:42" ht="9.9499999999999993" customHeight="1" x14ac:dyDescent="0.15">
      <c r="A114" s="6"/>
      <c r="R114" s="60">
        <v>43388</v>
      </c>
      <c r="S114" s="111">
        <f t="shared" si="47"/>
        <v>11.708158725330428</v>
      </c>
      <c r="T114" s="111">
        <f t="shared" si="48"/>
        <v>92.60793285818194</v>
      </c>
      <c r="U114" s="102">
        <f t="shared" si="30"/>
        <v>104.31609158351236</v>
      </c>
      <c r="V114" s="101">
        <f t="shared" si="31"/>
        <v>1.9150663660748544</v>
      </c>
      <c r="W114" s="101">
        <f t="shared" si="32"/>
        <v>15.147585680123022</v>
      </c>
      <c r="X114" s="102">
        <f t="shared" si="33"/>
        <v>17.062652046197876</v>
      </c>
      <c r="Y114" s="564">
        <f t="shared" si="34"/>
        <v>407.24837022348436</v>
      </c>
      <c r="Z114" s="53">
        <f t="shared" si="35"/>
        <v>203.62418511174221</v>
      </c>
      <c r="AA114" s="53">
        <f t="shared" si="43"/>
        <v>21.241279142734573</v>
      </c>
      <c r="AB114" s="53">
        <f t="shared" si="36"/>
        <v>529.42288129052974</v>
      </c>
      <c r="AC114" s="53">
        <f t="shared" si="44"/>
        <v>9.0333584087558325</v>
      </c>
      <c r="AD114" s="77">
        <f t="shared" si="45"/>
        <v>30.274637551490407</v>
      </c>
      <c r="AE114" s="67">
        <f t="shared" si="37"/>
        <v>7.7764490643564758E-105</v>
      </c>
      <c r="AF114" s="42">
        <f t="shared" si="38"/>
        <v>7.7846082548213805E-2</v>
      </c>
      <c r="AG114" s="42">
        <f t="shared" si="39"/>
        <v>0.8393989349629446</v>
      </c>
      <c r="AH114" s="42">
        <f t="shared" si="46"/>
        <v>0.91724501751115839</v>
      </c>
      <c r="AI114" s="41">
        <f t="shared" si="40"/>
        <v>229.3112543777896</v>
      </c>
      <c r="AJ114" s="41">
        <f t="shared" si="41"/>
        <v>38.9230412741069</v>
      </c>
      <c r="AK114" s="41">
        <f t="shared" si="42"/>
        <v>419.69946748147231</v>
      </c>
      <c r="AM114" s="15">
        <v>23.093918877064798</v>
      </c>
      <c r="AN114" s="15">
        <v>117.22437424315387</v>
      </c>
      <c r="AP114" s="41">
        <f ca="1">AD114*AJ114/(AJ114+AK114)*2.71828^(-0.69315/半Cs134*(NOW()-R114)/365.25)+AD114*AK114/(AJ114+AK114)*2.71828^(-0.69315/半Cs137*(NOW()-R114)/365.25)</f>
        <v>28.695258139287116</v>
      </c>
    </row>
    <row r="115" spans="1:42" ht="9.9499999999999993" customHeight="1" x14ac:dyDescent="0.15">
      <c r="A115" s="6"/>
      <c r="R115" s="60">
        <v>43419</v>
      </c>
      <c r="S115" s="111">
        <f t="shared" si="47"/>
        <v>9.8110223041510825</v>
      </c>
      <c r="T115" s="111">
        <f t="shared" si="48"/>
        <v>77.558789961721672</v>
      </c>
      <c r="U115" s="102">
        <f t="shared" si="30"/>
        <v>87.369812265872753</v>
      </c>
      <c r="V115" s="101">
        <f t="shared" si="31"/>
        <v>1.6047577823522974</v>
      </c>
      <c r="W115" s="101">
        <f t="shared" si="32"/>
        <v>12.686045136013938</v>
      </c>
      <c r="X115" s="102">
        <f t="shared" si="33"/>
        <v>14.290802918366236</v>
      </c>
      <c r="Y115" s="564">
        <f t="shared" si="34"/>
        <v>368.37995216085363</v>
      </c>
      <c r="Z115" s="53">
        <f t="shared" si="35"/>
        <v>184.18997608042685</v>
      </c>
      <c r="AA115" s="53">
        <f t="shared" si="43"/>
        <v>16.092643631402488</v>
      </c>
      <c r="AB115" s="53">
        <f t="shared" si="36"/>
        <v>478.89393780910973</v>
      </c>
      <c r="AC115" s="53">
        <f t="shared" si="44"/>
        <v>6.843778884030324</v>
      </c>
      <c r="AD115" s="77">
        <f t="shared" si="45"/>
        <v>22.936422515432813</v>
      </c>
      <c r="AE115" s="67">
        <f t="shared" si="37"/>
        <v>5.3375280628150486E-106</v>
      </c>
      <c r="AF115" s="42">
        <f t="shared" si="38"/>
        <v>7.5656476867149131E-2</v>
      </c>
      <c r="AG115" s="42">
        <f t="shared" si="39"/>
        <v>0.83775831260518885</v>
      </c>
      <c r="AH115" s="42">
        <f t="shared" si="46"/>
        <v>0.91341478947233801</v>
      </c>
      <c r="AI115" s="41">
        <f t="shared" si="40"/>
        <v>228.35369736808448</v>
      </c>
      <c r="AJ115" s="41">
        <f t="shared" si="41"/>
        <v>37.828238433574562</v>
      </c>
      <c r="AK115" s="41">
        <f t="shared" si="42"/>
        <v>418.87915630259442</v>
      </c>
      <c r="AM115" s="15">
        <v>19.351886023115394</v>
      </c>
      <c r="AN115" s="15">
        <v>98.174965574947123</v>
      </c>
      <c r="AP115" s="41">
        <f ca="1">AD115*AJ115/(AJ115+AK115)*2.71828^(-0.69315/半Cs134*(NOW()-R115)/365.25)+AD115*AK115/(AJ115+AK115)*2.71828^(-0.69315/半Cs137*(NOW()-R115)/365.25)</f>
        <v>21.831027961449536</v>
      </c>
    </row>
    <row r="116" spans="1:42" ht="9.9499999999999993" customHeight="1" x14ac:dyDescent="0.15">
      <c r="A116" s="6"/>
      <c r="R116" s="60">
        <v>43449</v>
      </c>
      <c r="S116" s="111">
        <f t="shared" si="47"/>
        <v>7.2697287008143761</v>
      </c>
      <c r="T116" s="111">
        <f t="shared" si="48"/>
        <v>57.415837293435203</v>
      </c>
      <c r="U116" s="102">
        <f t="shared" si="30"/>
        <v>64.685565994249572</v>
      </c>
      <c r="V116" s="101">
        <f t="shared" si="31"/>
        <v>1.1890864526203075</v>
      </c>
      <c r="W116" s="101">
        <f t="shared" si="32"/>
        <v>9.3913262930743961</v>
      </c>
      <c r="X116" s="102">
        <f t="shared" si="33"/>
        <v>10.580412745694703</v>
      </c>
      <c r="Y116" s="564">
        <f t="shared" si="34"/>
        <v>369.72435084477695</v>
      </c>
      <c r="Z116" s="53">
        <f t="shared" si="35"/>
        <v>184.86217542238847</v>
      </c>
      <c r="AA116" s="53">
        <f t="shared" si="43"/>
        <v>11.957914448125452</v>
      </c>
      <c r="AB116" s="53">
        <f t="shared" si="36"/>
        <v>480.64165609821003</v>
      </c>
      <c r="AC116" s="53">
        <f t="shared" si="44"/>
        <v>5.0853871042933116</v>
      </c>
      <c r="AD116" s="77">
        <f t="shared" si="45"/>
        <v>17.043301552418765</v>
      </c>
      <c r="AE116" s="67">
        <f t="shared" si="37"/>
        <v>3.9941959879377097E-107</v>
      </c>
      <c r="AF116" s="42">
        <f t="shared" si="38"/>
        <v>7.3596161331567087E-2</v>
      </c>
      <c r="AG116" s="42">
        <f t="shared" si="39"/>
        <v>0.83617366675226246</v>
      </c>
      <c r="AH116" s="42">
        <f t="shared" si="46"/>
        <v>0.90976982808382956</v>
      </c>
      <c r="AI116" s="41">
        <f t="shared" si="40"/>
        <v>227.44245702095736</v>
      </c>
      <c r="AJ116" s="41">
        <f t="shared" si="41"/>
        <v>36.798080665783544</v>
      </c>
      <c r="AK116" s="41">
        <f t="shared" si="42"/>
        <v>418.08683337613121</v>
      </c>
      <c r="AM116" s="15">
        <v>14.339276466388934</v>
      </c>
      <c r="AN116" s="15">
        <v>72.677743586790726</v>
      </c>
      <c r="AP116" s="41">
        <f ca="1">AD116*AJ116/(AJ116+AK116)*2.71828^(-0.69315/半Cs134*(NOW()-R116)/365.25)+AD116*AK116/(AJ116+AK116)*2.71828^(-0.69315/半Cs137*(NOW()-R116)/365.25)</f>
        <v>16.286911757311717</v>
      </c>
    </row>
    <row r="117" spans="1:42" ht="9.9499999999999993" customHeight="1" x14ac:dyDescent="0.15">
      <c r="A117" s="6"/>
      <c r="R117" s="60">
        <v>43480</v>
      </c>
      <c r="S117" s="111">
        <f t="shared" si="47"/>
        <v>6.5935764621102351</v>
      </c>
      <c r="T117" s="111">
        <f t="shared" si="48"/>
        <v>52.03534014550084</v>
      </c>
      <c r="U117" s="102">
        <f t="shared" si="30"/>
        <v>58.628916607611075</v>
      </c>
      <c r="V117" s="101">
        <f t="shared" si="31"/>
        <v>1.0784903767499769</v>
      </c>
      <c r="W117" s="101">
        <f t="shared" si="32"/>
        <v>8.5112554499555539</v>
      </c>
      <c r="X117" s="102">
        <f t="shared" si="33"/>
        <v>9.5897458267055313</v>
      </c>
      <c r="Y117" s="564">
        <f t="shared" si="34"/>
        <v>338.76051521207512</v>
      </c>
      <c r="Z117" s="53">
        <f t="shared" si="35"/>
        <v>169.38025760603756</v>
      </c>
      <c r="AA117" s="53">
        <f t="shared" si="43"/>
        <v>9.9305809981600586</v>
      </c>
      <c r="AB117" s="53">
        <f t="shared" si="36"/>
        <v>440.38866977569762</v>
      </c>
      <c r="AC117" s="53">
        <f t="shared" si="44"/>
        <v>4.2232154081098967</v>
      </c>
      <c r="AD117" s="77">
        <f t="shared" si="45"/>
        <v>14.153796406269954</v>
      </c>
      <c r="AE117" s="67">
        <f t="shared" si="37"/>
        <v>2.7414997510518673E-108</v>
      </c>
      <c r="AF117" s="42">
        <f t="shared" si="38"/>
        <v>7.1526094763267448E-2</v>
      </c>
      <c r="AG117" s="42">
        <f t="shared" si="39"/>
        <v>0.83453934824707987</v>
      </c>
      <c r="AH117" s="42">
        <f t="shared" si="46"/>
        <v>0.9060654430103473</v>
      </c>
      <c r="AI117" s="41">
        <f t="shared" si="40"/>
        <v>226.51636075258682</v>
      </c>
      <c r="AJ117" s="41">
        <f t="shared" si="41"/>
        <v>35.763047381633726</v>
      </c>
      <c r="AK117" s="41">
        <f t="shared" si="42"/>
        <v>417.26967412353991</v>
      </c>
      <c r="AM117" s="15">
        <v>13.005590673814535</v>
      </c>
      <c r="AN117" s="15">
        <v>65.867037507760102</v>
      </c>
      <c r="AP117" s="41">
        <f ca="1">AD117*AJ117/(AJ117+AK117)*2.71828^(-0.69315/半Cs134*(NOW()-R117)/365.25)+AD117*AK117/(AJ117+AK117)*2.71828^(-0.69315/半Cs137*(NOW()-R117)/365.25)</f>
        <v>13.580942866714011</v>
      </c>
    </row>
    <row r="118" spans="1:42" ht="9.9499999999999993" customHeight="1" x14ac:dyDescent="0.15">
      <c r="A118" s="6"/>
      <c r="R118" s="60">
        <v>43511</v>
      </c>
      <c r="S118" s="111">
        <f t="shared" si="47"/>
        <v>6.0458470389738057</v>
      </c>
      <c r="T118" s="111">
        <f t="shared" si="48"/>
        <v>47.681669525514707</v>
      </c>
      <c r="U118" s="102">
        <f t="shared" si="30"/>
        <v>53.727516564488511</v>
      </c>
      <c r="V118" s="101">
        <f t="shared" si="31"/>
        <v>0.98890001326363342</v>
      </c>
      <c r="W118" s="101">
        <f t="shared" si="32"/>
        <v>7.7991393633103074</v>
      </c>
      <c r="X118" s="102">
        <f t="shared" si="33"/>
        <v>8.7880393765739413</v>
      </c>
      <c r="Y118" s="564">
        <f t="shared" si="34"/>
        <v>289.87044319556628</v>
      </c>
      <c r="Z118" s="53">
        <f t="shared" si="35"/>
        <v>144.93522159778314</v>
      </c>
      <c r="AA118" s="53">
        <f t="shared" si="43"/>
        <v>7.7870095191727069</v>
      </c>
      <c r="AB118" s="53">
        <f t="shared" si="36"/>
        <v>376.83157615423613</v>
      </c>
      <c r="AC118" s="53">
        <f t="shared" si="44"/>
        <v>3.3116107295798489</v>
      </c>
      <c r="AD118" s="77">
        <f t="shared" si="45"/>
        <v>11.098620248752557</v>
      </c>
      <c r="AE118" s="67">
        <f t="shared" si="37"/>
        <v>1.8816855526655323E-109</v>
      </c>
      <c r="AF118" s="42">
        <f t="shared" si="38"/>
        <v>6.9514253726295272E-2</v>
      </c>
      <c r="AG118" s="42">
        <f t="shared" si="39"/>
        <v>0.83290822405078624</v>
      </c>
      <c r="AH118" s="42">
        <f t="shared" si="46"/>
        <v>0.90242247777708151</v>
      </c>
      <c r="AI118" s="41">
        <f t="shared" si="40"/>
        <v>225.60561944427036</v>
      </c>
      <c r="AJ118" s="41">
        <f t="shared" si="41"/>
        <v>34.757126863147633</v>
      </c>
      <c r="AK118" s="41">
        <f t="shared" si="42"/>
        <v>416.4541120253931</v>
      </c>
      <c r="AM118" s="15">
        <v>11.925214231946883</v>
      </c>
      <c r="AN118" s="15">
        <v>60.356102339061025</v>
      </c>
      <c r="AP118" s="41">
        <f ca="1">AD118*AJ118/(AJ118+AK118)*2.71828^(-0.69315/半Cs134*(NOW()-R118)/365.25)+AD118*AK118/(AJ118+AK118)*2.71828^(-0.69315/半Cs137*(NOW()-R118)/365.25)</f>
        <v>10.692410712340914</v>
      </c>
    </row>
    <row r="119" spans="1:42" ht="9.9499999999999993" customHeight="1" x14ac:dyDescent="0.15">
      <c r="A119" s="6"/>
      <c r="R119" s="60">
        <v>43539</v>
      </c>
      <c r="S119" s="111">
        <f t="shared" si="47"/>
        <v>5.3228945489052775</v>
      </c>
      <c r="T119" s="111">
        <f t="shared" si="48"/>
        <v>41.947738537208259</v>
      </c>
      <c r="U119" s="102">
        <f>S119+T119</f>
        <v>47.270633086113534</v>
      </c>
      <c r="V119" s="101">
        <f t="shared" si="31"/>
        <v>0.87064896880136844</v>
      </c>
      <c r="W119" s="101">
        <f t="shared" si="32"/>
        <v>6.8612584685678151</v>
      </c>
      <c r="X119" s="102">
        <f t="shared" si="33"/>
        <v>7.7319074373691832</v>
      </c>
      <c r="Y119" s="564">
        <f t="shared" si="34"/>
        <v>351.41951779834551</v>
      </c>
      <c r="Z119" s="53">
        <f t="shared" si="35"/>
        <v>175.70975889917278</v>
      </c>
      <c r="AA119" s="53">
        <f t="shared" si="43"/>
        <v>8.305911542572268</v>
      </c>
      <c r="AB119" s="53">
        <f t="shared" si="36"/>
        <v>456.84537313784921</v>
      </c>
      <c r="AC119" s="53">
        <f t="shared" si="44"/>
        <v>3.5322861382922359</v>
      </c>
      <c r="AD119" s="77">
        <f t="shared" si="45"/>
        <v>11.838197680864504</v>
      </c>
      <c r="AE119" s="67">
        <f t="shared" si="37"/>
        <v>1.6737745890129772E-110</v>
      </c>
      <c r="AF119" s="42">
        <f t="shared" si="38"/>
        <v>6.7745789880355969E-2</v>
      </c>
      <c r="AG119" s="42">
        <f t="shared" si="39"/>
        <v>0.83143769096637177</v>
      </c>
      <c r="AH119" s="42">
        <f t="shared" si="46"/>
        <v>0.89918348084672772</v>
      </c>
      <c r="AI119" s="41">
        <f t="shared" si="40"/>
        <v>224.79587021168192</v>
      </c>
      <c r="AJ119" s="41">
        <f t="shared" si="41"/>
        <v>33.872894940177986</v>
      </c>
      <c r="AK119" s="41">
        <f t="shared" si="42"/>
        <v>415.71884548318587</v>
      </c>
      <c r="AM119" s="15">
        <v>10.49921663921751</v>
      </c>
      <c r="AN119" s="15">
        <v>53.098014923515528</v>
      </c>
      <c r="AP119" s="41">
        <f ca="1">AD119*AJ119/(AJ119+AK119)*2.71828^(-0.69315/半Cs134*(NOW()-R119)/365.25)+AD119*AK119/(AJ119+AK119)*2.71828^(-0.69315/半Cs137*(NOW()-R119)/365.25)</f>
        <v>11.44600187926568</v>
      </c>
    </row>
    <row r="120" spans="1:42" ht="9.9499999999999993" customHeight="1" x14ac:dyDescent="0.15">
      <c r="A120" s="6"/>
      <c r="R120" s="22"/>
      <c r="S120" s="22" t="s">
        <v>689</v>
      </c>
      <c r="T120" s="23"/>
      <c r="U120" s="23"/>
      <c r="V120" s="23"/>
      <c r="W120" s="23"/>
      <c r="X120" s="24"/>
      <c r="Y120" s="631" t="s">
        <v>80</v>
      </c>
      <c r="Z120" s="631" t="s">
        <v>66</v>
      </c>
      <c r="AA120" s="604" t="s">
        <v>77</v>
      </c>
      <c r="AB120" s="631" t="s">
        <v>138</v>
      </c>
      <c r="AC120" s="604" t="s">
        <v>78</v>
      </c>
      <c r="AD120" s="618" t="s">
        <v>79</v>
      </c>
      <c r="AE120" s="616" t="s">
        <v>70</v>
      </c>
      <c r="AF120" s="602" t="s">
        <v>71</v>
      </c>
      <c r="AG120" s="602" t="s">
        <v>72</v>
      </c>
      <c r="AH120" s="634" t="s">
        <v>73</v>
      </c>
      <c r="AI120" s="634" t="s">
        <v>74</v>
      </c>
      <c r="AJ120" s="602" t="s">
        <v>75</v>
      </c>
      <c r="AK120" s="602" t="s">
        <v>76</v>
      </c>
      <c r="AM120" s="21" t="s">
        <v>1</v>
      </c>
      <c r="AN120" s="21" t="s">
        <v>2</v>
      </c>
    </row>
    <row r="121" spans="1:42" ht="9.9499999999999993" customHeight="1" x14ac:dyDescent="0.15">
      <c r="A121" s="6"/>
      <c r="R121" s="20"/>
      <c r="S121" s="15" t="s">
        <v>0</v>
      </c>
      <c r="T121" s="15"/>
      <c r="U121" s="15"/>
      <c r="V121" s="15" t="s">
        <v>3</v>
      </c>
      <c r="W121" s="15"/>
      <c r="X121" s="15"/>
      <c r="Y121" s="632"/>
      <c r="Z121" s="632"/>
      <c r="AA121" s="605"/>
      <c r="AB121" s="632"/>
      <c r="AC121" s="605"/>
      <c r="AD121" s="619"/>
      <c r="AE121" s="617"/>
      <c r="AF121" s="603"/>
      <c r="AG121" s="603"/>
      <c r="AH121" s="635"/>
      <c r="AI121" s="635"/>
      <c r="AJ121" s="603"/>
      <c r="AK121" s="603"/>
    </row>
    <row r="122" spans="1:42" ht="9.9499999999999993" customHeight="1" x14ac:dyDescent="0.15">
      <c r="A122" s="6"/>
      <c r="R122" s="25" t="s">
        <v>68</v>
      </c>
      <c r="S122" s="21" t="s">
        <v>1</v>
      </c>
      <c r="T122" s="21" t="s">
        <v>2</v>
      </c>
      <c r="U122" s="19" t="s">
        <v>81</v>
      </c>
      <c r="V122" s="21" t="s">
        <v>1</v>
      </c>
      <c r="W122" s="21" t="s">
        <v>2</v>
      </c>
      <c r="X122" s="19" t="s">
        <v>81</v>
      </c>
      <c r="Y122" s="633"/>
      <c r="Z122" s="633"/>
      <c r="AA122" s="606"/>
      <c r="AB122" s="633"/>
      <c r="AC122" s="606"/>
      <c r="AD122" s="620"/>
      <c r="AE122" s="617"/>
      <c r="AF122" s="603"/>
      <c r="AG122" s="603"/>
      <c r="AH122" s="635"/>
      <c r="AI122" s="635"/>
      <c r="AJ122" s="603"/>
      <c r="AK122" s="603"/>
    </row>
    <row r="123" spans="1:42" ht="12" customHeight="1" x14ac:dyDescent="0.15">
      <c r="A123" s="6"/>
      <c r="J123" s="14"/>
      <c r="K123" s="14"/>
      <c r="M123" s="10"/>
      <c r="N123" s="10"/>
      <c r="O123" s="10"/>
      <c r="P123" s="10"/>
      <c r="S123" s="17"/>
      <c r="T123" s="6"/>
      <c r="X123" s="6"/>
      <c r="Y123" s="83" t="s">
        <v>87</v>
      </c>
      <c r="Z123" s="84" t="s">
        <v>88</v>
      </c>
      <c r="AD123" s="78"/>
      <c r="AE123" s="63">
        <f>8.021/365.25</f>
        <v>2.1960301163586587E-2</v>
      </c>
      <c r="AF123" s="63">
        <v>2.0619999999999998</v>
      </c>
      <c r="AG123" s="64">
        <v>30.07</v>
      </c>
      <c r="AH123" s="61" t="s">
        <v>69</v>
      </c>
      <c r="AI123" s="73"/>
      <c r="AJ123" s="73"/>
      <c r="AK123" s="73"/>
    </row>
    <row r="124" spans="1:42" ht="12" customHeight="1" x14ac:dyDescent="0.15">
      <c r="A124" s="6"/>
      <c r="J124" s="14"/>
      <c r="K124" s="14"/>
      <c r="M124" s="10"/>
      <c r="N124" s="10"/>
      <c r="O124" s="10"/>
      <c r="P124" s="10"/>
      <c r="X124" s="6"/>
    </row>
    <row r="125" spans="1:42" ht="12" customHeight="1" x14ac:dyDescent="0.15">
      <c r="A125" s="6"/>
      <c r="J125" s="13"/>
      <c r="K125" s="13"/>
      <c r="M125" s="10"/>
      <c r="N125" s="10"/>
      <c r="O125" s="10"/>
      <c r="P125" s="10"/>
      <c r="R125" s="60">
        <v>43081</v>
      </c>
      <c r="S125" s="15">
        <v>4.3</v>
      </c>
      <c r="T125" s="15">
        <v>77.599999999999994</v>
      </c>
    </row>
    <row r="126" spans="1:42" ht="12" customHeight="1" x14ac:dyDescent="0.15">
      <c r="A126" s="6"/>
      <c r="J126" s="14"/>
      <c r="K126" s="14"/>
      <c r="M126" s="10"/>
      <c r="N126" s="10"/>
      <c r="O126" s="10"/>
      <c r="P126" s="10"/>
      <c r="R126" s="60">
        <v>43109</v>
      </c>
      <c r="S126" s="15">
        <v>9.5</v>
      </c>
      <c r="T126" s="15">
        <v>31.7</v>
      </c>
      <c r="AF126" s="30"/>
      <c r="AG126" s="30"/>
      <c r="AK126" s="30"/>
      <c r="AL126" s="30"/>
    </row>
    <row r="127" spans="1:42" ht="12" customHeight="1" x14ac:dyDescent="0.15">
      <c r="A127" s="6"/>
      <c r="J127" s="13"/>
      <c r="K127" s="13"/>
      <c r="M127" s="10"/>
      <c r="N127" s="10"/>
      <c r="O127" s="10"/>
      <c r="P127" s="10"/>
      <c r="R127" s="15" t="s">
        <v>149</v>
      </c>
      <c r="S127" s="591">
        <f>AVERAGE(S126,S125)</f>
        <v>6.9</v>
      </c>
      <c r="T127" s="591">
        <f>AVERAGE(T126,T125)</f>
        <v>54.65</v>
      </c>
      <c r="AF127" s="30"/>
      <c r="AG127" s="30"/>
      <c r="AK127" s="30"/>
      <c r="AL127" s="30"/>
    </row>
    <row r="128" spans="1:42" ht="12" customHeight="1" x14ac:dyDescent="0.15">
      <c r="A128" s="6"/>
      <c r="J128" s="13"/>
      <c r="K128" s="13"/>
      <c r="M128" s="10"/>
      <c r="N128" s="10"/>
      <c r="O128" s="10"/>
      <c r="P128" s="10"/>
      <c r="T128" s="6"/>
      <c r="AF128" s="30"/>
      <c r="AG128" s="30"/>
      <c r="AK128" s="30"/>
      <c r="AL128" s="30"/>
    </row>
    <row r="129" spans="1:38" ht="12" customHeight="1" x14ac:dyDescent="0.15">
      <c r="A129" s="6"/>
      <c r="M129" s="10"/>
      <c r="N129" s="10"/>
      <c r="O129" s="10"/>
      <c r="P129" s="10"/>
      <c r="AF129" s="30"/>
      <c r="AG129" s="30"/>
      <c r="AK129" s="30"/>
      <c r="AL129" s="30"/>
    </row>
    <row r="130" spans="1:38" ht="12" customHeight="1" x14ac:dyDescent="0.15">
      <c r="A130" s="6"/>
      <c r="M130" s="10"/>
      <c r="N130" s="10"/>
      <c r="O130" s="10"/>
      <c r="P130" s="10"/>
      <c r="S130" s="113" t="s">
        <v>143</v>
      </c>
      <c r="X130" s="6"/>
      <c r="AF130" s="6"/>
      <c r="AG130" s="6"/>
      <c r="AH130" s="6"/>
      <c r="AI130" s="6"/>
      <c r="AJ130" s="6"/>
      <c r="AK130" s="6"/>
      <c r="AL130" s="6"/>
    </row>
    <row r="131" spans="1:38" ht="12" customHeight="1" x14ac:dyDescent="0.15">
      <c r="A131" s="6"/>
      <c r="M131" s="10"/>
      <c r="N131" s="10"/>
      <c r="O131" s="10"/>
      <c r="P131" s="10"/>
      <c r="T131" s="110" t="s">
        <v>146</v>
      </c>
      <c r="X131" s="6"/>
      <c r="AF131" s="6"/>
      <c r="AG131" s="6"/>
      <c r="AH131" s="6"/>
      <c r="AI131" s="6"/>
      <c r="AJ131" s="6"/>
      <c r="AK131" s="6"/>
      <c r="AL131" s="6"/>
    </row>
    <row r="132" spans="1:38" ht="12" customHeight="1" x14ac:dyDescent="0.15">
      <c r="A132" s="6"/>
      <c r="M132" s="10"/>
      <c r="N132" s="10"/>
      <c r="O132" s="10"/>
      <c r="P132" s="10"/>
      <c r="T132" s="6"/>
      <c r="X132" s="6"/>
      <c r="AF132" s="6"/>
      <c r="AG132" s="6"/>
      <c r="AH132" s="6"/>
      <c r="AI132" s="6"/>
      <c r="AJ132" s="6"/>
      <c r="AK132" s="6"/>
      <c r="AL132" s="6"/>
    </row>
    <row r="133" spans="1:38" ht="12" customHeight="1" x14ac:dyDescent="0.15">
      <c r="A133" s="6"/>
      <c r="M133" s="10"/>
      <c r="N133" s="10"/>
      <c r="O133" s="10"/>
      <c r="P133" s="10"/>
      <c r="T133" s="6"/>
      <c r="X133" s="6"/>
      <c r="AF133" s="6"/>
      <c r="AG133" s="6"/>
      <c r="AH133" s="6"/>
      <c r="AI133" s="6"/>
      <c r="AJ133" s="6"/>
      <c r="AK133" s="6"/>
      <c r="AL133" s="6"/>
    </row>
    <row r="134" spans="1:38" ht="12" customHeight="1" x14ac:dyDescent="0.15">
      <c r="A134" s="6"/>
      <c r="M134" s="10"/>
      <c r="N134" s="10"/>
      <c r="O134" s="10"/>
      <c r="P134" s="10"/>
      <c r="U134" s="9"/>
      <c r="V134" s="9"/>
      <c r="W134" s="9"/>
      <c r="AF134" s="30"/>
      <c r="AG134" s="30"/>
      <c r="AK134" s="30"/>
      <c r="AL134" s="30"/>
    </row>
    <row r="135" spans="1:38" ht="12" customHeight="1" x14ac:dyDescent="0.15">
      <c r="A135" s="6"/>
      <c r="M135" s="10"/>
      <c r="N135" s="10"/>
      <c r="O135" s="10"/>
      <c r="P135" s="10"/>
      <c r="V135" s="9"/>
      <c r="W135" s="9"/>
      <c r="AF135" s="30"/>
      <c r="AG135" s="30"/>
      <c r="AK135" s="30"/>
      <c r="AL135" s="30"/>
    </row>
    <row r="136" spans="1:38" ht="12" customHeight="1" x14ac:dyDescent="0.15">
      <c r="A136" s="6"/>
      <c r="M136" s="10"/>
      <c r="N136" s="10"/>
      <c r="O136" s="10"/>
      <c r="P136" s="10"/>
      <c r="U136" s="10"/>
      <c r="V136" s="9"/>
      <c r="W136" s="9"/>
      <c r="AF136" s="30"/>
      <c r="AG136" s="30"/>
      <c r="AK136" s="30"/>
      <c r="AL136" s="30"/>
    </row>
    <row r="137" spans="1:38" ht="12" customHeight="1" x14ac:dyDescent="0.15">
      <c r="A137" s="6"/>
      <c r="M137" s="10"/>
      <c r="N137" s="10"/>
      <c r="O137" s="10"/>
      <c r="P137" s="10"/>
      <c r="U137" s="9"/>
      <c r="V137" s="9"/>
      <c r="W137" s="9"/>
      <c r="AF137" s="30"/>
      <c r="AG137" s="30"/>
      <c r="AK137" s="30"/>
      <c r="AL137" s="30"/>
    </row>
    <row r="138" spans="1:38" ht="12" customHeight="1" x14ac:dyDescent="0.15">
      <c r="A138" s="6"/>
      <c r="M138" s="10"/>
      <c r="N138" s="10"/>
      <c r="O138" s="10"/>
      <c r="P138" s="10"/>
      <c r="U138" s="14"/>
      <c r="V138" s="9"/>
      <c r="W138" s="9"/>
      <c r="AF138" s="30"/>
      <c r="AG138" s="30"/>
      <c r="AK138" s="30"/>
      <c r="AL138" s="30"/>
    </row>
    <row r="139" spans="1:38" ht="12" customHeight="1" x14ac:dyDescent="0.15">
      <c r="A139" s="6"/>
      <c r="M139" s="10"/>
      <c r="N139" s="10"/>
      <c r="O139" s="10"/>
      <c r="P139" s="10"/>
      <c r="U139" s="14"/>
      <c r="V139" s="12"/>
      <c r="W139" s="12"/>
      <c r="AF139" s="30"/>
      <c r="AG139" s="30"/>
      <c r="AK139" s="30"/>
      <c r="AL139" s="30"/>
    </row>
    <row r="140" spans="1:38" ht="12" customHeight="1" x14ac:dyDescent="0.15">
      <c r="A140" s="6"/>
      <c r="M140" s="10"/>
      <c r="N140" s="10"/>
      <c r="O140" s="10"/>
      <c r="P140" s="10"/>
      <c r="U140" s="13"/>
      <c r="V140" s="9"/>
      <c r="W140" s="9"/>
      <c r="AF140" s="30"/>
      <c r="AG140" s="30"/>
      <c r="AK140" s="30"/>
      <c r="AL140" s="30"/>
    </row>
    <row r="141" spans="1:38" ht="12" customHeight="1" x14ac:dyDescent="0.15">
      <c r="A141" s="6"/>
      <c r="M141" s="10"/>
      <c r="N141" s="10"/>
      <c r="O141" s="10"/>
      <c r="P141" s="10"/>
      <c r="U141" s="14"/>
      <c r="AF141" s="30"/>
      <c r="AG141" s="30"/>
      <c r="AK141" s="30"/>
      <c r="AL141" s="30"/>
    </row>
    <row r="142" spans="1:38" ht="12" customHeight="1" x14ac:dyDescent="0.15">
      <c r="A142" s="6"/>
      <c r="M142" s="10"/>
      <c r="N142" s="10"/>
      <c r="O142" s="10"/>
      <c r="P142" s="10"/>
      <c r="U142" s="14"/>
      <c r="V142" s="10"/>
      <c r="W142" s="10"/>
      <c r="AF142" s="30"/>
      <c r="AG142" s="30"/>
      <c r="AK142" s="30"/>
      <c r="AL142" s="30"/>
    </row>
    <row r="143" spans="1:38" ht="12" customHeight="1" x14ac:dyDescent="0.15">
      <c r="A143" s="6"/>
      <c r="M143" s="10"/>
      <c r="N143" s="10"/>
      <c r="O143" s="10"/>
      <c r="P143" s="10"/>
      <c r="U143" s="14"/>
      <c r="V143" s="9"/>
      <c r="W143" s="9"/>
    </row>
    <row r="144" spans="1:38" ht="12" customHeight="1" x14ac:dyDescent="0.15">
      <c r="A144" s="6"/>
      <c r="M144" s="10"/>
      <c r="N144" s="10"/>
      <c r="O144" s="10"/>
      <c r="P144" s="10"/>
      <c r="U144" s="13"/>
      <c r="V144" s="14"/>
      <c r="W144" s="14"/>
    </row>
    <row r="145" spans="1:38" ht="12" customHeight="1" x14ac:dyDescent="0.15">
      <c r="A145" s="6"/>
      <c r="M145" s="10"/>
      <c r="N145" s="10"/>
      <c r="O145" s="10"/>
      <c r="P145" s="10"/>
      <c r="U145" s="14"/>
      <c r="V145" s="14"/>
      <c r="W145" s="14"/>
    </row>
    <row r="146" spans="1:38" ht="12" customHeight="1" x14ac:dyDescent="0.15">
      <c r="A146" s="6"/>
      <c r="M146" s="10"/>
      <c r="N146" s="10"/>
      <c r="O146" s="10"/>
      <c r="P146" s="10"/>
      <c r="U146" s="11"/>
      <c r="V146" s="13"/>
      <c r="W146" s="13"/>
    </row>
    <row r="147" spans="1:38" ht="12" customHeight="1" x14ac:dyDescent="0.15">
      <c r="A147" s="6"/>
      <c r="U147" s="11"/>
      <c r="V147" s="14"/>
      <c r="W147" s="14"/>
    </row>
    <row r="148" spans="1:38" ht="12" customHeight="1" x14ac:dyDescent="0.15">
      <c r="A148" s="6"/>
      <c r="U148" s="9"/>
      <c r="V148" s="14"/>
      <c r="W148" s="14"/>
    </row>
    <row r="149" spans="1:38" ht="12" customHeight="1" x14ac:dyDescent="0.15">
      <c r="A149" s="6"/>
      <c r="U149" s="12"/>
      <c r="V149" s="14"/>
      <c r="W149" s="14"/>
    </row>
    <row r="150" spans="1:38" ht="12" customHeight="1" x14ac:dyDescent="0.15">
      <c r="A150" s="6"/>
      <c r="U150" s="12"/>
      <c r="V150" s="13"/>
      <c r="W150" s="13"/>
    </row>
    <row r="151" spans="1:38" ht="12" customHeight="1" x14ac:dyDescent="0.15">
      <c r="A151" s="6"/>
      <c r="U151" s="12"/>
      <c r="V151" s="14"/>
      <c r="W151" s="14"/>
    </row>
    <row r="152" spans="1:38" ht="12" customHeight="1" x14ac:dyDescent="0.15">
      <c r="A152" s="6"/>
      <c r="U152" s="12"/>
      <c r="V152" s="11"/>
      <c r="W152" s="11"/>
    </row>
    <row r="153" spans="1:38" ht="12" customHeight="1" x14ac:dyDescent="0.15">
      <c r="A153" s="6"/>
      <c r="U153" s="12"/>
      <c r="V153" s="11"/>
      <c r="W153" s="11"/>
    </row>
    <row r="154" spans="1:38" ht="12" customHeight="1" x14ac:dyDescent="0.15">
      <c r="A154" s="6"/>
      <c r="U154" s="12"/>
      <c r="V154" s="9"/>
      <c r="W154" s="9"/>
    </row>
    <row r="155" spans="1:38" ht="12" customHeight="1" x14ac:dyDescent="0.15">
      <c r="A155" s="6"/>
      <c r="U155" s="12"/>
      <c r="V155" s="12"/>
      <c r="W155" s="12"/>
    </row>
    <row r="156" spans="1:38" ht="12" customHeight="1" x14ac:dyDescent="0.15">
      <c r="A156" s="6"/>
      <c r="U156" s="12"/>
      <c r="V156" s="12"/>
      <c r="W156" s="12"/>
    </row>
    <row r="157" spans="1:38" ht="12" customHeight="1" x14ac:dyDescent="0.15">
      <c r="A157" s="6"/>
      <c r="U157" s="12"/>
      <c r="V157" s="12"/>
      <c r="W157" s="12"/>
    </row>
    <row r="158" spans="1:38" ht="12" customHeight="1" x14ac:dyDescent="0.15">
      <c r="A158" s="6"/>
      <c r="U158" s="12"/>
      <c r="V158" s="12"/>
      <c r="W158" s="12"/>
    </row>
    <row r="159" spans="1:38" ht="12" customHeight="1" x14ac:dyDescent="0.15">
      <c r="A159" s="6"/>
      <c r="U159" s="12"/>
      <c r="V159" s="12"/>
      <c r="W159" s="12"/>
    </row>
    <row r="160" spans="1:38" ht="12" customHeight="1" x14ac:dyDescent="0.15">
      <c r="A160" s="6"/>
      <c r="U160" s="12"/>
      <c r="V160" s="12"/>
      <c r="W160" s="12"/>
      <c r="AF160" s="30"/>
      <c r="AG160" s="30"/>
      <c r="AK160" s="30"/>
      <c r="AL160" s="30"/>
    </row>
    <row r="161" spans="1:38" ht="12" customHeight="1" x14ac:dyDescent="0.15">
      <c r="A161" s="6"/>
      <c r="U161" s="12"/>
      <c r="V161" s="12"/>
      <c r="W161" s="12"/>
      <c r="AF161" s="30"/>
      <c r="AG161" s="30"/>
      <c r="AK161" s="30"/>
      <c r="AL161" s="30"/>
    </row>
    <row r="162" spans="1:38" ht="12" customHeight="1" x14ac:dyDescent="0.15">
      <c r="A162" s="6"/>
      <c r="U162" s="12"/>
      <c r="V162" s="12"/>
      <c r="W162" s="12"/>
      <c r="AF162" s="30"/>
      <c r="AG162" s="30"/>
      <c r="AK162" s="30"/>
      <c r="AL162" s="30"/>
    </row>
    <row r="163" spans="1:38" ht="12" customHeight="1" x14ac:dyDescent="0.15">
      <c r="A163" s="6"/>
      <c r="U163" s="12"/>
      <c r="V163" s="12"/>
      <c r="W163" s="12"/>
    </row>
    <row r="164" spans="1:38" ht="12" customHeight="1" x14ac:dyDescent="0.15">
      <c r="A164" s="6"/>
      <c r="U164" s="12"/>
      <c r="V164" s="12"/>
      <c r="W164" s="12"/>
    </row>
    <row r="165" spans="1:38" ht="12" customHeight="1" x14ac:dyDescent="0.15">
      <c r="A165" s="6"/>
      <c r="U165" s="12"/>
      <c r="V165" s="12"/>
      <c r="W165" s="12"/>
    </row>
    <row r="166" spans="1:38" ht="12" customHeight="1" x14ac:dyDescent="0.15">
      <c r="A166" s="6"/>
      <c r="U166" s="12"/>
      <c r="V166" s="12"/>
      <c r="W166" s="12"/>
    </row>
    <row r="167" spans="1:38" ht="12" customHeight="1" x14ac:dyDescent="0.15">
      <c r="A167" s="6"/>
      <c r="U167" s="12"/>
      <c r="V167" s="12"/>
      <c r="W167" s="12"/>
    </row>
    <row r="168" spans="1:38" ht="12" customHeight="1" x14ac:dyDescent="0.15">
      <c r="A168" s="6"/>
      <c r="U168" s="12"/>
      <c r="V168" s="12"/>
      <c r="W168" s="12"/>
    </row>
    <row r="169" spans="1:38" ht="12" customHeight="1" x14ac:dyDescent="0.15">
      <c r="A169" s="6"/>
      <c r="U169" s="12"/>
      <c r="V169" s="12"/>
      <c r="W169" s="12"/>
    </row>
    <row r="170" spans="1:38" ht="12" customHeight="1" x14ac:dyDescent="0.15">
      <c r="A170" s="6"/>
      <c r="U170" s="12"/>
      <c r="V170" s="12"/>
      <c r="W170" s="12"/>
    </row>
    <row r="171" spans="1:38" ht="12" customHeight="1" x14ac:dyDescent="0.15">
      <c r="A171" s="6"/>
      <c r="U171" s="12"/>
      <c r="V171" s="12"/>
      <c r="W171" s="12"/>
    </row>
    <row r="172" spans="1:38" ht="12" customHeight="1" x14ac:dyDescent="0.15">
      <c r="A172" s="6"/>
      <c r="U172" s="12"/>
      <c r="V172" s="12"/>
      <c r="W172" s="12"/>
    </row>
    <row r="173" spans="1:38" ht="12" customHeight="1" x14ac:dyDescent="0.15">
      <c r="A173" s="6"/>
      <c r="U173" s="12"/>
      <c r="V173" s="12"/>
      <c r="W173" s="12"/>
    </row>
    <row r="174" spans="1:38" ht="12" customHeight="1" x14ac:dyDescent="0.15">
      <c r="A174" s="6"/>
      <c r="U174" s="12"/>
      <c r="V174" s="12"/>
      <c r="W174" s="12"/>
    </row>
    <row r="175" spans="1:38" ht="12" customHeight="1" x14ac:dyDescent="0.15">
      <c r="A175" s="6"/>
      <c r="U175" s="14"/>
      <c r="V175" s="12"/>
      <c r="W175" s="12"/>
    </row>
    <row r="176" spans="1:38" ht="12" customHeight="1" x14ac:dyDescent="0.15">
      <c r="A176" s="6"/>
      <c r="U176" s="14"/>
      <c r="V176" s="12"/>
      <c r="W176" s="12"/>
    </row>
    <row r="177" spans="1:23" ht="12" customHeight="1" x14ac:dyDescent="0.15">
      <c r="A177" s="6"/>
      <c r="U177" s="14"/>
      <c r="V177" s="12"/>
      <c r="W177" s="12"/>
    </row>
    <row r="178" spans="1:23" ht="12" customHeight="1" x14ac:dyDescent="0.15">
      <c r="A178" s="6"/>
      <c r="U178" s="14"/>
      <c r="V178" s="12"/>
      <c r="W178" s="12"/>
    </row>
    <row r="179" spans="1:23" ht="12" customHeight="1" x14ac:dyDescent="0.15">
      <c r="A179" s="6"/>
      <c r="U179" s="14"/>
      <c r="V179" s="12"/>
      <c r="W179" s="12"/>
    </row>
    <row r="180" spans="1:23" ht="12" customHeight="1" x14ac:dyDescent="0.15">
      <c r="A180" s="6"/>
      <c r="U180" s="14"/>
      <c r="V180" s="12"/>
      <c r="W180" s="12"/>
    </row>
    <row r="181" spans="1:23" ht="12" customHeight="1" x14ac:dyDescent="0.15">
      <c r="A181" s="6"/>
      <c r="U181" s="14"/>
      <c r="V181" s="14"/>
      <c r="W181" s="14"/>
    </row>
    <row r="182" spans="1:23" ht="12" customHeight="1" x14ac:dyDescent="0.15">
      <c r="A182" s="6"/>
      <c r="U182" s="14"/>
      <c r="V182" s="14"/>
      <c r="W182" s="14"/>
    </row>
    <row r="183" spans="1:23" ht="12" customHeight="1" x14ac:dyDescent="0.15">
      <c r="A183" s="6"/>
      <c r="U183" s="14"/>
      <c r="V183" s="14"/>
      <c r="W183" s="14"/>
    </row>
    <row r="184" spans="1:23" ht="12" customHeight="1" x14ac:dyDescent="0.15">
      <c r="A184" s="6"/>
      <c r="U184" s="14"/>
      <c r="V184" s="14"/>
      <c r="W184" s="14"/>
    </row>
    <row r="185" spans="1:23" ht="12" customHeight="1" x14ac:dyDescent="0.15">
      <c r="A185" s="6"/>
      <c r="U185" s="9"/>
      <c r="V185" s="14"/>
      <c r="W185" s="14"/>
    </row>
    <row r="186" spans="1:23" ht="12" customHeight="1" x14ac:dyDescent="0.15">
      <c r="A186" s="6"/>
      <c r="U186" s="9"/>
      <c r="V186" s="14"/>
      <c r="W186" s="14"/>
    </row>
    <row r="187" spans="1:23" ht="12" customHeight="1" x14ac:dyDescent="0.15">
      <c r="A187" s="6"/>
      <c r="U187" s="9"/>
      <c r="V187" s="14"/>
      <c r="W187" s="14"/>
    </row>
    <row r="188" spans="1:23" ht="12" customHeight="1" x14ac:dyDescent="0.15">
      <c r="A188" s="6"/>
      <c r="U188" s="12"/>
      <c r="V188" s="14"/>
      <c r="W188" s="14"/>
    </row>
    <row r="189" spans="1:23" ht="12" customHeight="1" x14ac:dyDescent="0.15">
      <c r="A189" s="6"/>
      <c r="U189" s="12"/>
      <c r="V189" s="14"/>
      <c r="W189" s="14"/>
    </row>
    <row r="190" spans="1:23" ht="12" customHeight="1" x14ac:dyDescent="0.15">
      <c r="A190" s="6"/>
      <c r="U190" s="12"/>
      <c r="V190" s="14"/>
      <c r="W190" s="14"/>
    </row>
    <row r="191" spans="1:23" ht="12" customHeight="1" x14ac:dyDescent="0.15">
      <c r="A191" s="6"/>
      <c r="U191" s="12"/>
      <c r="V191" s="9"/>
      <c r="W191" s="9"/>
    </row>
    <row r="192" spans="1:23" ht="12" customHeight="1" x14ac:dyDescent="0.15">
      <c r="A192" s="6"/>
      <c r="U192" s="9"/>
      <c r="V192" s="9"/>
      <c r="W192" s="9"/>
    </row>
    <row r="193" spans="1:23" ht="12" customHeight="1" x14ac:dyDescent="0.15">
      <c r="A193" s="6"/>
      <c r="U193" s="12"/>
      <c r="V193" s="9"/>
      <c r="W193" s="9"/>
    </row>
    <row r="194" spans="1:23" ht="12" customHeight="1" x14ac:dyDescent="0.15">
      <c r="A194" s="6"/>
      <c r="U194" s="12"/>
      <c r="V194" s="12"/>
      <c r="W194" s="12"/>
    </row>
    <row r="195" spans="1:23" ht="12" customHeight="1" x14ac:dyDescent="0.15">
      <c r="A195" s="6"/>
      <c r="U195" s="9"/>
      <c r="V195" s="12"/>
      <c r="W195" s="12"/>
    </row>
    <row r="196" spans="1:23" ht="12" customHeight="1" x14ac:dyDescent="0.15">
      <c r="A196" s="6"/>
      <c r="U196" s="9"/>
      <c r="V196" s="12"/>
      <c r="W196" s="12"/>
    </row>
    <row r="197" spans="1:23" ht="12" customHeight="1" x14ac:dyDescent="0.15">
      <c r="A197" s="6"/>
      <c r="U197" s="9"/>
      <c r="V197" s="12"/>
      <c r="W197" s="12"/>
    </row>
    <row r="198" spans="1:23" ht="12" customHeight="1" x14ac:dyDescent="0.15">
      <c r="A198" s="6"/>
      <c r="U198" s="9"/>
      <c r="V198" s="9"/>
      <c r="W198" s="9"/>
    </row>
    <row r="199" spans="1:23" ht="12" customHeight="1" x14ac:dyDescent="0.15">
      <c r="A199" s="6"/>
      <c r="U199" s="9"/>
      <c r="V199" s="12"/>
      <c r="W199" s="12"/>
    </row>
    <row r="200" spans="1:23" ht="12" customHeight="1" x14ac:dyDescent="0.15">
      <c r="A200" s="6"/>
      <c r="U200" s="9"/>
      <c r="V200" s="12"/>
      <c r="W200" s="12"/>
    </row>
    <row r="201" spans="1:23" ht="12" customHeight="1" x14ac:dyDescent="0.15">
      <c r="A201" s="6"/>
      <c r="U201" s="9"/>
      <c r="V201" s="9"/>
      <c r="W201" s="9"/>
    </row>
    <row r="202" spans="1:23" ht="12" customHeight="1" x14ac:dyDescent="0.15">
      <c r="A202" s="6"/>
      <c r="U202" s="9"/>
      <c r="V202" s="9"/>
      <c r="W202" s="9"/>
    </row>
    <row r="203" spans="1:23" ht="12" customHeight="1" x14ac:dyDescent="0.15">
      <c r="A203" s="6"/>
      <c r="U203" s="9"/>
      <c r="V203" s="9"/>
      <c r="W203" s="9"/>
    </row>
    <row r="204" spans="1:23" ht="12" customHeight="1" x14ac:dyDescent="0.15">
      <c r="A204" s="6"/>
      <c r="U204" s="9"/>
      <c r="V204" s="9"/>
      <c r="W204" s="9"/>
    </row>
    <row r="205" spans="1:23" ht="12" customHeight="1" x14ac:dyDescent="0.15">
      <c r="A205" s="6"/>
      <c r="U205" s="13"/>
      <c r="V205" s="9"/>
      <c r="W205" s="9"/>
    </row>
    <row r="206" spans="1:23" ht="12" customHeight="1" x14ac:dyDescent="0.15">
      <c r="A206" s="6"/>
      <c r="U206" s="9"/>
      <c r="V206" s="9"/>
      <c r="W206" s="9"/>
    </row>
    <row r="207" spans="1:23" ht="12" customHeight="1" x14ac:dyDescent="0.15">
      <c r="A207" s="6"/>
      <c r="U207" s="12"/>
      <c r="V207" s="9"/>
      <c r="W207" s="9"/>
    </row>
    <row r="208" spans="1:23" ht="12" customHeight="1" x14ac:dyDescent="0.15">
      <c r="A208" s="6"/>
      <c r="U208" s="9"/>
      <c r="V208" s="9"/>
      <c r="W208" s="9"/>
    </row>
    <row r="209" spans="1:23" ht="12" customHeight="1" x14ac:dyDescent="0.15">
      <c r="A209" s="6"/>
      <c r="U209" s="12"/>
      <c r="V209" s="9"/>
      <c r="W209" s="9"/>
    </row>
    <row r="210" spans="1:23" ht="12" customHeight="1" x14ac:dyDescent="0.15">
      <c r="A210" s="6"/>
      <c r="U210" s="12"/>
      <c r="V210" s="9"/>
      <c r="W210" s="9"/>
    </row>
    <row r="211" spans="1:23" ht="12" customHeight="1" x14ac:dyDescent="0.15">
      <c r="A211" s="6"/>
      <c r="U211" s="9"/>
      <c r="V211" s="13"/>
      <c r="W211" s="13"/>
    </row>
    <row r="212" spans="1:23" ht="12" customHeight="1" x14ac:dyDescent="0.15">
      <c r="A212" s="6"/>
      <c r="U212" s="13"/>
      <c r="V212" s="9"/>
      <c r="W212" s="9"/>
    </row>
    <row r="213" spans="1:23" ht="12" customHeight="1" x14ac:dyDescent="0.15">
      <c r="A213" s="6"/>
      <c r="U213" s="13"/>
      <c r="V213" s="12"/>
      <c r="W213" s="12"/>
    </row>
    <row r="214" spans="1:23" ht="12" customHeight="1" x14ac:dyDescent="0.15">
      <c r="A214" s="6"/>
      <c r="U214" s="13"/>
      <c r="V214" s="9"/>
      <c r="W214" s="9"/>
    </row>
    <row r="215" spans="1:23" ht="12" customHeight="1" x14ac:dyDescent="0.15">
      <c r="A215" s="6"/>
      <c r="U215" s="13"/>
      <c r="V215" s="12"/>
      <c r="W215" s="12"/>
    </row>
    <row r="216" spans="1:23" ht="12" customHeight="1" x14ac:dyDescent="0.15">
      <c r="A216" s="6"/>
      <c r="U216" s="13"/>
      <c r="V216" s="12"/>
      <c r="W216" s="12"/>
    </row>
    <row r="217" spans="1:23" ht="12" customHeight="1" x14ac:dyDescent="0.15">
      <c r="A217" s="6"/>
      <c r="U217" s="13"/>
      <c r="V217" s="9"/>
      <c r="W217" s="9"/>
    </row>
    <row r="218" spans="1:23" ht="12" customHeight="1" x14ac:dyDescent="0.15">
      <c r="A218" s="6"/>
      <c r="U218" s="13"/>
      <c r="V218" s="13"/>
      <c r="W218" s="13"/>
    </row>
    <row r="219" spans="1:23" ht="12" customHeight="1" x14ac:dyDescent="0.15">
      <c r="A219" s="6"/>
      <c r="U219" s="14"/>
      <c r="V219" s="13"/>
      <c r="W219" s="13"/>
    </row>
    <row r="220" spans="1:23" ht="12" customHeight="1" x14ac:dyDescent="0.15">
      <c r="A220" s="6"/>
      <c r="U220" s="14"/>
      <c r="V220" s="13"/>
      <c r="W220" s="13"/>
    </row>
    <row r="221" spans="1:23" ht="12" customHeight="1" x14ac:dyDescent="0.15">
      <c r="A221" s="6"/>
      <c r="U221" s="14"/>
      <c r="V221" s="13"/>
      <c r="W221" s="13"/>
    </row>
    <row r="222" spans="1:23" ht="12" customHeight="1" x14ac:dyDescent="0.15">
      <c r="A222" s="6"/>
      <c r="V222" s="13"/>
      <c r="W222" s="13"/>
    </row>
    <row r="223" spans="1:23" ht="12" customHeight="1" x14ac:dyDescent="0.15">
      <c r="A223" s="6"/>
      <c r="V223" s="13"/>
      <c r="W223" s="13"/>
    </row>
    <row r="224" spans="1:23" ht="12" customHeight="1" x14ac:dyDescent="0.15">
      <c r="A224" s="6"/>
      <c r="V224" s="13"/>
      <c r="W224" s="13"/>
    </row>
    <row r="225" spans="1:38" ht="12" customHeight="1" x14ac:dyDescent="0.15">
      <c r="A225" s="6"/>
      <c r="V225" s="14"/>
      <c r="W225" s="14"/>
      <c r="AF225" s="30"/>
      <c r="AG225" s="30"/>
      <c r="AK225" s="30"/>
      <c r="AL225" s="30"/>
    </row>
    <row r="226" spans="1:38" ht="12" customHeight="1" x14ac:dyDescent="0.15">
      <c r="A226" s="6"/>
      <c r="V226" s="14"/>
      <c r="W226" s="14"/>
      <c r="AF226" s="30"/>
      <c r="AG226" s="30"/>
      <c r="AK226" s="30"/>
      <c r="AL226" s="30"/>
    </row>
    <row r="227" spans="1:38" ht="12" customHeight="1" x14ac:dyDescent="0.15">
      <c r="A227" s="6"/>
      <c r="V227" s="14"/>
      <c r="W227" s="14"/>
      <c r="AF227" s="30"/>
      <c r="AG227" s="30"/>
      <c r="AK227" s="30"/>
      <c r="AL227" s="30"/>
    </row>
    <row r="228" spans="1:38" ht="12" customHeight="1" x14ac:dyDescent="0.15">
      <c r="A228" s="6"/>
      <c r="AF228" s="30"/>
      <c r="AG228" s="30"/>
      <c r="AK228" s="30"/>
      <c r="AL228" s="30"/>
    </row>
    <row r="229" spans="1:38" ht="12" customHeight="1" x14ac:dyDescent="0.15">
      <c r="A229" s="6"/>
      <c r="AF229" s="30"/>
      <c r="AG229" s="30"/>
      <c r="AK229" s="30"/>
      <c r="AL229" s="30"/>
    </row>
    <row r="230" spans="1:38" ht="12" customHeight="1" x14ac:dyDescent="0.15">
      <c r="A230" s="6"/>
      <c r="AF230" s="30"/>
      <c r="AG230" s="30"/>
      <c r="AK230" s="30"/>
      <c r="AL230" s="30"/>
    </row>
    <row r="231" spans="1:38" ht="12" customHeight="1" x14ac:dyDescent="0.15">
      <c r="A231" s="6"/>
      <c r="AF231" s="30"/>
      <c r="AG231" s="30"/>
      <c r="AK231" s="30"/>
      <c r="AL231" s="30"/>
    </row>
    <row r="232" spans="1:38" ht="12" customHeight="1" x14ac:dyDescent="0.15">
      <c r="A232" s="6"/>
      <c r="AF232" s="30"/>
      <c r="AG232" s="30"/>
      <c r="AK232" s="30"/>
      <c r="AL232" s="30"/>
    </row>
    <row r="233" spans="1:38" ht="12" customHeight="1" x14ac:dyDescent="0.15">
      <c r="A233" s="6"/>
      <c r="AF233" s="30"/>
      <c r="AG233" s="30"/>
      <c r="AK233" s="30"/>
      <c r="AL233" s="30"/>
    </row>
    <row r="234" spans="1:38" ht="12" customHeight="1" x14ac:dyDescent="0.15">
      <c r="A234" s="6"/>
      <c r="AF234" s="30"/>
      <c r="AG234" s="30"/>
      <c r="AK234" s="30"/>
      <c r="AL234" s="30"/>
    </row>
    <row r="235" spans="1:38" ht="12" customHeight="1" x14ac:dyDescent="0.15">
      <c r="A235" s="6"/>
      <c r="AF235" s="30"/>
      <c r="AG235" s="30"/>
      <c r="AK235" s="30"/>
      <c r="AL235" s="30"/>
    </row>
    <row r="236" spans="1:38" ht="12" customHeight="1" x14ac:dyDescent="0.15">
      <c r="A236" s="6"/>
      <c r="AF236" s="30"/>
      <c r="AG236" s="30"/>
      <c r="AK236" s="30"/>
      <c r="AL236" s="30"/>
    </row>
    <row r="237" spans="1:38" ht="12" customHeight="1" x14ac:dyDescent="0.15">
      <c r="A237" s="6"/>
      <c r="AF237" s="30"/>
      <c r="AG237" s="30"/>
      <c r="AK237" s="30"/>
      <c r="AL237" s="30"/>
    </row>
    <row r="238" spans="1:38" ht="12" customHeight="1" x14ac:dyDescent="0.15">
      <c r="A238" s="6"/>
      <c r="AF238" s="30"/>
      <c r="AG238" s="30"/>
      <c r="AK238" s="30"/>
      <c r="AL238" s="30"/>
    </row>
    <row r="239" spans="1:38" ht="12" customHeight="1" x14ac:dyDescent="0.15">
      <c r="A239" s="6"/>
      <c r="AF239" s="30"/>
      <c r="AG239" s="30"/>
      <c r="AK239" s="30"/>
      <c r="AL239" s="30"/>
    </row>
    <row r="240" spans="1:38" ht="12" customHeight="1" x14ac:dyDescent="0.15">
      <c r="A240" s="6"/>
      <c r="AF240" s="30"/>
      <c r="AG240" s="30"/>
      <c r="AK240" s="30"/>
      <c r="AL240" s="30"/>
    </row>
    <row r="241" spans="1:38" ht="12" customHeight="1" x14ac:dyDescent="0.15">
      <c r="A241" s="6"/>
    </row>
    <row r="242" spans="1:38" ht="12" customHeight="1" x14ac:dyDescent="0.15">
      <c r="A242" s="6"/>
      <c r="AF242" s="30"/>
      <c r="AG242" s="30"/>
      <c r="AK242" s="30"/>
      <c r="AL242" s="30"/>
    </row>
    <row r="243" spans="1:38" ht="12" customHeight="1" x14ac:dyDescent="0.15">
      <c r="A243" s="6"/>
      <c r="AF243" s="30"/>
      <c r="AG243" s="30"/>
      <c r="AK243" s="30"/>
      <c r="AL243" s="30"/>
    </row>
    <row r="244" spans="1:38" ht="12" customHeight="1" x14ac:dyDescent="0.15">
      <c r="A244" s="6"/>
      <c r="AF244" s="30"/>
      <c r="AG244" s="30"/>
      <c r="AK244" s="30"/>
      <c r="AL244" s="30"/>
    </row>
    <row r="245" spans="1:38" ht="12" customHeight="1" x14ac:dyDescent="0.15">
      <c r="A245" s="6"/>
      <c r="AF245" s="30"/>
      <c r="AG245" s="30"/>
      <c r="AK245" s="30"/>
      <c r="AL245" s="30"/>
    </row>
    <row r="246" spans="1:38" ht="12" customHeight="1" x14ac:dyDescent="0.15">
      <c r="A246" s="6"/>
      <c r="AF246" s="30"/>
      <c r="AG246" s="30"/>
      <c r="AK246" s="30"/>
      <c r="AL246" s="30"/>
    </row>
    <row r="247" spans="1:38" ht="12" customHeight="1" x14ac:dyDescent="0.15">
      <c r="A247" s="6"/>
      <c r="AF247" s="30"/>
      <c r="AG247" s="30"/>
      <c r="AK247" s="30"/>
      <c r="AL247" s="30"/>
    </row>
    <row r="248" spans="1:38" ht="12" customHeight="1" x14ac:dyDescent="0.15">
      <c r="A248" s="6"/>
      <c r="AF248" s="30"/>
      <c r="AG248" s="30"/>
      <c r="AK248" s="30"/>
      <c r="AL248" s="30"/>
    </row>
    <row r="249" spans="1:38" ht="12" customHeight="1" x14ac:dyDescent="0.15">
      <c r="A249" s="6"/>
      <c r="AF249" s="30"/>
      <c r="AG249" s="30"/>
      <c r="AK249" s="30"/>
      <c r="AL249" s="30"/>
    </row>
    <row r="250" spans="1:38" ht="12" customHeight="1" x14ac:dyDescent="0.15">
      <c r="A250" s="6"/>
      <c r="AF250" s="30"/>
      <c r="AG250" s="30"/>
      <c r="AK250" s="30"/>
      <c r="AL250" s="30"/>
    </row>
    <row r="251" spans="1:38" ht="12" customHeight="1" x14ac:dyDescent="0.15">
      <c r="A251" s="6"/>
    </row>
    <row r="252" spans="1:38" ht="12" customHeight="1" x14ac:dyDescent="0.15">
      <c r="A252" s="6"/>
    </row>
    <row r="253" spans="1:38" ht="12" customHeight="1" x14ac:dyDescent="0.15">
      <c r="A253" s="6"/>
    </row>
    <row r="254" spans="1:38" ht="12" customHeight="1" x14ac:dyDescent="0.15">
      <c r="A254" s="6"/>
    </row>
    <row r="255" spans="1:38" ht="12" customHeight="1" x14ac:dyDescent="0.15">
      <c r="A255" s="6"/>
    </row>
    <row r="256" spans="1:38" ht="12" customHeight="1" x14ac:dyDescent="0.15">
      <c r="A256" s="6"/>
    </row>
    <row r="257" spans="1:37" ht="12" customHeight="1" x14ac:dyDescent="0.15">
      <c r="A257" s="6"/>
      <c r="AF257" s="30"/>
      <c r="AG257" s="30"/>
    </row>
    <row r="258" spans="1:37" ht="12" customHeight="1" x14ac:dyDescent="0.15">
      <c r="A258" s="6"/>
      <c r="AF258" s="40"/>
      <c r="AG258" s="30"/>
      <c r="AK258" s="30"/>
    </row>
    <row r="259" spans="1:37" ht="12" customHeight="1" x14ac:dyDescent="0.15">
      <c r="A259" s="6"/>
      <c r="AF259" s="30"/>
      <c r="AG259" s="30"/>
      <c r="AK259" s="30"/>
    </row>
    <row r="260" spans="1:37" ht="12" customHeight="1" x14ac:dyDescent="0.15">
      <c r="A260" s="6"/>
      <c r="AF260" s="30"/>
      <c r="AG260" s="30"/>
      <c r="AK260" s="30"/>
    </row>
    <row r="261" spans="1:37" ht="12" customHeight="1" x14ac:dyDescent="0.15">
      <c r="A261" s="6"/>
      <c r="AF261" s="30"/>
      <c r="AG261" s="30"/>
      <c r="AK261" s="30"/>
    </row>
    <row r="262" spans="1:37" ht="12" customHeight="1" x14ac:dyDescent="0.15">
      <c r="A262" s="6"/>
      <c r="AF262" s="30"/>
      <c r="AG262" s="30"/>
      <c r="AK262" s="30"/>
    </row>
    <row r="263" spans="1:37" ht="12" customHeight="1" x14ac:dyDescent="0.15">
      <c r="A263" s="6"/>
      <c r="AF263" s="30"/>
      <c r="AG263" s="30"/>
      <c r="AK263" s="30"/>
    </row>
    <row r="264" spans="1:37" ht="12" customHeight="1" x14ac:dyDescent="0.15">
      <c r="A264" s="6"/>
      <c r="AF264" s="30"/>
      <c r="AH264" s="61"/>
      <c r="AI264" s="61"/>
      <c r="AJ264" s="61"/>
    </row>
    <row r="265" spans="1:37" ht="12" customHeight="1" x14ac:dyDescent="0.15">
      <c r="A265" s="6"/>
      <c r="AF265" s="30"/>
      <c r="AH265" s="61"/>
      <c r="AI265" s="61"/>
      <c r="AJ265" s="61"/>
    </row>
    <row r="266" spans="1:37" ht="12" customHeight="1" x14ac:dyDescent="0.15">
      <c r="A266" s="6"/>
      <c r="AF266" s="30"/>
      <c r="AH266" s="61"/>
      <c r="AI266" s="61"/>
      <c r="AJ266" s="61"/>
    </row>
    <row r="267" spans="1:37" ht="12" customHeight="1" x14ac:dyDescent="0.15">
      <c r="A267" s="6"/>
      <c r="AF267" s="30"/>
      <c r="AH267" s="61"/>
      <c r="AI267" s="61"/>
      <c r="AJ267" s="61"/>
    </row>
    <row r="268" spans="1:37" ht="12" customHeight="1" x14ac:dyDescent="0.15">
      <c r="A268" s="6"/>
      <c r="AF268" s="30"/>
      <c r="AH268" s="61"/>
      <c r="AI268" s="61"/>
      <c r="AJ268" s="61"/>
    </row>
    <row r="269" spans="1:37" ht="12" customHeight="1" x14ac:dyDescent="0.15">
      <c r="A269" s="6"/>
      <c r="AF269" s="30"/>
      <c r="AH269" s="61"/>
      <c r="AI269" s="61"/>
      <c r="AJ269" s="61"/>
    </row>
    <row r="270" spans="1:37" ht="12" customHeight="1" x14ac:dyDescent="0.15">
      <c r="A270" s="6"/>
      <c r="AF270" s="30"/>
      <c r="AH270" s="61"/>
      <c r="AI270" s="61"/>
      <c r="AJ270" s="61"/>
    </row>
    <row r="271" spans="1:37" ht="12" customHeight="1" x14ac:dyDescent="0.15">
      <c r="A271" s="6"/>
      <c r="AF271" s="30"/>
      <c r="AH271" s="61"/>
      <c r="AI271" s="61"/>
      <c r="AJ271" s="61"/>
    </row>
    <row r="272" spans="1:37" ht="12" customHeight="1" x14ac:dyDescent="0.15">
      <c r="A272" s="6"/>
    </row>
    <row r="273" spans="1:1" ht="12" customHeight="1" x14ac:dyDescent="0.15">
      <c r="A273" s="6"/>
    </row>
    <row r="274" spans="1:1" ht="12" customHeight="1" x14ac:dyDescent="0.15">
      <c r="A274" s="6"/>
    </row>
    <row r="275" spans="1:1" ht="12" customHeight="1" x14ac:dyDescent="0.15">
      <c r="A275" s="6"/>
    </row>
    <row r="276" spans="1:1" ht="12" customHeight="1" x14ac:dyDescent="0.15">
      <c r="A276" s="6"/>
    </row>
    <row r="277" spans="1:1" ht="12" customHeight="1" x14ac:dyDescent="0.15">
      <c r="A277" s="6"/>
    </row>
    <row r="278" spans="1:1" ht="12" customHeight="1" x14ac:dyDescent="0.15">
      <c r="A278" s="6"/>
    </row>
    <row r="279" spans="1:1" ht="12" customHeight="1" x14ac:dyDescent="0.15">
      <c r="A279" s="6"/>
    </row>
    <row r="280" spans="1:1" ht="12" customHeight="1" x14ac:dyDescent="0.15">
      <c r="A280" s="6"/>
    </row>
    <row r="281" spans="1:1" ht="12" customHeight="1" x14ac:dyDescent="0.15">
      <c r="A281" s="6"/>
    </row>
    <row r="282" spans="1:1" ht="12" customHeight="1" x14ac:dyDescent="0.15">
      <c r="A282" s="6"/>
    </row>
    <row r="283" spans="1:1" ht="12" customHeight="1" x14ac:dyDescent="0.15">
      <c r="A283" s="6"/>
    </row>
    <row r="284" spans="1:1" ht="12" customHeight="1" x14ac:dyDescent="0.15">
      <c r="A284" s="6"/>
    </row>
    <row r="285" spans="1:1" ht="12" customHeight="1" x14ac:dyDescent="0.15">
      <c r="A285" s="6"/>
    </row>
    <row r="286" spans="1:1" ht="12" customHeight="1" x14ac:dyDescent="0.15">
      <c r="A286" s="6"/>
    </row>
    <row r="287" spans="1:1" ht="11.25" customHeight="1" x14ac:dyDescent="0.15">
      <c r="A287" s="6"/>
    </row>
    <row r="288" spans="1:1" ht="12" customHeight="1" x14ac:dyDescent="0.15">
      <c r="A288" s="6"/>
    </row>
    <row r="289" spans="1:38" ht="12" customHeight="1" x14ac:dyDescent="0.15">
      <c r="A289" s="6"/>
    </row>
    <row r="290" spans="1:38" ht="12" customHeight="1" x14ac:dyDescent="0.15">
      <c r="A290" s="6"/>
    </row>
    <row r="291" spans="1:38" ht="12" customHeight="1" x14ac:dyDescent="0.15">
      <c r="A291" s="6"/>
    </row>
    <row r="292" spans="1:38" ht="12" customHeight="1" x14ac:dyDescent="0.15">
      <c r="A292" s="6"/>
    </row>
    <row r="293" spans="1:38" ht="12" customHeight="1" x14ac:dyDescent="0.15">
      <c r="A293" s="6"/>
    </row>
    <row r="294" spans="1:38" ht="12" customHeight="1" x14ac:dyDescent="0.15">
      <c r="A294" s="6"/>
    </row>
    <row r="295" spans="1:38" ht="12" customHeight="1" x14ac:dyDescent="0.15">
      <c r="A295" s="6"/>
    </row>
    <row r="296" spans="1:38" ht="12" customHeight="1" x14ac:dyDescent="0.15">
      <c r="A296" s="6"/>
    </row>
    <row r="297" spans="1:38" ht="12" customHeight="1" x14ac:dyDescent="0.15">
      <c r="A297" s="6"/>
    </row>
    <row r="298" spans="1:38" ht="12" customHeight="1" x14ac:dyDescent="0.15">
      <c r="A298" s="6"/>
    </row>
    <row r="299" spans="1:38" ht="12" customHeight="1" x14ac:dyDescent="0.15">
      <c r="A299" s="6"/>
    </row>
    <row r="300" spans="1:38" ht="12" customHeight="1" x14ac:dyDescent="0.15">
      <c r="A300" s="6"/>
      <c r="AF300" s="6"/>
      <c r="AG300" s="6"/>
      <c r="AH300" s="6"/>
      <c r="AI300" s="6"/>
      <c r="AJ300" s="6"/>
      <c r="AK300" s="6"/>
      <c r="AL300" s="6"/>
    </row>
    <row r="301" spans="1:38" ht="12" customHeight="1" x14ac:dyDescent="0.15">
      <c r="A301" s="6"/>
    </row>
    <row r="302" spans="1:38" ht="12" customHeight="1" x14ac:dyDescent="0.15">
      <c r="A302" s="6"/>
    </row>
    <row r="303" spans="1:38" ht="12" customHeight="1" x14ac:dyDescent="0.15">
      <c r="A303" s="6"/>
    </row>
    <row r="304" spans="1:38" ht="12" customHeight="1" x14ac:dyDescent="0.15">
      <c r="A304" s="6"/>
    </row>
    <row r="305" spans="1:1" ht="12" customHeight="1" x14ac:dyDescent="0.15">
      <c r="A305" s="6"/>
    </row>
    <row r="306" spans="1:1" ht="12" customHeight="1" x14ac:dyDescent="0.15">
      <c r="A306" s="6"/>
    </row>
    <row r="307" spans="1:1" ht="12" customHeight="1" x14ac:dyDescent="0.15">
      <c r="A307" s="6"/>
    </row>
    <row r="308" spans="1:1" ht="12" customHeight="1" x14ac:dyDescent="0.15">
      <c r="A308" s="6"/>
    </row>
    <row r="309" spans="1:1" ht="12" customHeight="1" x14ac:dyDescent="0.15">
      <c r="A309" s="6"/>
    </row>
    <row r="310" spans="1:1" ht="12" customHeight="1" x14ac:dyDescent="0.15">
      <c r="A310" s="6"/>
    </row>
    <row r="311" spans="1:1" ht="12" customHeight="1" x14ac:dyDescent="0.15">
      <c r="A311" s="6"/>
    </row>
    <row r="312" spans="1:1" ht="12" customHeight="1" x14ac:dyDescent="0.15">
      <c r="A312" s="6"/>
    </row>
    <row r="313" spans="1:1" ht="12" customHeight="1" x14ac:dyDescent="0.15">
      <c r="A313" s="6"/>
    </row>
    <row r="314" spans="1:1" ht="12" customHeight="1" x14ac:dyDescent="0.15">
      <c r="A314" s="6"/>
    </row>
    <row r="315" spans="1:1" ht="12" customHeight="1" x14ac:dyDescent="0.15">
      <c r="A315" s="6"/>
    </row>
    <row r="316" spans="1:1" ht="12" customHeight="1" x14ac:dyDescent="0.15">
      <c r="A316" s="6"/>
    </row>
    <row r="317" spans="1:1" ht="12" customHeight="1" x14ac:dyDescent="0.15">
      <c r="A317" s="6"/>
    </row>
    <row r="318" spans="1:1" ht="12" customHeight="1" x14ac:dyDescent="0.15">
      <c r="A318" s="6"/>
    </row>
    <row r="319" spans="1:1" ht="12" customHeight="1" x14ac:dyDescent="0.15">
      <c r="A319" s="6"/>
    </row>
    <row r="320" spans="1:1" ht="12" customHeight="1" x14ac:dyDescent="0.15">
      <c r="A320" s="6"/>
    </row>
    <row r="321" spans="1:1" ht="12" customHeight="1" x14ac:dyDescent="0.15">
      <c r="A321" s="6"/>
    </row>
    <row r="322" spans="1:1" ht="12" customHeight="1" x14ac:dyDescent="0.15">
      <c r="A322" s="6"/>
    </row>
    <row r="323" spans="1:1" ht="12" customHeight="1" x14ac:dyDescent="0.15">
      <c r="A323" s="6"/>
    </row>
    <row r="324" spans="1:1" ht="12" customHeight="1" x14ac:dyDescent="0.15">
      <c r="A324" s="6"/>
    </row>
    <row r="325" spans="1:1" ht="12" customHeight="1" x14ac:dyDescent="0.15">
      <c r="A325" s="6"/>
    </row>
    <row r="326" spans="1:1" ht="12" customHeight="1" x14ac:dyDescent="0.15">
      <c r="A326" s="6"/>
    </row>
    <row r="327" spans="1:1" ht="12" customHeight="1" x14ac:dyDescent="0.15">
      <c r="A327" s="6"/>
    </row>
    <row r="328" spans="1:1" ht="12" customHeight="1" x14ac:dyDescent="0.15">
      <c r="A328" s="6"/>
    </row>
    <row r="329" spans="1:1" ht="12" customHeight="1" x14ac:dyDescent="0.15">
      <c r="A329" s="6"/>
    </row>
    <row r="330" spans="1:1" ht="12" customHeight="1" x14ac:dyDescent="0.15">
      <c r="A330" s="6"/>
    </row>
    <row r="331" spans="1:1" ht="12" customHeight="1" x14ac:dyDescent="0.15">
      <c r="A331" s="6"/>
    </row>
    <row r="332" spans="1:1" ht="12" customHeight="1" x14ac:dyDescent="0.15">
      <c r="A332" s="6"/>
    </row>
    <row r="333" spans="1:1" ht="12" customHeight="1" x14ac:dyDescent="0.15">
      <c r="A333" s="6"/>
    </row>
    <row r="334" spans="1:1" ht="12" customHeight="1" x14ac:dyDescent="0.15">
      <c r="A334" s="6"/>
    </row>
    <row r="335" spans="1:1" ht="12" customHeight="1" x14ac:dyDescent="0.15">
      <c r="A335" s="6"/>
    </row>
    <row r="336" spans="1:1" ht="12" customHeight="1" x14ac:dyDescent="0.15">
      <c r="A336" s="6"/>
    </row>
    <row r="337" spans="1:1" ht="12" customHeight="1" x14ac:dyDescent="0.15">
      <c r="A337" s="6"/>
    </row>
    <row r="338" spans="1:1" ht="12" customHeight="1" x14ac:dyDescent="0.15">
      <c r="A338" s="6"/>
    </row>
    <row r="339" spans="1:1" ht="12" customHeight="1" x14ac:dyDescent="0.15">
      <c r="A339" s="6"/>
    </row>
    <row r="340" spans="1:1" ht="12" customHeight="1" x14ac:dyDescent="0.15">
      <c r="A340" s="6"/>
    </row>
    <row r="341" spans="1:1" ht="12" customHeight="1" x14ac:dyDescent="0.15">
      <c r="A341" s="6"/>
    </row>
    <row r="342" spans="1:1" ht="12" customHeight="1" x14ac:dyDescent="0.15">
      <c r="A342" s="6"/>
    </row>
    <row r="343" spans="1:1" ht="12" customHeight="1" x14ac:dyDescent="0.15">
      <c r="A343" s="6"/>
    </row>
    <row r="344" spans="1:1" ht="12" customHeight="1" x14ac:dyDescent="0.15">
      <c r="A344" s="6"/>
    </row>
    <row r="345" spans="1:1" ht="12" customHeight="1" x14ac:dyDescent="0.15">
      <c r="A345" s="6"/>
    </row>
    <row r="346" spans="1:1" ht="12" customHeight="1" x14ac:dyDescent="0.15">
      <c r="A346" s="6"/>
    </row>
    <row r="347" spans="1:1" ht="12" customHeight="1" x14ac:dyDescent="0.15">
      <c r="A347" s="6"/>
    </row>
    <row r="348" spans="1:1" ht="12" customHeight="1" x14ac:dyDescent="0.15">
      <c r="A348" s="6"/>
    </row>
    <row r="349" spans="1:1" ht="12" customHeight="1" x14ac:dyDescent="0.15">
      <c r="A349" s="6"/>
    </row>
    <row r="350" spans="1:1" ht="12" customHeight="1" x14ac:dyDescent="0.15">
      <c r="A350" s="6"/>
    </row>
    <row r="351" spans="1:1" ht="12" customHeight="1" x14ac:dyDescent="0.15">
      <c r="A351" s="6"/>
    </row>
    <row r="352" spans="1:1" ht="12" customHeight="1" x14ac:dyDescent="0.15">
      <c r="A352" s="6"/>
    </row>
    <row r="353" spans="1:1" ht="12" customHeight="1" x14ac:dyDescent="0.15">
      <c r="A353" s="6"/>
    </row>
    <row r="354" spans="1:1" ht="12" customHeight="1" x14ac:dyDescent="0.15">
      <c r="A354" s="6"/>
    </row>
    <row r="355" spans="1:1" ht="12" customHeight="1" x14ac:dyDescent="0.15">
      <c r="A355" s="6"/>
    </row>
    <row r="356" spans="1:1" ht="12" customHeight="1" x14ac:dyDescent="0.15">
      <c r="A356" s="6"/>
    </row>
    <row r="357" spans="1:1" ht="12" customHeight="1" x14ac:dyDescent="0.15">
      <c r="A357" s="6"/>
    </row>
    <row r="358" spans="1:1" ht="12" customHeight="1" x14ac:dyDescent="0.15">
      <c r="A358" s="6"/>
    </row>
    <row r="359" spans="1:1" ht="12" customHeight="1" x14ac:dyDescent="0.15">
      <c r="A359" s="6"/>
    </row>
    <row r="360" spans="1:1" ht="12" customHeight="1" x14ac:dyDescent="0.15">
      <c r="A360" s="6"/>
    </row>
    <row r="361" spans="1:1" ht="12" customHeight="1" x14ac:dyDescent="0.15">
      <c r="A361" s="6"/>
    </row>
    <row r="362" spans="1:1" ht="12" customHeight="1" x14ac:dyDescent="0.15">
      <c r="A362" s="6"/>
    </row>
    <row r="363" spans="1:1" ht="12" customHeight="1" x14ac:dyDescent="0.15">
      <c r="A363" s="6"/>
    </row>
    <row r="364" spans="1:1" ht="12" customHeight="1" x14ac:dyDescent="0.15">
      <c r="A364" s="6"/>
    </row>
    <row r="365" spans="1:1" ht="12" customHeight="1" x14ac:dyDescent="0.15">
      <c r="A365" s="6"/>
    </row>
    <row r="366" spans="1:1" ht="12" customHeight="1" x14ac:dyDescent="0.15">
      <c r="A366" s="6"/>
    </row>
    <row r="367" spans="1:1" ht="12" customHeight="1" x14ac:dyDescent="0.15">
      <c r="A367" s="6"/>
    </row>
    <row r="368" spans="1:1" ht="12" customHeight="1" x14ac:dyDescent="0.15">
      <c r="A368" s="6"/>
    </row>
    <row r="369" spans="1:1" ht="12" customHeight="1" x14ac:dyDescent="0.15">
      <c r="A369" s="6"/>
    </row>
    <row r="370" spans="1:1" ht="12" customHeight="1" x14ac:dyDescent="0.15">
      <c r="A370" s="6"/>
    </row>
    <row r="371" spans="1:1" ht="12" customHeight="1" x14ac:dyDescent="0.15">
      <c r="A371" s="6"/>
    </row>
    <row r="372" spans="1:1" ht="12" customHeight="1" x14ac:dyDescent="0.15">
      <c r="A372" s="6"/>
    </row>
    <row r="373" spans="1:1" ht="12" customHeight="1" x14ac:dyDescent="0.15">
      <c r="A373" s="6"/>
    </row>
    <row r="374" spans="1:1" ht="12" customHeight="1" x14ac:dyDescent="0.15">
      <c r="A374" s="6"/>
    </row>
    <row r="375" spans="1:1" ht="12" customHeight="1" x14ac:dyDescent="0.15">
      <c r="A375" s="6"/>
    </row>
    <row r="376" spans="1:1" ht="12" customHeight="1" x14ac:dyDescent="0.15">
      <c r="A376" s="6"/>
    </row>
    <row r="377" spans="1:1" ht="12" customHeight="1" x14ac:dyDescent="0.15">
      <c r="A377" s="6"/>
    </row>
    <row r="378" spans="1:1" ht="12" customHeight="1" x14ac:dyDescent="0.15">
      <c r="A378" s="6"/>
    </row>
    <row r="379" spans="1:1" ht="12" customHeight="1" x14ac:dyDescent="0.15">
      <c r="A379" s="6"/>
    </row>
    <row r="380" spans="1:1" ht="12" customHeight="1" x14ac:dyDescent="0.15">
      <c r="A380" s="6"/>
    </row>
    <row r="381" spans="1:1" ht="12" customHeight="1" x14ac:dyDescent="0.15">
      <c r="A381" s="6"/>
    </row>
    <row r="382" spans="1:1" ht="12" customHeight="1" x14ac:dyDescent="0.15">
      <c r="A382" s="6"/>
    </row>
    <row r="383" spans="1:1" ht="12" customHeight="1" x14ac:dyDescent="0.15">
      <c r="A383" s="6"/>
    </row>
    <row r="384" spans="1:1" ht="12" customHeight="1" x14ac:dyDescent="0.15">
      <c r="A384" s="6"/>
    </row>
    <row r="385" spans="1:1" ht="12" customHeight="1" x14ac:dyDescent="0.15">
      <c r="A385" s="6"/>
    </row>
    <row r="386" spans="1:1" ht="12" customHeight="1" x14ac:dyDescent="0.15">
      <c r="A386" s="6"/>
    </row>
    <row r="387" spans="1:1" ht="12" customHeight="1" x14ac:dyDescent="0.15">
      <c r="A387" s="6"/>
    </row>
    <row r="388" spans="1:1" ht="12" customHeight="1" x14ac:dyDescent="0.15">
      <c r="A388" s="6"/>
    </row>
    <row r="389" spans="1:1" ht="12" customHeight="1" x14ac:dyDescent="0.15">
      <c r="A389" s="6"/>
    </row>
    <row r="390" spans="1:1" ht="12" customHeight="1" x14ac:dyDescent="0.15">
      <c r="A390" s="6"/>
    </row>
    <row r="391" spans="1:1" ht="12" customHeight="1" x14ac:dyDescent="0.15">
      <c r="A391" s="6"/>
    </row>
    <row r="392" spans="1:1" ht="12" customHeight="1" x14ac:dyDescent="0.15">
      <c r="A392" s="6"/>
    </row>
    <row r="393" spans="1:1" ht="12" customHeight="1" x14ac:dyDescent="0.15">
      <c r="A393" s="6"/>
    </row>
    <row r="394" spans="1:1" ht="12" customHeight="1" x14ac:dyDescent="0.15">
      <c r="A394" s="6"/>
    </row>
    <row r="395" spans="1:1" ht="12" customHeight="1" x14ac:dyDescent="0.15">
      <c r="A395" s="6"/>
    </row>
    <row r="396" spans="1:1" ht="12" customHeight="1" x14ac:dyDescent="0.15">
      <c r="A396" s="6"/>
    </row>
    <row r="397" spans="1:1" ht="12" customHeight="1" x14ac:dyDescent="0.15">
      <c r="A397" s="6"/>
    </row>
    <row r="398" spans="1:1" ht="12" customHeight="1" x14ac:dyDescent="0.15">
      <c r="A398" s="6"/>
    </row>
    <row r="399" spans="1:1" ht="12" customHeight="1" x14ac:dyDescent="0.15">
      <c r="A399" s="6"/>
    </row>
    <row r="400" spans="1:1" ht="12" customHeight="1" x14ac:dyDescent="0.15">
      <c r="A400" s="6"/>
    </row>
    <row r="401" spans="1:1" ht="12" customHeight="1" x14ac:dyDescent="0.15">
      <c r="A401" s="6"/>
    </row>
    <row r="402" spans="1:1" ht="12" customHeight="1" x14ac:dyDescent="0.15">
      <c r="A402" s="6"/>
    </row>
    <row r="403" spans="1:1" ht="12" customHeight="1" x14ac:dyDescent="0.15">
      <c r="A403" s="6"/>
    </row>
    <row r="404" spans="1:1" ht="12" customHeight="1" x14ac:dyDescent="0.15">
      <c r="A404" s="6"/>
    </row>
    <row r="405" spans="1:1" ht="12" customHeight="1" x14ac:dyDescent="0.15">
      <c r="A405" s="6"/>
    </row>
    <row r="406" spans="1:1" ht="12" customHeight="1" x14ac:dyDescent="0.15">
      <c r="A406" s="6"/>
    </row>
    <row r="407" spans="1:1" ht="12" customHeight="1" x14ac:dyDescent="0.15">
      <c r="A407" s="6"/>
    </row>
    <row r="408" spans="1:1" ht="12" customHeight="1" x14ac:dyDescent="0.15">
      <c r="A408" s="6"/>
    </row>
    <row r="409" spans="1:1" ht="12" customHeight="1" x14ac:dyDescent="0.15">
      <c r="A409" s="6"/>
    </row>
    <row r="410" spans="1:1" ht="12" customHeight="1" x14ac:dyDescent="0.15">
      <c r="A410" s="6"/>
    </row>
    <row r="411" spans="1:1" ht="12" customHeight="1" x14ac:dyDescent="0.15">
      <c r="A411" s="6"/>
    </row>
    <row r="412" spans="1:1" ht="12" customHeight="1" x14ac:dyDescent="0.15">
      <c r="A412" s="6"/>
    </row>
    <row r="413" spans="1:1" ht="12" customHeight="1" x14ac:dyDescent="0.15">
      <c r="A413" s="6"/>
    </row>
    <row r="414" spans="1:1" ht="12" customHeight="1" x14ac:dyDescent="0.15">
      <c r="A414" s="6"/>
    </row>
    <row r="415" spans="1:1" ht="12" customHeight="1" x14ac:dyDescent="0.15">
      <c r="A415" s="6"/>
    </row>
    <row r="416" spans="1:1" ht="12" customHeight="1" x14ac:dyDescent="0.15">
      <c r="A416" s="6"/>
    </row>
    <row r="417" spans="1:1" ht="12" customHeight="1" x14ac:dyDescent="0.15">
      <c r="A417" s="6"/>
    </row>
    <row r="418" spans="1:1" ht="12" customHeight="1" x14ac:dyDescent="0.15">
      <c r="A418" s="6"/>
    </row>
    <row r="419" spans="1:1" ht="12" customHeight="1" x14ac:dyDescent="0.15">
      <c r="A419" s="6"/>
    </row>
    <row r="420" spans="1:1" ht="12" customHeight="1" x14ac:dyDescent="0.15">
      <c r="A420" s="6"/>
    </row>
    <row r="421" spans="1:1" ht="12" customHeight="1" x14ac:dyDescent="0.15">
      <c r="A421" s="6"/>
    </row>
    <row r="422" spans="1:1" ht="12" customHeight="1" x14ac:dyDescent="0.15">
      <c r="A422" s="6"/>
    </row>
    <row r="423" spans="1:1" ht="12" customHeight="1" x14ac:dyDescent="0.15">
      <c r="A423" s="6"/>
    </row>
    <row r="424" spans="1:1" ht="12" customHeight="1" x14ac:dyDescent="0.15">
      <c r="A424" s="6"/>
    </row>
    <row r="425" spans="1:1" ht="12" customHeight="1" x14ac:dyDescent="0.15">
      <c r="A425" s="6"/>
    </row>
    <row r="426" spans="1:1" ht="12" customHeight="1" x14ac:dyDescent="0.15">
      <c r="A426" s="6"/>
    </row>
    <row r="427" spans="1:1" ht="12" customHeight="1" x14ac:dyDescent="0.15">
      <c r="A427" s="6"/>
    </row>
    <row r="428" spans="1:1" ht="12" customHeight="1" x14ac:dyDescent="0.15">
      <c r="A428" s="6"/>
    </row>
    <row r="429" spans="1:1" ht="12" customHeight="1" x14ac:dyDescent="0.15">
      <c r="A429" s="6"/>
    </row>
    <row r="430" spans="1:1" ht="12" customHeight="1" x14ac:dyDescent="0.15">
      <c r="A430" s="6"/>
    </row>
    <row r="431" spans="1:1" ht="12" customHeight="1" x14ac:dyDescent="0.15">
      <c r="A431" s="6"/>
    </row>
    <row r="432" spans="1:1" ht="12" customHeight="1" x14ac:dyDescent="0.15">
      <c r="A432" s="6"/>
    </row>
    <row r="433" spans="1:1" ht="12" customHeight="1" x14ac:dyDescent="0.15">
      <c r="A433" s="6"/>
    </row>
    <row r="434" spans="1:1" ht="12" customHeight="1" x14ac:dyDescent="0.15">
      <c r="A434" s="6"/>
    </row>
    <row r="435" spans="1:1" ht="12" customHeight="1" x14ac:dyDescent="0.15">
      <c r="A435" s="6"/>
    </row>
    <row r="436" spans="1:1" ht="12" customHeight="1" x14ac:dyDescent="0.15">
      <c r="A436" s="6"/>
    </row>
    <row r="437" spans="1:1" ht="12.95" customHeight="1" x14ac:dyDescent="0.15">
      <c r="A437" s="6"/>
    </row>
    <row r="438" spans="1:1" ht="12.95" customHeight="1" x14ac:dyDescent="0.15">
      <c r="A438" s="6"/>
    </row>
    <row r="439" spans="1:1" ht="12" customHeight="1" x14ac:dyDescent="0.15">
      <c r="A439" s="6"/>
    </row>
    <row r="440" spans="1:1" ht="12" customHeight="1" x14ac:dyDescent="0.15">
      <c r="A440" s="6"/>
    </row>
    <row r="441" spans="1:1" ht="12" customHeight="1" x14ac:dyDescent="0.15">
      <c r="A441" s="6"/>
    </row>
    <row r="442" spans="1:1" ht="12" customHeight="1" x14ac:dyDescent="0.15">
      <c r="A442" s="6"/>
    </row>
    <row r="443" spans="1:1" ht="12" customHeight="1" x14ac:dyDescent="0.15">
      <c r="A443" s="6"/>
    </row>
    <row r="444" spans="1:1" ht="12" customHeight="1" x14ac:dyDescent="0.15">
      <c r="A444" s="6"/>
    </row>
    <row r="445" spans="1:1" ht="12" customHeight="1" x14ac:dyDescent="0.15">
      <c r="A445" s="6"/>
    </row>
    <row r="446" spans="1:1" ht="12" customHeight="1" x14ac:dyDescent="0.15">
      <c r="A446" s="6"/>
    </row>
    <row r="447" spans="1:1" ht="12" customHeight="1" x14ac:dyDescent="0.15">
      <c r="A447" s="6"/>
    </row>
    <row r="448" spans="1:1" ht="12" customHeight="1" x14ac:dyDescent="0.15">
      <c r="A448" s="6"/>
    </row>
    <row r="449" spans="1:1" ht="12" customHeight="1" x14ac:dyDescent="0.15">
      <c r="A449" s="6"/>
    </row>
    <row r="450" spans="1:1" ht="12" customHeight="1" x14ac:dyDescent="0.15">
      <c r="A450" s="6"/>
    </row>
    <row r="451" spans="1:1" ht="12" customHeight="1" x14ac:dyDescent="0.15">
      <c r="A451" s="6"/>
    </row>
    <row r="452" spans="1:1" ht="12" customHeight="1" x14ac:dyDescent="0.15">
      <c r="A452" s="6"/>
    </row>
    <row r="453" spans="1:1" ht="12" customHeight="1" x14ac:dyDescent="0.15">
      <c r="A453" s="6"/>
    </row>
    <row r="454" spans="1:1" ht="12" customHeight="1" x14ac:dyDescent="0.15">
      <c r="A454" s="6"/>
    </row>
    <row r="455" spans="1:1" ht="12" customHeight="1" x14ac:dyDescent="0.15">
      <c r="A455" s="6"/>
    </row>
    <row r="456" spans="1:1" ht="12" customHeight="1" x14ac:dyDescent="0.15">
      <c r="A456" s="6"/>
    </row>
    <row r="457" spans="1:1" ht="12" customHeight="1" x14ac:dyDescent="0.15">
      <c r="A457" s="6"/>
    </row>
    <row r="458" spans="1:1" ht="12" customHeight="1" x14ac:dyDescent="0.15">
      <c r="A458" s="6"/>
    </row>
    <row r="459" spans="1:1" ht="12" customHeight="1" x14ac:dyDescent="0.15">
      <c r="A459" s="6"/>
    </row>
    <row r="460" spans="1:1" ht="12" customHeight="1" x14ac:dyDescent="0.15">
      <c r="A460" s="6"/>
    </row>
    <row r="461" spans="1:1" ht="12" customHeight="1" x14ac:dyDescent="0.15">
      <c r="A461" s="6"/>
    </row>
    <row r="462" spans="1:1" ht="12" customHeight="1" x14ac:dyDescent="0.15">
      <c r="A462" s="6"/>
    </row>
    <row r="463" spans="1:1" ht="12" customHeight="1" x14ac:dyDescent="0.15">
      <c r="A463" s="6"/>
    </row>
    <row r="464" spans="1:1" ht="12" customHeight="1" x14ac:dyDescent="0.15">
      <c r="A464" s="6"/>
    </row>
    <row r="465" spans="1:1" ht="12" customHeight="1" x14ac:dyDescent="0.15">
      <c r="A465" s="6"/>
    </row>
    <row r="466" spans="1:1" ht="12" customHeight="1" x14ac:dyDescent="0.15">
      <c r="A466" s="6"/>
    </row>
    <row r="467" spans="1:1" ht="12" customHeight="1" x14ac:dyDescent="0.15">
      <c r="A467" s="6"/>
    </row>
    <row r="468" spans="1:1" ht="12" customHeight="1" x14ac:dyDescent="0.15">
      <c r="A468" s="6"/>
    </row>
    <row r="469" spans="1:1" ht="12" customHeight="1" x14ac:dyDescent="0.15">
      <c r="A469" s="6"/>
    </row>
    <row r="470" spans="1:1" ht="12" customHeight="1" x14ac:dyDescent="0.15">
      <c r="A470" s="6"/>
    </row>
    <row r="471" spans="1:1" ht="12" customHeight="1" x14ac:dyDescent="0.15">
      <c r="A471" s="6"/>
    </row>
    <row r="472" spans="1:1" ht="12" customHeight="1" x14ac:dyDescent="0.15">
      <c r="A472" s="6"/>
    </row>
    <row r="473" spans="1:1" ht="12" customHeight="1" x14ac:dyDescent="0.15">
      <c r="A473" s="6"/>
    </row>
    <row r="474" spans="1:1" ht="12" customHeight="1" x14ac:dyDescent="0.15">
      <c r="A474" s="6"/>
    </row>
    <row r="475" spans="1:1" ht="12" customHeight="1" x14ac:dyDescent="0.15">
      <c r="A475" s="6"/>
    </row>
    <row r="476" spans="1:1" ht="12" customHeight="1" x14ac:dyDescent="0.15">
      <c r="A476" s="6"/>
    </row>
    <row r="477" spans="1:1" ht="12" customHeight="1" x14ac:dyDescent="0.15">
      <c r="A477" s="6"/>
    </row>
    <row r="478" spans="1:1" ht="12" customHeight="1" x14ac:dyDescent="0.15">
      <c r="A478" s="6"/>
    </row>
    <row r="479" spans="1:1" ht="12" customHeight="1" x14ac:dyDescent="0.15">
      <c r="A479" s="6"/>
    </row>
    <row r="480" spans="1:1" ht="12" customHeight="1" x14ac:dyDescent="0.15">
      <c r="A480" s="6"/>
    </row>
    <row r="481" spans="1:1" ht="12" customHeight="1" x14ac:dyDescent="0.15">
      <c r="A481" s="6"/>
    </row>
    <row r="482" spans="1:1" ht="12" customHeight="1" x14ac:dyDescent="0.15">
      <c r="A482" s="6"/>
    </row>
    <row r="483" spans="1:1" ht="12" customHeight="1" x14ac:dyDescent="0.15">
      <c r="A483" s="6"/>
    </row>
    <row r="484" spans="1:1" ht="12" customHeight="1" x14ac:dyDescent="0.15">
      <c r="A484" s="6"/>
    </row>
    <row r="485" spans="1:1" ht="12" customHeight="1" x14ac:dyDescent="0.15">
      <c r="A485" s="6"/>
    </row>
    <row r="486" spans="1:1" ht="12" customHeight="1" x14ac:dyDescent="0.15">
      <c r="A486" s="6"/>
    </row>
    <row r="487" spans="1:1" ht="12" customHeight="1" x14ac:dyDescent="0.15">
      <c r="A487" s="6"/>
    </row>
    <row r="488" spans="1:1" ht="12" customHeight="1" x14ac:dyDescent="0.15">
      <c r="A488" s="6"/>
    </row>
    <row r="489" spans="1:1" ht="12" customHeight="1" x14ac:dyDescent="0.15">
      <c r="A489" s="6"/>
    </row>
    <row r="490" spans="1:1" ht="12" customHeight="1" x14ac:dyDescent="0.15">
      <c r="A490" s="6"/>
    </row>
    <row r="491" spans="1:1" ht="12" customHeight="1" x14ac:dyDescent="0.15">
      <c r="A491" s="6"/>
    </row>
    <row r="492" spans="1:1" ht="12" customHeight="1" x14ac:dyDescent="0.15">
      <c r="A492" s="6"/>
    </row>
    <row r="493" spans="1:1" ht="12" customHeight="1" x14ac:dyDescent="0.15">
      <c r="A493" s="6"/>
    </row>
    <row r="494" spans="1:1" ht="12" customHeight="1" x14ac:dyDescent="0.15">
      <c r="A494" s="6"/>
    </row>
    <row r="495" spans="1:1" ht="12" customHeight="1" x14ac:dyDescent="0.15">
      <c r="A495" s="6"/>
    </row>
    <row r="496" spans="1:1" ht="12" customHeight="1" x14ac:dyDescent="0.15">
      <c r="A496" s="6"/>
    </row>
    <row r="497" spans="1:1" ht="12" customHeight="1" x14ac:dyDescent="0.15">
      <c r="A497" s="6"/>
    </row>
    <row r="498" spans="1:1" ht="12" customHeight="1" x14ac:dyDescent="0.15">
      <c r="A498" s="6"/>
    </row>
    <row r="499" spans="1:1" ht="12" customHeight="1" x14ac:dyDescent="0.15">
      <c r="A499" s="6"/>
    </row>
    <row r="500" spans="1:1" ht="12" customHeight="1" x14ac:dyDescent="0.15">
      <c r="A500" s="6"/>
    </row>
    <row r="501" spans="1:1" ht="12" customHeight="1" x14ac:dyDescent="0.15">
      <c r="A501" s="6"/>
    </row>
    <row r="502" spans="1:1" ht="12" customHeight="1" x14ac:dyDescent="0.15">
      <c r="A502" s="6"/>
    </row>
    <row r="503" spans="1:1" ht="12" customHeight="1" x14ac:dyDescent="0.15">
      <c r="A503" s="6"/>
    </row>
    <row r="504" spans="1:1" ht="12" customHeight="1" x14ac:dyDescent="0.15">
      <c r="A504" s="6"/>
    </row>
    <row r="505" spans="1:1" ht="12" customHeight="1" x14ac:dyDescent="0.15">
      <c r="A505" s="6"/>
    </row>
    <row r="506" spans="1:1" ht="12" customHeight="1" x14ac:dyDescent="0.15">
      <c r="A506" s="6"/>
    </row>
    <row r="507" spans="1:1" ht="12" customHeight="1" x14ac:dyDescent="0.15">
      <c r="A507" s="6"/>
    </row>
    <row r="508" spans="1:1" ht="12" customHeight="1" x14ac:dyDescent="0.15">
      <c r="A508" s="6"/>
    </row>
    <row r="509" spans="1:1" ht="12" customHeight="1" x14ac:dyDescent="0.15">
      <c r="A509" s="6"/>
    </row>
    <row r="510" spans="1:1" ht="12" customHeight="1" x14ac:dyDescent="0.15">
      <c r="A510" s="6"/>
    </row>
    <row r="511" spans="1:1" ht="12" customHeight="1" x14ac:dyDescent="0.15">
      <c r="A511" s="6"/>
    </row>
    <row r="512" spans="1:1" ht="12" customHeight="1" x14ac:dyDescent="0.15">
      <c r="A512" s="6"/>
    </row>
    <row r="513" spans="1:1" ht="12" customHeight="1" x14ac:dyDescent="0.15">
      <c r="A513" s="6"/>
    </row>
    <row r="514" spans="1:1" ht="12" customHeight="1" x14ac:dyDescent="0.15">
      <c r="A514" s="6"/>
    </row>
    <row r="515" spans="1:1" ht="12" customHeight="1" x14ac:dyDescent="0.15">
      <c r="A515" s="6"/>
    </row>
    <row r="516" spans="1:1" ht="12" customHeight="1" x14ac:dyDescent="0.15">
      <c r="A516" s="6"/>
    </row>
    <row r="517" spans="1:1" ht="12" customHeight="1" x14ac:dyDescent="0.15">
      <c r="A517" s="6"/>
    </row>
    <row r="518" spans="1:1" ht="12" customHeight="1" x14ac:dyDescent="0.15">
      <c r="A518" s="6"/>
    </row>
    <row r="519" spans="1:1" ht="12" customHeight="1" x14ac:dyDescent="0.15">
      <c r="A519" s="6"/>
    </row>
    <row r="520" spans="1:1" ht="12" customHeight="1" x14ac:dyDescent="0.15">
      <c r="A520" s="6"/>
    </row>
    <row r="521" spans="1:1" ht="12" customHeight="1" x14ac:dyDescent="0.15">
      <c r="A521" s="6"/>
    </row>
    <row r="522" spans="1:1" ht="12" customHeight="1" x14ac:dyDescent="0.15">
      <c r="A522" s="6"/>
    </row>
    <row r="523" spans="1:1" ht="12" customHeight="1" x14ac:dyDescent="0.15">
      <c r="A523" s="6"/>
    </row>
    <row r="524" spans="1:1" ht="12" customHeight="1" x14ac:dyDescent="0.15">
      <c r="A524" s="6"/>
    </row>
    <row r="525" spans="1:1" ht="12" customHeight="1" x14ac:dyDescent="0.15">
      <c r="A525" s="6"/>
    </row>
    <row r="526" spans="1:1" ht="12" customHeight="1" x14ac:dyDescent="0.15">
      <c r="A526" s="6"/>
    </row>
    <row r="527" spans="1:1" ht="12" customHeight="1" x14ac:dyDescent="0.15">
      <c r="A527" s="6"/>
    </row>
    <row r="528" spans="1:1" ht="12" customHeight="1" x14ac:dyDescent="0.15">
      <c r="A528" s="6"/>
    </row>
    <row r="529" spans="1:1" ht="12" customHeight="1" x14ac:dyDescent="0.15">
      <c r="A529" s="6"/>
    </row>
    <row r="530" spans="1:1" ht="12" customHeight="1" x14ac:dyDescent="0.15">
      <c r="A530" s="6"/>
    </row>
    <row r="531" spans="1:1" ht="12" customHeight="1" x14ac:dyDescent="0.15">
      <c r="A531" s="6"/>
    </row>
    <row r="532" spans="1:1" ht="12" customHeight="1" x14ac:dyDescent="0.15">
      <c r="A532" s="6"/>
    </row>
    <row r="533" spans="1:1" ht="12" customHeight="1" x14ac:dyDescent="0.15">
      <c r="A533" s="6"/>
    </row>
    <row r="534" spans="1:1" ht="12" customHeight="1" x14ac:dyDescent="0.15">
      <c r="A534" s="6"/>
    </row>
    <row r="535" spans="1:1" ht="12" customHeight="1" x14ac:dyDescent="0.15">
      <c r="A535" s="6"/>
    </row>
    <row r="536" spans="1:1" ht="12" customHeight="1" x14ac:dyDescent="0.15">
      <c r="A536" s="6"/>
    </row>
    <row r="537" spans="1:1" ht="12" customHeight="1" x14ac:dyDescent="0.15">
      <c r="A537" s="6"/>
    </row>
    <row r="538" spans="1:1" ht="12" customHeight="1" x14ac:dyDescent="0.15">
      <c r="A538" s="6"/>
    </row>
    <row r="539" spans="1:1" ht="12" customHeight="1" x14ac:dyDescent="0.15">
      <c r="A539" s="6"/>
    </row>
    <row r="540" spans="1:1" ht="12" customHeight="1" x14ac:dyDescent="0.15">
      <c r="A540" s="6"/>
    </row>
    <row r="541" spans="1:1" ht="12" customHeight="1" x14ac:dyDescent="0.15">
      <c r="A541" s="6"/>
    </row>
    <row r="542" spans="1:1" ht="12" customHeight="1" x14ac:dyDescent="0.15">
      <c r="A542" s="6"/>
    </row>
    <row r="543" spans="1:1" ht="12" customHeight="1" x14ac:dyDescent="0.15">
      <c r="A543" s="6"/>
    </row>
    <row r="544" spans="1:1" ht="12" customHeight="1" x14ac:dyDescent="0.15">
      <c r="A544" s="6"/>
    </row>
    <row r="545" spans="1:1" ht="12" customHeight="1" x14ac:dyDescent="0.15">
      <c r="A545" s="6"/>
    </row>
    <row r="546" spans="1:1" ht="12" customHeight="1" x14ac:dyDescent="0.15">
      <c r="A546" s="6"/>
    </row>
    <row r="547" spans="1:1" ht="12" customHeight="1" x14ac:dyDescent="0.15">
      <c r="A547" s="6"/>
    </row>
    <row r="548" spans="1:1" ht="12" customHeight="1" x14ac:dyDescent="0.15">
      <c r="A548" s="6"/>
    </row>
    <row r="549" spans="1:1" ht="12" customHeight="1" x14ac:dyDescent="0.15">
      <c r="A549" s="6"/>
    </row>
    <row r="550" spans="1:1" ht="12" customHeight="1" x14ac:dyDescent="0.15">
      <c r="A550" s="6"/>
    </row>
    <row r="551" spans="1:1" ht="12" customHeight="1" x14ac:dyDescent="0.15">
      <c r="A551" s="6"/>
    </row>
    <row r="552" spans="1:1" ht="12" customHeight="1" x14ac:dyDescent="0.15">
      <c r="A552" s="6"/>
    </row>
    <row r="553" spans="1:1" ht="12" customHeight="1" x14ac:dyDescent="0.15">
      <c r="A553" s="6"/>
    </row>
    <row r="554" spans="1:1" ht="12" customHeight="1" x14ac:dyDescent="0.15">
      <c r="A554" s="6"/>
    </row>
    <row r="555" spans="1:1" ht="12" customHeight="1" x14ac:dyDescent="0.15">
      <c r="A555" s="6"/>
    </row>
    <row r="556" spans="1:1" ht="12" customHeight="1" x14ac:dyDescent="0.15">
      <c r="A556" s="6"/>
    </row>
    <row r="557" spans="1:1" ht="12" customHeight="1" x14ac:dyDescent="0.15">
      <c r="A557" s="6"/>
    </row>
    <row r="558" spans="1:1" ht="12" customHeight="1" x14ac:dyDescent="0.15">
      <c r="A558" s="6"/>
    </row>
    <row r="559" spans="1:1" ht="12" customHeight="1" x14ac:dyDescent="0.15">
      <c r="A559" s="6"/>
    </row>
    <row r="560" spans="1:1" ht="12" customHeight="1" x14ac:dyDescent="0.15">
      <c r="A560" s="6"/>
    </row>
    <row r="561" spans="1:1" ht="12" customHeight="1" x14ac:dyDescent="0.15">
      <c r="A561" s="6"/>
    </row>
    <row r="562" spans="1:1" ht="12" customHeight="1" x14ac:dyDescent="0.15">
      <c r="A562" s="6"/>
    </row>
    <row r="563" spans="1:1" ht="12" customHeight="1" x14ac:dyDescent="0.15">
      <c r="A563" s="6"/>
    </row>
    <row r="564" spans="1:1" ht="12" customHeight="1" x14ac:dyDescent="0.15">
      <c r="A564" s="6"/>
    </row>
    <row r="565" spans="1:1" ht="12" customHeight="1" x14ac:dyDescent="0.15">
      <c r="A565" s="6"/>
    </row>
    <row r="566" spans="1:1" ht="12" customHeight="1" x14ac:dyDescent="0.15">
      <c r="A566" s="6"/>
    </row>
    <row r="567" spans="1:1" ht="12" customHeight="1" x14ac:dyDescent="0.15">
      <c r="A567" s="6"/>
    </row>
    <row r="568" spans="1:1" ht="12" customHeight="1" x14ac:dyDescent="0.15">
      <c r="A568" s="6"/>
    </row>
    <row r="569" spans="1:1" ht="12" customHeight="1" x14ac:dyDescent="0.15">
      <c r="A569" s="6"/>
    </row>
    <row r="570" spans="1:1" ht="12" customHeight="1" x14ac:dyDescent="0.15">
      <c r="A570" s="6"/>
    </row>
    <row r="571" spans="1:1" ht="12" customHeight="1" x14ac:dyDescent="0.15">
      <c r="A571" s="6"/>
    </row>
    <row r="572" spans="1:1" ht="12" customHeight="1" x14ac:dyDescent="0.15">
      <c r="A572" s="6"/>
    </row>
    <row r="573" spans="1:1" ht="12" customHeight="1" x14ac:dyDescent="0.15">
      <c r="A573" s="6"/>
    </row>
    <row r="574" spans="1:1" ht="12" customHeight="1" x14ac:dyDescent="0.15">
      <c r="A574" s="6"/>
    </row>
    <row r="575" spans="1:1" ht="12" customHeight="1" x14ac:dyDescent="0.15">
      <c r="A575" s="6"/>
    </row>
    <row r="576" spans="1:1" ht="12" customHeight="1" x14ac:dyDescent="0.15">
      <c r="A576" s="6"/>
    </row>
    <row r="577" spans="1:1" ht="12" customHeight="1" x14ac:dyDescent="0.15">
      <c r="A577" s="6"/>
    </row>
    <row r="578" spans="1:1" ht="12" customHeight="1" x14ac:dyDescent="0.15">
      <c r="A578" s="6"/>
    </row>
    <row r="579" spans="1:1" ht="12" customHeight="1" x14ac:dyDescent="0.15">
      <c r="A579" s="6"/>
    </row>
    <row r="580" spans="1:1" ht="12" customHeight="1" x14ac:dyDescent="0.15">
      <c r="A580" s="6"/>
    </row>
    <row r="581" spans="1:1" ht="12" customHeight="1" x14ac:dyDescent="0.15">
      <c r="A581" s="6"/>
    </row>
    <row r="582" spans="1:1" ht="12" customHeight="1" x14ac:dyDescent="0.15">
      <c r="A582" s="6"/>
    </row>
    <row r="583" spans="1:1" ht="12" customHeight="1" x14ac:dyDescent="0.15">
      <c r="A583" s="6"/>
    </row>
    <row r="584" spans="1:1" ht="12" customHeight="1" x14ac:dyDescent="0.15">
      <c r="A584" s="6"/>
    </row>
    <row r="585" spans="1:1" ht="12" customHeight="1" x14ac:dyDescent="0.15">
      <c r="A585" s="6"/>
    </row>
    <row r="586" spans="1:1" ht="12" customHeight="1" x14ac:dyDescent="0.15">
      <c r="A586" s="6"/>
    </row>
    <row r="587" spans="1:1" ht="12" customHeight="1" x14ac:dyDescent="0.15">
      <c r="A587" s="6"/>
    </row>
    <row r="588" spans="1:1" ht="12" customHeight="1" x14ac:dyDescent="0.15">
      <c r="A588" s="6"/>
    </row>
    <row r="589" spans="1:1" ht="12" customHeight="1" x14ac:dyDescent="0.15">
      <c r="A589" s="6"/>
    </row>
    <row r="590" spans="1:1" ht="12" customHeight="1" x14ac:dyDescent="0.15">
      <c r="A590" s="6"/>
    </row>
    <row r="591" spans="1:1" ht="12" customHeight="1" x14ac:dyDescent="0.15">
      <c r="A591" s="6"/>
    </row>
    <row r="592" spans="1:1" ht="12" customHeight="1" x14ac:dyDescent="0.15">
      <c r="A592" s="6"/>
    </row>
    <row r="593" spans="1:1" ht="12" customHeight="1" x14ac:dyDescent="0.15">
      <c r="A593" s="6"/>
    </row>
    <row r="594" spans="1:1" ht="12" customHeight="1" x14ac:dyDescent="0.15">
      <c r="A594" s="6"/>
    </row>
    <row r="595" spans="1:1" ht="12" customHeight="1" x14ac:dyDescent="0.15">
      <c r="A595" s="6"/>
    </row>
    <row r="596" spans="1:1" ht="12" customHeight="1" x14ac:dyDescent="0.15">
      <c r="A596" s="6"/>
    </row>
    <row r="597" spans="1:1" ht="12" customHeight="1" x14ac:dyDescent="0.15">
      <c r="A597" s="6"/>
    </row>
    <row r="598" spans="1:1" ht="12" customHeight="1" x14ac:dyDescent="0.15">
      <c r="A598" s="6"/>
    </row>
    <row r="599" spans="1:1" ht="12" customHeight="1" x14ac:dyDescent="0.15">
      <c r="A599" s="6"/>
    </row>
    <row r="600" spans="1:1" ht="12" customHeight="1" x14ac:dyDescent="0.15">
      <c r="A600" s="6"/>
    </row>
    <row r="601" spans="1:1" ht="12" customHeight="1" x14ac:dyDescent="0.15">
      <c r="A601" s="6"/>
    </row>
    <row r="602" spans="1:1" ht="12" customHeight="1" x14ac:dyDescent="0.15">
      <c r="A602" s="6"/>
    </row>
    <row r="603" spans="1:1" ht="12" customHeight="1" x14ac:dyDescent="0.15">
      <c r="A603" s="6"/>
    </row>
    <row r="604" spans="1:1" ht="12" customHeight="1" x14ac:dyDescent="0.15">
      <c r="A604" s="6"/>
    </row>
    <row r="605" spans="1:1" ht="12" customHeight="1" x14ac:dyDescent="0.15">
      <c r="A605" s="6"/>
    </row>
    <row r="606" spans="1:1" ht="12" customHeight="1" x14ac:dyDescent="0.15">
      <c r="A606" s="6"/>
    </row>
    <row r="607" spans="1:1" ht="12" customHeight="1" x14ac:dyDescent="0.15">
      <c r="A607" s="6"/>
    </row>
    <row r="608" spans="1:1" ht="12" customHeight="1" x14ac:dyDescent="0.15">
      <c r="A608" s="6"/>
    </row>
    <row r="609" spans="1:1" ht="12" customHeight="1" x14ac:dyDescent="0.15">
      <c r="A609" s="6"/>
    </row>
    <row r="610" spans="1:1" ht="12" customHeight="1" x14ac:dyDescent="0.15">
      <c r="A610" s="6"/>
    </row>
    <row r="611" spans="1:1" ht="12" customHeight="1" x14ac:dyDescent="0.15">
      <c r="A611" s="6"/>
    </row>
    <row r="612" spans="1:1" ht="12" customHeight="1" x14ac:dyDescent="0.15">
      <c r="A612" s="6"/>
    </row>
    <row r="613" spans="1:1" ht="12" customHeight="1" x14ac:dyDescent="0.15">
      <c r="A613" s="6"/>
    </row>
    <row r="614" spans="1:1" ht="12" customHeight="1" x14ac:dyDescent="0.15">
      <c r="A614" s="6"/>
    </row>
    <row r="615" spans="1:1" ht="12" customHeight="1" x14ac:dyDescent="0.15">
      <c r="A615" s="6"/>
    </row>
    <row r="616" spans="1:1" ht="12" customHeight="1" x14ac:dyDescent="0.15">
      <c r="A616" s="6"/>
    </row>
    <row r="617" spans="1:1" ht="12" customHeight="1" x14ac:dyDescent="0.15">
      <c r="A617" s="6"/>
    </row>
    <row r="618" spans="1:1" ht="12" customHeight="1" x14ac:dyDescent="0.15">
      <c r="A618" s="6"/>
    </row>
    <row r="619" spans="1:1" ht="12" customHeight="1" x14ac:dyDescent="0.15">
      <c r="A619" s="6"/>
    </row>
    <row r="620" spans="1:1" ht="12" customHeight="1" x14ac:dyDescent="0.15">
      <c r="A620" s="6"/>
    </row>
    <row r="621" spans="1:1" ht="12" customHeight="1" x14ac:dyDescent="0.15">
      <c r="A621" s="6"/>
    </row>
    <row r="622" spans="1:1" ht="12" customHeight="1" x14ac:dyDescent="0.15">
      <c r="A622" s="6"/>
    </row>
    <row r="623" spans="1:1" ht="12" customHeight="1" x14ac:dyDescent="0.15">
      <c r="A623" s="6"/>
    </row>
    <row r="624" spans="1:1" ht="12" customHeight="1" x14ac:dyDescent="0.15">
      <c r="A624" s="6"/>
    </row>
    <row r="625" spans="1:1" ht="12" customHeight="1" x14ac:dyDescent="0.15">
      <c r="A625" s="6"/>
    </row>
    <row r="626" spans="1:1" ht="12" customHeight="1" x14ac:dyDescent="0.15">
      <c r="A626" s="6"/>
    </row>
    <row r="627" spans="1:1" ht="12" customHeight="1" x14ac:dyDescent="0.15">
      <c r="A627" s="6"/>
    </row>
    <row r="628" spans="1:1" ht="12" customHeight="1" x14ac:dyDescent="0.15">
      <c r="A628" s="6"/>
    </row>
    <row r="629" spans="1:1" ht="12" customHeight="1" x14ac:dyDescent="0.15">
      <c r="A629" s="6"/>
    </row>
    <row r="630" spans="1:1" ht="12" customHeight="1" x14ac:dyDescent="0.15">
      <c r="A630" s="6"/>
    </row>
    <row r="631" spans="1:1" ht="12" customHeight="1" x14ac:dyDescent="0.15">
      <c r="A631" s="6"/>
    </row>
    <row r="632" spans="1:1" ht="12" customHeight="1" x14ac:dyDescent="0.15">
      <c r="A632" s="6"/>
    </row>
    <row r="633" spans="1:1" ht="12" customHeight="1" x14ac:dyDescent="0.15">
      <c r="A633" s="6"/>
    </row>
    <row r="634" spans="1:1" ht="12" customHeight="1" x14ac:dyDescent="0.15">
      <c r="A634" s="6"/>
    </row>
    <row r="635" spans="1:1" ht="12" customHeight="1" x14ac:dyDescent="0.15">
      <c r="A635" s="6"/>
    </row>
    <row r="636" spans="1:1" ht="12" customHeight="1" x14ac:dyDescent="0.15">
      <c r="A636" s="6"/>
    </row>
    <row r="637" spans="1:1" ht="12" customHeight="1" x14ac:dyDescent="0.15">
      <c r="A637" s="6"/>
    </row>
    <row r="638" spans="1:1" ht="12" customHeight="1" x14ac:dyDescent="0.15">
      <c r="A638" s="6"/>
    </row>
    <row r="639" spans="1:1" ht="12" customHeight="1" x14ac:dyDescent="0.15">
      <c r="A639" s="6"/>
    </row>
    <row r="640" spans="1:1" ht="12" customHeight="1" x14ac:dyDescent="0.15">
      <c r="A640" s="6"/>
    </row>
    <row r="641" spans="1:1" ht="12" customHeight="1" x14ac:dyDescent="0.15">
      <c r="A641" s="6"/>
    </row>
    <row r="642" spans="1:1" ht="12" customHeight="1" x14ac:dyDescent="0.15">
      <c r="A642" s="6"/>
    </row>
    <row r="643" spans="1:1" ht="12" customHeight="1" x14ac:dyDescent="0.15">
      <c r="A643" s="6"/>
    </row>
    <row r="644" spans="1:1" ht="12" customHeight="1" x14ac:dyDescent="0.15">
      <c r="A644" s="6"/>
    </row>
    <row r="645" spans="1:1" ht="12" customHeight="1" x14ac:dyDescent="0.15">
      <c r="A645" s="6"/>
    </row>
    <row r="646" spans="1:1" ht="12" customHeight="1" x14ac:dyDescent="0.15">
      <c r="A646" s="6"/>
    </row>
    <row r="647" spans="1:1" ht="12" customHeight="1" x14ac:dyDescent="0.15">
      <c r="A647" s="6"/>
    </row>
    <row r="648" spans="1:1" ht="12" customHeight="1" x14ac:dyDescent="0.15">
      <c r="A648" s="6"/>
    </row>
    <row r="649" spans="1:1" ht="12" customHeight="1" x14ac:dyDescent="0.15">
      <c r="A649" s="6"/>
    </row>
    <row r="650" spans="1:1" ht="12" customHeight="1" x14ac:dyDescent="0.15">
      <c r="A650" s="6"/>
    </row>
    <row r="651" spans="1:1" ht="12" customHeight="1" x14ac:dyDescent="0.15">
      <c r="A651" s="6"/>
    </row>
    <row r="652" spans="1:1" ht="12" customHeight="1" x14ac:dyDescent="0.15">
      <c r="A652" s="6"/>
    </row>
    <row r="653" spans="1:1" ht="12" customHeight="1" x14ac:dyDescent="0.15">
      <c r="A653" s="6"/>
    </row>
    <row r="654" spans="1:1" ht="12" customHeight="1" x14ac:dyDescent="0.15">
      <c r="A654" s="6"/>
    </row>
    <row r="655" spans="1:1" ht="12" customHeight="1" x14ac:dyDescent="0.15">
      <c r="A655" s="6"/>
    </row>
    <row r="656" spans="1:1" ht="12" customHeight="1" x14ac:dyDescent="0.15">
      <c r="A656" s="6"/>
    </row>
    <row r="657" spans="1:1" ht="12" customHeight="1" x14ac:dyDescent="0.15">
      <c r="A657" s="6"/>
    </row>
    <row r="658" spans="1:1" ht="12" customHeight="1" x14ac:dyDescent="0.15">
      <c r="A658" s="6"/>
    </row>
    <row r="659" spans="1:1" ht="12" customHeight="1" x14ac:dyDescent="0.15">
      <c r="A659" s="6"/>
    </row>
    <row r="660" spans="1:1" ht="12" customHeight="1" x14ac:dyDescent="0.15">
      <c r="A660" s="6"/>
    </row>
    <row r="661" spans="1:1" ht="12" customHeight="1" x14ac:dyDescent="0.15">
      <c r="A661" s="6"/>
    </row>
    <row r="662" spans="1:1" ht="12" customHeight="1" x14ac:dyDescent="0.15">
      <c r="A662" s="6"/>
    </row>
    <row r="663" spans="1:1" ht="12" customHeight="1" x14ac:dyDescent="0.15">
      <c r="A663" s="6"/>
    </row>
    <row r="664" spans="1:1" ht="12" customHeight="1" x14ac:dyDescent="0.15">
      <c r="A664" s="6"/>
    </row>
    <row r="665" spans="1:1" ht="12" customHeight="1" x14ac:dyDescent="0.15">
      <c r="A665" s="6"/>
    </row>
    <row r="666" spans="1:1" ht="12" customHeight="1" x14ac:dyDescent="0.15">
      <c r="A666" s="6"/>
    </row>
    <row r="667" spans="1:1" ht="12" customHeight="1" x14ac:dyDescent="0.15">
      <c r="A667" s="6"/>
    </row>
    <row r="668" spans="1:1" ht="12" customHeight="1" x14ac:dyDescent="0.15">
      <c r="A668" s="6"/>
    </row>
    <row r="669" spans="1:1" ht="12" customHeight="1" x14ac:dyDescent="0.15">
      <c r="A669" s="6"/>
    </row>
    <row r="670" spans="1:1" ht="12" customHeight="1" x14ac:dyDescent="0.15">
      <c r="A670" s="6"/>
    </row>
    <row r="671" spans="1:1" ht="12" customHeight="1" x14ac:dyDescent="0.15">
      <c r="A671" s="6"/>
    </row>
    <row r="672" spans="1:1" ht="12" customHeight="1" x14ac:dyDescent="0.15">
      <c r="A672" s="6"/>
    </row>
    <row r="673" spans="1:1" ht="12" customHeight="1" x14ac:dyDescent="0.15">
      <c r="A673" s="6"/>
    </row>
    <row r="674" spans="1:1" ht="12" customHeight="1" x14ac:dyDescent="0.15">
      <c r="A674" s="6"/>
    </row>
    <row r="675" spans="1:1" ht="12" customHeight="1" x14ac:dyDescent="0.15">
      <c r="A675" s="6"/>
    </row>
    <row r="676" spans="1:1" ht="12" customHeight="1" x14ac:dyDescent="0.15">
      <c r="A676" s="6"/>
    </row>
    <row r="677" spans="1:1" ht="12" customHeight="1" x14ac:dyDescent="0.15">
      <c r="A677" s="18"/>
    </row>
    <row r="678" spans="1:1" ht="12" customHeight="1" x14ac:dyDescent="0.15">
      <c r="A678" s="18"/>
    </row>
    <row r="679" spans="1:1" ht="12" customHeight="1" x14ac:dyDescent="0.15">
      <c r="A679" s="18"/>
    </row>
    <row r="680" spans="1:1" ht="12" customHeight="1" x14ac:dyDescent="0.15">
      <c r="A680" s="6"/>
    </row>
    <row r="681" spans="1:1" ht="12" customHeight="1" x14ac:dyDescent="0.15">
      <c r="A681" s="6"/>
    </row>
    <row r="682" spans="1:1" ht="12" customHeight="1" x14ac:dyDescent="0.15">
      <c r="A682" s="6"/>
    </row>
    <row r="683" spans="1:1" ht="12" customHeight="1" x14ac:dyDescent="0.15">
      <c r="A683" s="6"/>
    </row>
    <row r="684" spans="1:1" ht="12" customHeight="1" x14ac:dyDescent="0.15">
      <c r="A684" s="6"/>
    </row>
    <row r="685" spans="1:1" ht="12" customHeight="1" x14ac:dyDescent="0.15">
      <c r="A685" s="6"/>
    </row>
    <row r="686" spans="1:1" ht="12" customHeight="1" x14ac:dyDescent="0.15">
      <c r="A686" s="6"/>
    </row>
    <row r="687" spans="1:1" ht="12" customHeight="1" x14ac:dyDescent="0.15">
      <c r="A687" s="6"/>
    </row>
    <row r="688" spans="1:1" ht="12" customHeight="1" x14ac:dyDescent="0.15">
      <c r="A688" s="6"/>
    </row>
    <row r="689" spans="1:1" ht="12" customHeight="1" x14ac:dyDescent="0.15">
      <c r="A689" s="6"/>
    </row>
    <row r="690" spans="1:1" ht="12" customHeight="1" x14ac:dyDescent="0.15">
      <c r="A690" s="6"/>
    </row>
    <row r="691" spans="1:1" ht="12" customHeight="1" x14ac:dyDescent="0.15">
      <c r="A691" s="6"/>
    </row>
    <row r="692" spans="1:1" ht="12" customHeight="1" x14ac:dyDescent="0.15">
      <c r="A692" s="6"/>
    </row>
    <row r="693" spans="1:1" ht="12" customHeight="1" x14ac:dyDescent="0.15">
      <c r="A693" s="6"/>
    </row>
    <row r="694" spans="1:1" ht="12" customHeight="1" x14ac:dyDescent="0.15">
      <c r="A694" s="6"/>
    </row>
    <row r="695" spans="1:1" ht="12" customHeight="1" x14ac:dyDescent="0.15">
      <c r="A695" s="6"/>
    </row>
    <row r="696" spans="1:1" ht="12" customHeight="1" x14ac:dyDescent="0.15">
      <c r="A696" s="6"/>
    </row>
    <row r="697" spans="1:1" ht="12" customHeight="1" x14ac:dyDescent="0.15">
      <c r="A697" s="6"/>
    </row>
    <row r="698" spans="1:1" ht="12" customHeight="1" x14ac:dyDescent="0.15">
      <c r="A698" s="6"/>
    </row>
    <row r="699" spans="1:1" ht="12" customHeight="1" x14ac:dyDescent="0.15">
      <c r="A699" s="6"/>
    </row>
    <row r="700" spans="1:1" ht="12" customHeight="1" x14ac:dyDescent="0.15">
      <c r="A700" s="6"/>
    </row>
    <row r="701" spans="1:1" ht="12" customHeight="1" x14ac:dyDescent="0.15">
      <c r="A701" s="6"/>
    </row>
    <row r="702" spans="1:1" ht="12" customHeight="1" x14ac:dyDescent="0.15">
      <c r="A702" s="6"/>
    </row>
    <row r="703" spans="1:1" ht="12" customHeight="1" x14ac:dyDescent="0.15">
      <c r="A703" s="6"/>
    </row>
    <row r="704" spans="1:1" ht="12" customHeight="1" x14ac:dyDescent="0.15">
      <c r="A704" s="6"/>
    </row>
    <row r="705" spans="1:1" ht="12" customHeight="1" x14ac:dyDescent="0.15">
      <c r="A705" s="6"/>
    </row>
    <row r="706" spans="1:1" ht="12" customHeight="1" x14ac:dyDescent="0.15">
      <c r="A706" s="6"/>
    </row>
    <row r="707" spans="1:1" ht="12" customHeight="1" x14ac:dyDescent="0.15">
      <c r="A707" s="6"/>
    </row>
    <row r="708" spans="1:1" ht="12" customHeight="1" x14ac:dyDescent="0.15">
      <c r="A708" s="6"/>
    </row>
    <row r="709" spans="1:1" ht="12" customHeight="1" x14ac:dyDescent="0.15">
      <c r="A709" s="6"/>
    </row>
    <row r="710" spans="1:1" ht="12" customHeight="1" x14ac:dyDescent="0.15">
      <c r="A710" s="6"/>
    </row>
    <row r="711" spans="1:1" ht="12" customHeight="1" x14ac:dyDescent="0.15">
      <c r="A711" s="6"/>
    </row>
    <row r="712" spans="1:1" ht="12" customHeight="1" x14ac:dyDescent="0.15">
      <c r="A712" s="6"/>
    </row>
    <row r="713" spans="1:1" ht="12" customHeight="1" x14ac:dyDescent="0.15">
      <c r="A713" s="6"/>
    </row>
    <row r="714" spans="1:1" ht="12" customHeight="1" x14ac:dyDescent="0.15">
      <c r="A714" s="6"/>
    </row>
    <row r="715" spans="1:1" ht="12" customHeight="1" x14ac:dyDescent="0.15">
      <c r="A715" s="6"/>
    </row>
    <row r="716" spans="1:1" ht="12" customHeight="1" x14ac:dyDescent="0.15">
      <c r="A716" s="6"/>
    </row>
    <row r="717" spans="1:1" ht="12" customHeight="1" x14ac:dyDescent="0.15">
      <c r="A717" s="6"/>
    </row>
    <row r="718" spans="1:1" ht="12" customHeight="1" x14ac:dyDescent="0.15">
      <c r="A718" s="6"/>
    </row>
    <row r="719" spans="1:1" ht="12" customHeight="1" x14ac:dyDescent="0.15">
      <c r="A719" s="6"/>
    </row>
    <row r="720" spans="1:1" ht="12" customHeight="1" x14ac:dyDescent="0.15">
      <c r="A720" s="6"/>
    </row>
    <row r="721" spans="1:1" ht="12" customHeight="1" x14ac:dyDescent="0.15">
      <c r="A721" s="6"/>
    </row>
    <row r="722" spans="1:1" ht="12" customHeight="1" x14ac:dyDescent="0.15">
      <c r="A722" s="6"/>
    </row>
    <row r="723" spans="1:1" ht="12" customHeight="1" x14ac:dyDescent="0.15">
      <c r="A723" s="6"/>
    </row>
    <row r="724" spans="1:1" ht="12" customHeight="1" x14ac:dyDescent="0.15">
      <c r="A724" s="6"/>
    </row>
    <row r="725" spans="1:1" ht="12" customHeight="1" x14ac:dyDescent="0.15">
      <c r="A725" s="6"/>
    </row>
    <row r="726" spans="1:1" ht="12" customHeight="1" x14ac:dyDescent="0.15">
      <c r="A726" s="6"/>
    </row>
    <row r="727" spans="1:1" ht="12" customHeight="1" x14ac:dyDescent="0.15">
      <c r="A727" s="6"/>
    </row>
    <row r="728" spans="1:1" ht="12" customHeight="1" x14ac:dyDescent="0.15">
      <c r="A728" s="6"/>
    </row>
    <row r="729" spans="1:1" ht="12" customHeight="1" x14ac:dyDescent="0.15">
      <c r="A729" s="6"/>
    </row>
    <row r="730" spans="1:1" ht="12" customHeight="1" x14ac:dyDescent="0.15">
      <c r="A730" s="6"/>
    </row>
    <row r="731" spans="1:1" ht="12" customHeight="1" x14ac:dyDescent="0.15">
      <c r="A731" s="6"/>
    </row>
    <row r="732" spans="1:1" ht="12" customHeight="1" x14ac:dyDescent="0.15">
      <c r="A732" s="6"/>
    </row>
    <row r="733" spans="1:1" ht="12" customHeight="1" x14ac:dyDescent="0.15">
      <c r="A733" s="6"/>
    </row>
    <row r="734" spans="1:1" ht="12" customHeight="1" x14ac:dyDescent="0.15">
      <c r="A734" s="6"/>
    </row>
    <row r="735" spans="1:1" ht="12" customHeight="1" x14ac:dyDescent="0.15">
      <c r="A735" s="6"/>
    </row>
    <row r="736" spans="1:1" ht="12" customHeight="1" x14ac:dyDescent="0.15">
      <c r="A736" s="6"/>
    </row>
    <row r="737" spans="1:1" ht="12" customHeight="1" x14ac:dyDescent="0.15">
      <c r="A737" s="6"/>
    </row>
    <row r="738" spans="1:1" ht="12" customHeight="1" x14ac:dyDescent="0.15">
      <c r="A738" s="6"/>
    </row>
    <row r="739" spans="1:1" ht="12" customHeight="1" x14ac:dyDescent="0.15">
      <c r="A739" s="6"/>
    </row>
    <row r="740" spans="1:1" ht="12" customHeight="1" x14ac:dyDescent="0.15">
      <c r="A740" s="6"/>
    </row>
    <row r="741" spans="1:1" ht="12" customHeight="1" x14ac:dyDescent="0.15">
      <c r="A741" s="6"/>
    </row>
    <row r="742" spans="1:1" ht="12" customHeight="1" x14ac:dyDescent="0.15">
      <c r="A742" s="6"/>
    </row>
    <row r="743" spans="1:1" ht="12" customHeight="1" x14ac:dyDescent="0.15">
      <c r="A743" s="6"/>
    </row>
    <row r="744" spans="1:1" ht="12" customHeight="1" x14ac:dyDescent="0.15">
      <c r="A744" s="6"/>
    </row>
    <row r="745" spans="1:1" ht="12" customHeight="1" x14ac:dyDescent="0.15">
      <c r="A745" s="6"/>
    </row>
    <row r="746" spans="1:1" ht="12" customHeight="1" x14ac:dyDescent="0.15">
      <c r="A746" s="6"/>
    </row>
    <row r="747" spans="1:1" ht="12" customHeight="1" x14ac:dyDescent="0.15">
      <c r="A747" s="6"/>
    </row>
    <row r="748" spans="1:1" ht="12" customHeight="1" x14ac:dyDescent="0.15">
      <c r="A748" s="6"/>
    </row>
    <row r="749" spans="1:1" ht="12" customHeight="1" x14ac:dyDescent="0.15">
      <c r="A749" s="6"/>
    </row>
    <row r="750" spans="1:1" ht="12" customHeight="1" x14ac:dyDescent="0.15">
      <c r="A750" s="6"/>
    </row>
    <row r="751" spans="1:1" ht="12" customHeight="1" x14ac:dyDescent="0.15">
      <c r="A751" s="6"/>
    </row>
    <row r="752" spans="1:1" ht="12" customHeight="1" x14ac:dyDescent="0.15">
      <c r="A752" s="6"/>
    </row>
    <row r="753" spans="1:1" ht="12" customHeight="1" x14ac:dyDescent="0.15">
      <c r="A753" s="6"/>
    </row>
    <row r="754" spans="1:1" ht="12" customHeight="1" x14ac:dyDescent="0.15">
      <c r="A754" s="6"/>
    </row>
    <row r="755" spans="1:1" ht="12" customHeight="1" x14ac:dyDescent="0.15">
      <c r="A755" s="6"/>
    </row>
    <row r="756" spans="1:1" ht="12" customHeight="1" x14ac:dyDescent="0.15">
      <c r="A756" s="6"/>
    </row>
    <row r="757" spans="1:1" ht="12" customHeight="1" x14ac:dyDescent="0.15">
      <c r="A757" s="6"/>
    </row>
    <row r="758" spans="1:1" ht="12" customHeight="1" x14ac:dyDescent="0.15">
      <c r="A758" s="6"/>
    </row>
    <row r="759" spans="1:1" ht="12" customHeight="1" x14ac:dyDescent="0.15">
      <c r="A759" s="6"/>
    </row>
    <row r="760" spans="1:1" ht="12" customHeight="1" x14ac:dyDescent="0.15">
      <c r="A760" s="6"/>
    </row>
    <row r="761" spans="1:1" ht="12" customHeight="1" x14ac:dyDescent="0.15">
      <c r="A761" s="6"/>
    </row>
    <row r="762" spans="1:1" ht="12" customHeight="1" x14ac:dyDescent="0.15">
      <c r="A762" s="6"/>
    </row>
    <row r="763" spans="1:1" ht="12" customHeight="1" x14ac:dyDescent="0.15">
      <c r="A763" s="6"/>
    </row>
    <row r="764" spans="1:1" ht="12" customHeight="1" x14ac:dyDescent="0.15">
      <c r="A764" s="6"/>
    </row>
    <row r="765" spans="1:1" ht="12" customHeight="1" x14ac:dyDescent="0.15">
      <c r="A765" s="6"/>
    </row>
    <row r="766" spans="1:1" ht="12" customHeight="1" x14ac:dyDescent="0.15">
      <c r="A766" s="6"/>
    </row>
    <row r="767" spans="1:1" ht="12" customHeight="1" x14ac:dyDescent="0.15">
      <c r="A767" s="6"/>
    </row>
    <row r="768" spans="1:1" ht="12" customHeight="1" x14ac:dyDescent="0.15">
      <c r="A768" s="6"/>
    </row>
    <row r="769" spans="1:1" ht="12" customHeight="1" x14ac:dyDescent="0.15">
      <c r="A769" s="6"/>
    </row>
    <row r="770" spans="1:1" ht="12" customHeight="1" x14ac:dyDescent="0.15">
      <c r="A770" s="6"/>
    </row>
    <row r="771" spans="1:1" ht="12" customHeight="1" x14ac:dyDescent="0.15">
      <c r="A771" s="6"/>
    </row>
    <row r="772" spans="1:1" ht="12" customHeight="1" x14ac:dyDescent="0.15">
      <c r="A772" s="6"/>
    </row>
    <row r="773" spans="1:1" ht="12" customHeight="1" x14ac:dyDescent="0.15">
      <c r="A773" s="6"/>
    </row>
    <row r="774" spans="1:1" ht="12" customHeight="1" x14ac:dyDescent="0.15">
      <c r="A774" s="6"/>
    </row>
    <row r="775" spans="1:1" ht="12" customHeight="1" x14ac:dyDescent="0.15">
      <c r="A775" s="6"/>
    </row>
    <row r="776" spans="1:1" ht="12" customHeight="1" x14ac:dyDescent="0.15">
      <c r="A776" s="6"/>
    </row>
    <row r="777" spans="1:1" ht="12" customHeight="1" x14ac:dyDescent="0.15">
      <c r="A777" s="6"/>
    </row>
    <row r="778" spans="1:1" ht="12" customHeight="1" x14ac:dyDescent="0.15">
      <c r="A778" s="6"/>
    </row>
    <row r="779" spans="1:1" ht="12" customHeight="1" x14ac:dyDescent="0.15">
      <c r="A779" s="6"/>
    </row>
    <row r="780" spans="1:1" ht="12" customHeight="1" x14ac:dyDescent="0.15">
      <c r="A780" s="6"/>
    </row>
    <row r="781" spans="1:1" ht="12" customHeight="1" x14ac:dyDescent="0.15">
      <c r="A781" s="6"/>
    </row>
    <row r="782" spans="1:1" ht="12" customHeight="1" x14ac:dyDescent="0.15">
      <c r="A782" s="6"/>
    </row>
    <row r="783" spans="1:1" ht="12" customHeight="1" x14ac:dyDescent="0.15">
      <c r="A783" s="6"/>
    </row>
    <row r="784" spans="1:1" ht="12" customHeight="1" x14ac:dyDescent="0.15">
      <c r="A784" s="6"/>
    </row>
    <row r="785" spans="1:1" ht="12" customHeight="1" x14ac:dyDescent="0.15">
      <c r="A785" s="6"/>
    </row>
    <row r="786" spans="1:1" ht="12" customHeight="1" x14ac:dyDescent="0.15">
      <c r="A786" s="6"/>
    </row>
    <row r="787" spans="1:1" ht="12" customHeight="1" x14ac:dyDescent="0.15">
      <c r="A787" s="6"/>
    </row>
    <row r="788" spans="1:1" ht="12" customHeight="1" x14ac:dyDescent="0.15">
      <c r="A788" s="6"/>
    </row>
    <row r="789" spans="1:1" ht="12" customHeight="1" x14ac:dyDescent="0.15">
      <c r="A789" s="6"/>
    </row>
    <row r="790" spans="1:1" ht="12" customHeight="1" x14ac:dyDescent="0.15">
      <c r="A790" s="6"/>
    </row>
    <row r="791" spans="1:1" ht="12" customHeight="1" x14ac:dyDescent="0.15">
      <c r="A791" s="6"/>
    </row>
    <row r="792" spans="1:1" ht="12" customHeight="1" x14ac:dyDescent="0.15">
      <c r="A792" s="6"/>
    </row>
    <row r="793" spans="1:1" ht="12" customHeight="1" x14ac:dyDescent="0.15">
      <c r="A793" s="6"/>
    </row>
    <row r="794" spans="1:1" ht="12" customHeight="1" x14ac:dyDescent="0.15">
      <c r="A794" s="6"/>
    </row>
    <row r="795" spans="1:1" ht="12" customHeight="1" x14ac:dyDescent="0.15">
      <c r="A795" s="6"/>
    </row>
    <row r="796" spans="1:1" ht="12" customHeight="1" x14ac:dyDescent="0.15">
      <c r="A796" s="6"/>
    </row>
    <row r="797" spans="1:1" ht="12" customHeight="1" x14ac:dyDescent="0.15">
      <c r="A797" s="6"/>
    </row>
    <row r="798" spans="1:1" ht="12" customHeight="1" x14ac:dyDescent="0.15">
      <c r="A798" s="6"/>
    </row>
    <row r="799" spans="1:1" ht="12" customHeight="1" x14ac:dyDescent="0.15">
      <c r="A799" s="6"/>
    </row>
    <row r="800" spans="1:1" ht="12" customHeight="1" x14ac:dyDescent="0.15">
      <c r="A800" s="6"/>
    </row>
    <row r="801" spans="1:1" ht="12" customHeight="1" x14ac:dyDescent="0.15">
      <c r="A801" s="6"/>
    </row>
    <row r="802" spans="1:1" ht="12" customHeight="1" x14ac:dyDescent="0.15">
      <c r="A802" s="6"/>
    </row>
    <row r="803" spans="1:1" ht="12" customHeight="1" x14ac:dyDescent="0.15">
      <c r="A803" s="6"/>
    </row>
    <row r="804" spans="1:1" ht="12" customHeight="1" x14ac:dyDescent="0.15">
      <c r="A804" s="6"/>
    </row>
    <row r="805" spans="1:1" ht="12" customHeight="1" x14ac:dyDescent="0.15">
      <c r="A805" s="6"/>
    </row>
    <row r="806" spans="1:1" ht="12" customHeight="1" x14ac:dyDescent="0.15">
      <c r="A806" s="6"/>
    </row>
    <row r="807" spans="1:1" ht="12" customHeight="1" x14ac:dyDescent="0.15">
      <c r="A807" s="6"/>
    </row>
    <row r="808" spans="1:1" ht="12" customHeight="1" x14ac:dyDescent="0.15">
      <c r="A808" s="6"/>
    </row>
    <row r="809" spans="1:1" ht="12" customHeight="1" x14ac:dyDescent="0.15">
      <c r="A809" s="6"/>
    </row>
    <row r="810" spans="1:1" ht="12" customHeight="1" x14ac:dyDescent="0.15">
      <c r="A810" s="6"/>
    </row>
    <row r="811" spans="1:1" ht="12" customHeight="1" x14ac:dyDescent="0.15">
      <c r="A811" s="6"/>
    </row>
    <row r="812" spans="1:1" ht="12" customHeight="1" x14ac:dyDescent="0.15">
      <c r="A812" s="6"/>
    </row>
    <row r="813" spans="1:1" ht="12" customHeight="1" x14ac:dyDescent="0.15">
      <c r="A813" s="6"/>
    </row>
    <row r="814" spans="1:1" ht="12" customHeight="1" x14ac:dyDescent="0.15">
      <c r="A814" s="6"/>
    </row>
    <row r="815" spans="1:1" ht="12" customHeight="1" x14ac:dyDescent="0.15">
      <c r="A815" s="6"/>
    </row>
    <row r="816" spans="1:1" ht="12" customHeight="1" x14ac:dyDescent="0.15">
      <c r="A816" s="6"/>
    </row>
    <row r="817" spans="1:1" ht="12" customHeight="1" x14ac:dyDescent="0.15">
      <c r="A817" s="6"/>
    </row>
    <row r="818" spans="1:1" ht="12" customHeight="1" x14ac:dyDescent="0.15">
      <c r="A818" s="6"/>
    </row>
    <row r="819" spans="1:1" ht="12" customHeight="1" x14ac:dyDescent="0.15">
      <c r="A819" s="6"/>
    </row>
    <row r="820" spans="1:1" ht="12" customHeight="1" x14ac:dyDescent="0.15">
      <c r="A820" s="6"/>
    </row>
    <row r="821" spans="1:1" ht="12" customHeight="1" x14ac:dyDescent="0.15">
      <c r="A821" s="6"/>
    </row>
    <row r="822" spans="1:1" ht="12" customHeight="1" x14ac:dyDescent="0.15">
      <c r="A822" s="6"/>
    </row>
    <row r="823" spans="1:1" ht="12" customHeight="1" x14ac:dyDescent="0.15">
      <c r="A823" s="6"/>
    </row>
    <row r="824" spans="1:1" ht="12" customHeight="1" x14ac:dyDescent="0.15">
      <c r="A824" s="6"/>
    </row>
    <row r="825" spans="1:1" ht="12" customHeight="1" x14ac:dyDescent="0.15">
      <c r="A825" s="6"/>
    </row>
    <row r="826" spans="1:1" ht="12" customHeight="1" x14ac:dyDescent="0.15">
      <c r="A826" s="6"/>
    </row>
    <row r="827" spans="1:1" ht="12" customHeight="1" x14ac:dyDescent="0.15">
      <c r="A827" s="6"/>
    </row>
    <row r="828" spans="1:1" ht="12" customHeight="1" x14ac:dyDescent="0.15">
      <c r="A828" s="6"/>
    </row>
    <row r="829" spans="1:1" ht="12" customHeight="1" x14ac:dyDescent="0.15">
      <c r="A829" s="6"/>
    </row>
    <row r="830" spans="1:1" ht="12" customHeight="1" x14ac:dyDescent="0.15">
      <c r="A830" s="6"/>
    </row>
    <row r="831" spans="1:1" ht="12" customHeight="1" x14ac:dyDescent="0.15">
      <c r="A831" s="6"/>
    </row>
    <row r="832" spans="1:1" ht="12" customHeight="1" x14ac:dyDescent="0.15">
      <c r="A832" s="6"/>
    </row>
    <row r="833" spans="1:1" ht="12" customHeight="1" x14ac:dyDescent="0.15">
      <c r="A833" s="6"/>
    </row>
    <row r="834" spans="1:1" ht="12" customHeight="1" x14ac:dyDescent="0.15">
      <c r="A834" s="6"/>
    </row>
    <row r="835" spans="1:1" ht="12" customHeight="1" x14ac:dyDescent="0.15">
      <c r="A835" s="6"/>
    </row>
    <row r="836" spans="1:1" ht="12" customHeight="1" x14ac:dyDescent="0.15">
      <c r="A836" s="6"/>
    </row>
    <row r="837" spans="1:1" ht="12" customHeight="1" x14ac:dyDescent="0.15">
      <c r="A837" s="6"/>
    </row>
    <row r="838" spans="1:1" ht="12" customHeight="1" x14ac:dyDescent="0.15">
      <c r="A838" s="6"/>
    </row>
    <row r="839" spans="1:1" ht="12" customHeight="1" x14ac:dyDescent="0.15">
      <c r="A839" s="6"/>
    </row>
    <row r="840" spans="1:1" ht="12" customHeight="1" x14ac:dyDescent="0.15">
      <c r="A840" s="6"/>
    </row>
    <row r="841" spans="1:1" ht="12" customHeight="1" x14ac:dyDescent="0.15">
      <c r="A841" s="6"/>
    </row>
    <row r="842" spans="1:1" ht="12" customHeight="1" x14ac:dyDescent="0.15">
      <c r="A842" s="6"/>
    </row>
    <row r="843" spans="1:1" ht="12" customHeight="1" x14ac:dyDescent="0.15">
      <c r="A843" s="6"/>
    </row>
    <row r="844" spans="1:1" ht="12" customHeight="1" x14ac:dyDescent="0.15">
      <c r="A844" s="6"/>
    </row>
    <row r="845" spans="1:1" ht="12" customHeight="1" x14ac:dyDescent="0.15">
      <c r="A845" s="6"/>
    </row>
    <row r="846" spans="1:1" ht="12" customHeight="1" x14ac:dyDescent="0.15">
      <c r="A846" s="6"/>
    </row>
    <row r="847" spans="1:1" ht="12" customHeight="1" x14ac:dyDescent="0.15">
      <c r="A847" s="6"/>
    </row>
    <row r="848" spans="1:1" ht="12" customHeight="1" x14ac:dyDescent="0.15">
      <c r="A848" s="6"/>
    </row>
    <row r="849" spans="1:1" ht="12" customHeight="1" x14ac:dyDescent="0.15">
      <c r="A849" s="6"/>
    </row>
    <row r="850" spans="1:1" ht="12" customHeight="1" x14ac:dyDescent="0.15">
      <c r="A850" s="6"/>
    </row>
    <row r="851" spans="1:1" ht="12" customHeight="1" x14ac:dyDescent="0.15">
      <c r="A851" s="6"/>
    </row>
    <row r="852" spans="1:1" ht="12" customHeight="1" x14ac:dyDescent="0.15">
      <c r="A852" s="6"/>
    </row>
    <row r="853" spans="1:1" ht="12" customHeight="1" x14ac:dyDescent="0.15">
      <c r="A853" s="6"/>
    </row>
    <row r="854" spans="1:1" ht="12" customHeight="1" x14ac:dyDescent="0.15">
      <c r="A854" s="6"/>
    </row>
    <row r="855" spans="1:1" ht="12" customHeight="1" x14ac:dyDescent="0.15">
      <c r="A855" s="6"/>
    </row>
    <row r="856" spans="1:1" ht="12" customHeight="1" x14ac:dyDescent="0.15">
      <c r="A856" s="6"/>
    </row>
    <row r="857" spans="1:1" ht="12" customHeight="1" x14ac:dyDescent="0.15">
      <c r="A857" s="6"/>
    </row>
    <row r="858" spans="1:1" ht="12" customHeight="1" x14ac:dyDescent="0.15">
      <c r="A858" s="6"/>
    </row>
    <row r="859" spans="1:1" ht="12" customHeight="1" x14ac:dyDescent="0.15">
      <c r="A859" s="6"/>
    </row>
    <row r="860" spans="1:1" ht="12" customHeight="1" x14ac:dyDescent="0.15">
      <c r="A860" s="6"/>
    </row>
    <row r="861" spans="1:1" ht="12" customHeight="1" x14ac:dyDescent="0.15">
      <c r="A861" s="6"/>
    </row>
    <row r="862" spans="1:1" ht="12" customHeight="1" x14ac:dyDescent="0.15">
      <c r="A862" s="6"/>
    </row>
    <row r="863" spans="1:1" ht="12" customHeight="1" x14ac:dyDescent="0.15">
      <c r="A863" s="6"/>
    </row>
    <row r="864" spans="1:1" ht="12" customHeight="1" x14ac:dyDescent="0.15">
      <c r="A864" s="6"/>
    </row>
    <row r="865" spans="1:1" ht="12" customHeight="1" x14ac:dyDescent="0.15">
      <c r="A865" s="6"/>
    </row>
    <row r="866" spans="1:1" ht="12" customHeight="1" x14ac:dyDescent="0.15">
      <c r="A866" s="6"/>
    </row>
    <row r="867" spans="1:1" ht="12" customHeight="1" x14ac:dyDescent="0.15">
      <c r="A867" s="6"/>
    </row>
    <row r="868" spans="1:1" ht="12" customHeight="1" x14ac:dyDescent="0.15">
      <c r="A868" s="6"/>
    </row>
    <row r="869" spans="1:1" ht="12" customHeight="1" x14ac:dyDescent="0.15">
      <c r="A869" s="6"/>
    </row>
    <row r="870" spans="1:1" ht="12" customHeight="1" x14ac:dyDescent="0.15">
      <c r="A870" s="6"/>
    </row>
    <row r="871" spans="1:1" ht="12" customHeight="1" x14ac:dyDescent="0.15">
      <c r="A871" s="6"/>
    </row>
    <row r="872" spans="1:1" ht="12" customHeight="1" x14ac:dyDescent="0.15">
      <c r="A872" s="6"/>
    </row>
    <row r="873" spans="1:1" ht="12" customHeight="1" x14ac:dyDescent="0.15">
      <c r="A873" s="6"/>
    </row>
    <row r="874" spans="1:1" ht="12" customHeight="1" x14ac:dyDescent="0.15">
      <c r="A874" s="6"/>
    </row>
    <row r="875" spans="1:1" ht="12" customHeight="1" x14ac:dyDescent="0.15">
      <c r="A875" s="6"/>
    </row>
    <row r="876" spans="1:1" ht="12" customHeight="1" x14ac:dyDescent="0.15">
      <c r="A876" s="6"/>
    </row>
    <row r="877" spans="1:1" ht="12" customHeight="1" x14ac:dyDescent="0.15">
      <c r="A877" s="6"/>
    </row>
    <row r="878" spans="1:1" ht="12" customHeight="1" x14ac:dyDescent="0.15">
      <c r="A878" s="6"/>
    </row>
    <row r="879" spans="1:1" ht="12" customHeight="1" x14ac:dyDescent="0.15">
      <c r="A879" s="6"/>
    </row>
    <row r="880" spans="1:1" ht="12" customHeight="1" x14ac:dyDescent="0.15">
      <c r="A880" s="6"/>
    </row>
    <row r="881" spans="1:1" ht="12" customHeight="1" x14ac:dyDescent="0.15">
      <c r="A881" s="6"/>
    </row>
    <row r="882" spans="1:1" ht="12" customHeight="1" x14ac:dyDescent="0.15">
      <c r="A882" s="6"/>
    </row>
    <row r="883" spans="1:1" ht="12" customHeight="1" x14ac:dyDescent="0.15">
      <c r="A883" s="6"/>
    </row>
    <row r="884" spans="1:1" ht="12" customHeight="1" x14ac:dyDescent="0.15">
      <c r="A884" s="6"/>
    </row>
    <row r="885" spans="1:1" ht="12" customHeight="1" x14ac:dyDescent="0.15">
      <c r="A885" s="6"/>
    </row>
    <row r="886" spans="1:1" ht="12" customHeight="1" x14ac:dyDescent="0.15">
      <c r="A886" s="6"/>
    </row>
    <row r="887" spans="1:1" ht="12" customHeight="1" x14ac:dyDescent="0.15">
      <c r="A887" s="6"/>
    </row>
    <row r="888" spans="1:1" ht="12" customHeight="1" x14ac:dyDescent="0.15">
      <c r="A888" s="6"/>
    </row>
    <row r="889" spans="1:1" ht="12" customHeight="1" x14ac:dyDescent="0.15">
      <c r="A889" s="6"/>
    </row>
    <row r="890" spans="1:1" ht="12" customHeight="1" x14ac:dyDescent="0.15">
      <c r="A890" s="6"/>
    </row>
    <row r="891" spans="1:1" ht="12" customHeight="1" x14ac:dyDescent="0.15">
      <c r="A891" s="6"/>
    </row>
    <row r="892" spans="1:1" ht="12" customHeight="1" x14ac:dyDescent="0.15">
      <c r="A892" s="6"/>
    </row>
    <row r="893" spans="1:1" ht="12" customHeight="1" x14ac:dyDescent="0.15">
      <c r="A893" s="6"/>
    </row>
    <row r="894" spans="1:1" ht="12" customHeight="1" x14ac:dyDescent="0.15">
      <c r="A894" s="6"/>
    </row>
    <row r="895" spans="1:1" ht="12" customHeight="1" x14ac:dyDescent="0.15">
      <c r="A895" s="6"/>
    </row>
    <row r="896" spans="1:1" ht="12" customHeight="1" x14ac:dyDescent="0.15">
      <c r="A896" s="6"/>
    </row>
    <row r="897" spans="1:1" ht="12" customHeight="1" x14ac:dyDescent="0.15">
      <c r="A897" s="6"/>
    </row>
    <row r="898" spans="1:1" ht="12" customHeight="1" x14ac:dyDescent="0.15">
      <c r="A898" s="6"/>
    </row>
    <row r="899" spans="1:1" ht="12" customHeight="1" x14ac:dyDescent="0.15">
      <c r="A899" s="6"/>
    </row>
    <row r="900" spans="1:1" ht="12" customHeight="1" x14ac:dyDescent="0.15">
      <c r="A900" s="6"/>
    </row>
    <row r="901" spans="1:1" ht="12" customHeight="1" x14ac:dyDescent="0.15">
      <c r="A901" s="6"/>
    </row>
    <row r="902" spans="1:1" ht="12" customHeight="1" x14ac:dyDescent="0.15">
      <c r="A902" s="6"/>
    </row>
    <row r="903" spans="1:1" ht="12" customHeight="1" x14ac:dyDescent="0.15">
      <c r="A903" s="6"/>
    </row>
    <row r="904" spans="1:1" ht="12" customHeight="1" x14ac:dyDescent="0.15">
      <c r="A904" s="6"/>
    </row>
    <row r="905" spans="1:1" ht="12" customHeight="1" x14ac:dyDescent="0.15">
      <c r="A905" s="6"/>
    </row>
    <row r="906" spans="1:1" ht="12" customHeight="1" x14ac:dyDescent="0.15">
      <c r="A906" s="6"/>
    </row>
    <row r="907" spans="1:1" ht="12" customHeight="1" x14ac:dyDescent="0.15">
      <c r="A907" s="6"/>
    </row>
    <row r="908" spans="1:1" ht="12" customHeight="1" x14ac:dyDescent="0.15">
      <c r="A908" s="6"/>
    </row>
    <row r="909" spans="1:1" ht="12" customHeight="1" x14ac:dyDescent="0.15">
      <c r="A909" s="6"/>
    </row>
    <row r="910" spans="1:1" ht="12" customHeight="1" x14ac:dyDescent="0.15">
      <c r="A910" s="6"/>
    </row>
    <row r="911" spans="1:1" ht="12" customHeight="1" x14ac:dyDescent="0.15">
      <c r="A911" s="6"/>
    </row>
    <row r="912" spans="1:1" ht="12" customHeight="1" x14ac:dyDescent="0.15">
      <c r="A912" s="6"/>
    </row>
    <row r="913" spans="1:1" ht="12" customHeight="1" x14ac:dyDescent="0.15">
      <c r="A913" s="6"/>
    </row>
    <row r="914" spans="1:1" ht="12" customHeight="1" x14ac:dyDescent="0.15">
      <c r="A914" s="6"/>
    </row>
    <row r="915" spans="1:1" ht="12" customHeight="1" x14ac:dyDescent="0.15">
      <c r="A915" s="6"/>
    </row>
    <row r="916" spans="1:1" ht="12" customHeight="1" x14ac:dyDescent="0.15">
      <c r="A916" s="6"/>
    </row>
    <row r="917" spans="1:1" ht="12" customHeight="1" x14ac:dyDescent="0.15">
      <c r="A917" s="6"/>
    </row>
    <row r="918" spans="1:1" ht="12" customHeight="1" x14ac:dyDescent="0.15">
      <c r="A918" s="6"/>
    </row>
    <row r="919" spans="1:1" ht="12" customHeight="1" x14ac:dyDescent="0.15">
      <c r="A919" s="6"/>
    </row>
    <row r="920" spans="1:1" ht="12" customHeight="1" x14ac:dyDescent="0.15">
      <c r="A920" s="6"/>
    </row>
    <row r="921" spans="1:1" ht="12" customHeight="1" x14ac:dyDescent="0.15">
      <c r="A921" s="6"/>
    </row>
    <row r="922" spans="1:1" ht="12" customHeight="1" x14ac:dyDescent="0.15">
      <c r="A922" s="6"/>
    </row>
    <row r="923" spans="1:1" ht="12" customHeight="1" x14ac:dyDescent="0.15">
      <c r="A923" s="6"/>
    </row>
    <row r="924" spans="1:1" ht="12" customHeight="1" x14ac:dyDescent="0.15">
      <c r="A924" s="6"/>
    </row>
    <row r="925" spans="1:1" ht="12" customHeight="1" x14ac:dyDescent="0.15">
      <c r="A925" s="6"/>
    </row>
    <row r="926" spans="1:1" ht="12" customHeight="1" x14ac:dyDescent="0.15">
      <c r="A926" s="6"/>
    </row>
    <row r="927" spans="1:1" ht="12" customHeight="1" x14ac:dyDescent="0.15">
      <c r="A927" s="6"/>
    </row>
    <row r="928" spans="1:1" ht="12" customHeight="1" x14ac:dyDescent="0.15">
      <c r="A928" s="6"/>
    </row>
    <row r="929" spans="1:1" ht="12" customHeight="1" x14ac:dyDescent="0.15">
      <c r="A929" s="6"/>
    </row>
    <row r="930" spans="1:1" ht="12" customHeight="1" x14ac:dyDescent="0.15">
      <c r="A930" s="6"/>
    </row>
    <row r="931" spans="1:1" ht="12" customHeight="1" x14ac:dyDescent="0.15">
      <c r="A931" s="6"/>
    </row>
    <row r="932" spans="1:1" ht="12" customHeight="1" x14ac:dyDescent="0.15">
      <c r="A932" s="6"/>
    </row>
    <row r="933" spans="1:1" ht="12" customHeight="1" x14ac:dyDescent="0.15">
      <c r="A933" s="6"/>
    </row>
    <row r="934" spans="1:1" ht="12" customHeight="1" x14ac:dyDescent="0.15">
      <c r="A934" s="6"/>
    </row>
    <row r="935" spans="1:1" ht="12" customHeight="1" x14ac:dyDescent="0.15">
      <c r="A935" s="6"/>
    </row>
    <row r="936" spans="1:1" ht="12" customHeight="1" x14ac:dyDescent="0.15">
      <c r="A936" s="6"/>
    </row>
    <row r="937" spans="1:1" ht="12" customHeight="1" x14ac:dyDescent="0.15">
      <c r="A937" s="6"/>
    </row>
    <row r="938" spans="1:1" ht="12" customHeight="1" x14ac:dyDescent="0.15">
      <c r="A938" s="6"/>
    </row>
    <row r="939" spans="1:1" ht="12" customHeight="1" x14ac:dyDescent="0.15">
      <c r="A939" s="6"/>
    </row>
    <row r="940" spans="1:1" ht="12" customHeight="1" x14ac:dyDescent="0.15">
      <c r="A940" s="6"/>
    </row>
    <row r="941" spans="1:1" ht="12" customHeight="1" x14ac:dyDescent="0.15">
      <c r="A941" s="6"/>
    </row>
    <row r="942" spans="1:1" ht="12" customHeight="1" x14ac:dyDescent="0.15">
      <c r="A942" s="6"/>
    </row>
    <row r="943" spans="1:1" ht="12" customHeight="1" x14ac:dyDescent="0.15">
      <c r="A943" s="6"/>
    </row>
    <row r="944" spans="1:1" ht="12" customHeight="1" x14ac:dyDescent="0.15">
      <c r="A944" s="6"/>
    </row>
    <row r="945" spans="1:1" ht="12" customHeight="1" x14ac:dyDescent="0.15">
      <c r="A945" s="6"/>
    </row>
    <row r="946" spans="1:1" ht="12" customHeight="1" x14ac:dyDescent="0.15">
      <c r="A946" s="6"/>
    </row>
    <row r="947" spans="1:1" ht="12" customHeight="1" x14ac:dyDescent="0.15">
      <c r="A947" s="6"/>
    </row>
    <row r="948" spans="1:1" ht="12" customHeight="1" x14ac:dyDescent="0.15">
      <c r="A948" s="6"/>
    </row>
    <row r="949" spans="1:1" ht="12" customHeight="1" x14ac:dyDescent="0.15">
      <c r="A949" s="6"/>
    </row>
    <row r="950" spans="1:1" ht="12" customHeight="1" x14ac:dyDescent="0.15">
      <c r="A950" s="6"/>
    </row>
    <row r="951" spans="1:1" ht="12" customHeight="1" x14ac:dyDescent="0.15">
      <c r="A951" s="6"/>
    </row>
    <row r="952" spans="1:1" ht="12" customHeight="1" x14ac:dyDescent="0.15">
      <c r="A952" s="6"/>
    </row>
    <row r="953" spans="1:1" ht="12" customHeight="1" x14ac:dyDescent="0.15">
      <c r="A953" s="6"/>
    </row>
    <row r="954" spans="1:1" ht="12" customHeight="1" x14ac:dyDescent="0.15">
      <c r="A954" s="6"/>
    </row>
    <row r="955" spans="1:1" ht="12" customHeight="1" x14ac:dyDescent="0.15">
      <c r="A955" s="6"/>
    </row>
    <row r="956" spans="1:1" ht="12" customHeight="1" x14ac:dyDescent="0.15">
      <c r="A956" s="6"/>
    </row>
    <row r="957" spans="1:1" ht="12" customHeight="1" x14ac:dyDescent="0.15">
      <c r="A957" s="6"/>
    </row>
    <row r="958" spans="1:1" ht="12" customHeight="1" x14ac:dyDescent="0.15">
      <c r="A958" s="6"/>
    </row>
    <row r="959" spans="1:1" ht="12" customHeight="1" x14ac:dyDescent="0.15">
      <c r="A959" s="6"/>
    </row>
    <row r="960" spans="1:1" ht="12" customHeight="1" x14ac:dyDescent="0.15">
      <c r="A960" s="6"/>
    </row>
    <row r="961" spans="1:1" ht="12" customHeight="1" x14ac:dyDescent="0.15">
      <c r="A961" s="6"/>
    </row>
    <row r="962" spans="1:1" ht="12" customHeight="1" x14ac:dyDescent="0.15">
      <c r="A962" s="6"/>
    </row>
    <row r="963" spans="1:1" ht="12" customHeight="1" x14ac:dyDescent="0.15">
      <c r="A963" s="6"/>
    </row>
    <row r="964" spans="1:1" ht="12" customHeight="1" x14ac:dyDescent="0.15">
      <c r="A964" s="6"/>
    </row>
    <row r="965" spans="1:1" ht="12" customHeight="1" x14ac:dyDescent="0.15">
      <c r="A965" s="6"/>
    </row>
    <row r="966" spans="1:1" ht="12" customHeight="1" x14ac:dyDescent="0.15">
      <c r="A966" s="6"/>
    </row>
    <row r="967" spans="1:1" ht="12" customHeight="1" x14ac:dyDescent="0.15">
      <c r="A967" s="6"/>
    </row>
    <row r="968" spans="1:1" ht="12" customHeight="1" x14ac:dyDescent="0.15">
      <c r="A968" s="6"/>
    </row>
    <row r="969" spans="1:1" ht="12" customHeight="1" x14ac:dyDescent="0.15">
      <c r="A969" s="6"/>
    </row>
    <row r="970" spans="1:1" ht="12" customHeight="1" x14ac:dyDescent="0.15">
      <c r="A970" s="6"/>
    </row>
    <row r="971" spans="1:1" ht="12" customHeight="1" x14ac:dyDescent="0.15">
      <c r="A971" s="6"/>
    </row>
    <row r="972" spans="1:1" ht="12" customHeight="1" x14ac:dyDescent="0.15">
      <c r="A972" s="6"/>
    </row>
    <row r="973" spans="1:1" ht="12" customHeight="1" x14ac:dyDescent="0.15">
      <c r="A973" s="6"/>
    </row>
    <row r="974" spans="1:1" ht="12" customHeight="1" x14ac:dyDescent="0.15">
      <c r="A974" s="6"/>
    </row>
    <row r="975" spans="1:1" ht="12" customHeight="1" x14ac:dyDescent="0.15">
      <c r="A975" s="6"/>
    </row>
    <row r="976" spans="1:1" ht="12" customHeight="1" x14ac:dyDescent="0.15">
      <c r="A976" s="6"/>
    </row>
    <row r="977" spans="1:1" ht="12" customHeight="1" x14ac:dyDescent="0.15">
      <c r="A977" s="6"/>
    </row>
    <row r="978" spans="1:1" ht="12" customHeight="1" x14ac:dyDescent="0.15">
      <c r="A978" s="6"/>
    </row>
    <row r="979" spans="1:1" ht="12" customHeight="1" x14ac:dyDescent="0.15">
      <c r="A979" s="6"/>
    </row>
    <row r="980" spans="1:1" ht="12" customHeight="1" x14ac:dyDescent="0.15">
      <c r="A980" s="6"/>
    </row>
    <row r="981" spans="1:1" ht="12" customHeight="1" x14ac:dyDescent="0.15">
      <c r="A981" s="6"/>
    </row>
    <row r="982" spans="1:1" ht="12" customHeight="1" x14ac:dyDescent="0.15">
      <c r="A982" s="6"/>
    </row>
    <row r="983" spans="1:1" ht="12" customHeight="1" x14ac:dyDescent="0.15">
      <c r="A983" s="6"/>
    </row>
    <row r="984" spans="1:1" ht="12" customHeight="1" x14ac:dyDescent="0.15">
      <c r="A984" s="6"/>
    </row>
    <row r="985" spans="1:1" ht="12" customHeight="1" x14ac:dyDescent="0.15">
      <c r="A985" s="6"/>
    </row>
    <row r="986" spans="1:1" ht="12" customHeight="1" x14ac:dyDescent="0.15">
      <c r="A986" s="6"/>
    </row>
    <row r="987" spans="1:1" ht="12" customHeight="1" x14ac:dyDescent="0.15">
      <c r="A987" s="6"/>
    </row>
    <row r="988" spans="1:1" ht="12" customHeight="1" x14ac:dyDescent="0.15">
      <c r="A988" s="6"/>
    </row>
    <row r="989" spans="1:1" ht="12" customHeight="1" x14ac:dyDescent="0.15">
      <c r="A989" s="6"/>
    </row>
    <row r="990" spans="1:1" ht="12" customHeight="1" x14ac:dyDescent="0.15">
      <c r="A990" s="6"/>
    </row>
    <row r="991" spans="1:1" ht="12" customHeight="1" x14ac:dyDescent="0.15">
      <c r="A991" s="6"/>
    </row>
    <row r="992" spans="1:1" ht="12" customHeight="1" x14ac:dyDescent="0.15">
      <c r="A992" s="6"/>
    </row>
    <row r="993" spans="1:1" ht="12" customHeight="1" x14ac:dyDescent="0.15">
      <c r="A993" s="6"/>
    </row>
    <row r="994" spans="1:1" ht="12" customHeight="1" x14ac:dyDescent="0.15">
      <c r="A994" s="6"/>
    </row>
    <row r="995" spans="1:1" ht="12" customHeight="1" x14ac:dyDescent="0.15">
      <c r="A995" s="6"/>
    </row>
    <row r="996" spans="1:1" ht="12" customHeight="1" x14ac:dyDescent="0.15">
      <c r="A996" s="6"/>
    </row>
    <row r="997" spans="1:1" ht="12" customHeight="1" x14ac:dyDescent="0.15">
      <c r="A997" s="6"/>
    </row>
    <row r="998" spans="1:1" ht="12" customHeight="1" x14ac:dyDescent="0.15">
      <c r="A998" s="6"/>
    </row>
    <row r="999" spans="1:1" ht="12" customHeight="1" x14ac:dyDescent="0.15">
      <c r="A999" s="6"/>
    </row>
    <row r="1000" spans="1:1" ht="12" customHeight="1" x14ac:dyDescent="0.15">
      <c r="A1000" s="6"/>
    </row>
    <row r="1001" spans="1:1" ht="12" customHeight="1" x14ac:dyDescent="0.15">
      <c r="A1001" s="6"/>
    </row>
    <row r="1002" spans="1:1" ht="12" customHeight="1" x14ac:dyDescent="0.15">
      <c r="A1002" s="6"/>
    </row>
    <row r="1003" spans="1:1" ht="12" customHeight="1" x14ac:dyDescent="0.15">
      <c r="A1003" s="6"/>
    </row>
    <row r="1004" spans="1:1" ht="12" customHeight="1" x14ac:dyDescent="0.15">
      <c r="A1004" s="6"/>
    </row>
    <row r="1005" spans="1:1" ht="12" customHeight="1" x14ac:dyDescent="0.15">
      <c r="A1005" s="6"/>
    </row>
    <row r="1006" spans="1:1" ht="12" customHeight="1" x14ac:dyDescent="0.15">
      <c r="A1006" s="6"/>
    </row>
    <row r="1007" spans="1:1" ht="12" customHeight="1" x14ac:dyDescent="0.15">
      <c r="A1007" s="6"/>
    </row>
    <row r="1008" spans="1:1" ht="12" customHeight="1" x14ac:dyDescent="0.15">
      <c r="A1008" s="6"/>
    </row>
    <row r="1009" spans="1:1" ht="12" customHeight="1" x14ac:dyDescent="0.15">
      <c r="A1009" s="6"/>
    </row>
    <row r="1010" spans="1:1" ht="12" customHeight="1" x14ac:dyDescent="0.15">
      <c r="A1010" s="6"/>
    </row>
    <row r="1011" spans="1:1" ht="12" customHeight="1" x14ac:dyDescent="0.15">
      <c r="A1011" s="6"/>
    </row>
    <row r="1012" spans="1:1" ht="12" customHeight="1" x14ac:dyDescent="0.15">
      <c r="A1012" s="6"/>
    </row>
    <row r="1013" spans="1:1" ht="12" customHeight="1" x14ac:dyDescent="0.15">
      <c r="A1013" s="6"/>
    </row>
    <row r="1014" spans="1:1" ht="12" customHeight="1" x14ac:dyDescent="0.15">
      <c r="A1014" s="6"/>
    </row>
    <row r="1015" spans="1:1" ht="12" customHeight="1" x14ac:dyDescent="0.15">
      <c r="A1015" s="6"/>
    </row>
    <row r="1016" spans="1:1" ht="12" customHeight="1" x14ac:dyDescent="0.15">
      <c r="A1016" s="6"/>
    </row>
    <row r="1017" spans="1:1" ht="12" customHeight="1" x14ac:dyDescent="0.15">
      <c r="A1017" s="6"/>
    </row>
    <row r="1018" spans="1:1" ht="12" customHeight="1" x14ac:dyDescent="0.15">
      <c r="A1018" s="6"/>
    </row>
    <row r="1019" spans="1:1" ht="12" customHeight="1" x14ac:dyDescent="0.15">
      <c r="A1019" s="6"/>
    </row>
    <row r="1020" spans="1:1" ht="12" customHeight="1" x14ac:dyDescent="0.15">
      <c r="A1020" s="6"/>
    </row>
    <row r="1021" spans="1:1" ht="12" customHeight="1" x14ac:dyDescent="0.15">
      <c r="A1021" s="6"/>
    </row>
    <row r="1022" spans="1:1" ht="12" customHeight="1" x14ac:dyDescent="0.15">
      <c r="A1022" s="6"/>
    </row>
    <row r="1023" spans="1:1" ht="12" customHeight="1" x14ac:dyDescent="0.15">
      <c r="A1023" s="6"/>
    </row>
    <row r="1024" spans="1:1" ht="12" customHeight="1" x14ac:dyDescent="0.15">
      <c r="A1024" s="6"/>
    </row>
    <row r="1025" spans="1:1" ht="12" customHeight="1" x14ac:dyDescent="0.15">
      <c r="A1025" s="6"/>
    </row>
    <row r="1026" spans="1:1" ht="12" customHeight="1" x14ac:dyDescent="0.15">
      <c r="A1026" s="6"/>
    </row>
    <row r="1027" spans="1:1" ht="12" customHeight="1" x14ac:dyDescent="0.15">
      <c r="A1027" s="6"/>
    </row>
    <row r="1028" spans="1:1" ht="12" customHeight="1" x14ac:dyDescent="0.15">
      <c r="A1028" s="6"/>
    </row>
    <row r="1029" spans="1:1" ht="12" customHeight="1" x14ac:dyDescent="0.15">
      <c r="A1029" s="6"/>
    </row>
    <row r="1030" spans="1:1" ht="12" customHeight="1" x14ac:dyDescent="0.15">
      <c r="A1030" s="6"/>
    </row>
    <row r="1031" spans="1:1" ht="12" customHeight="1" x14ac:dyDescent="0.15">
      <c r="A1031" s="6"/>
    </row>
    <row r="1032" spans="1:1" ht="12" customHeight="1" x14ac:dyDescent="0.15">
      <c r="A1032" s="6"/>
    </row>
    <row r="1033" spans="1:1" ht="12" customHeight="1" x14ac:dyDescent="0.15">
      <c r="A1033" s="6"/>
    </row>
    <row r="1034" spans="1:1" ht="12" customHeight="1" x14ac:dyDescent="0.15">
      <c r="A1034" s="6"/>
    </row>
    <row r="1035" spans="1:1" ht="12" customHeight="1" x14ac:dyDescent="0.15">
      <c r="A1035" s="6"/>
    </row>
    <row r="1036" spans="1:1" ht="12" customHeight="1" x14ac:dyDescent="0.15">
      <c r="A1036" s="6"/>
    </row>
    <row r="1037" spans="1:1" ht="12" customHeight="1" x14ac:dyDescent="0.15">
      <c r="A1037" s="6"/>
    </row>
    <row r="1038" spans="1:1" ht="12" customHeight="1" x14ac:dyDescent="0.15">
      <c r="A1038" s="6"/>
    </row>
    <row r="1039" spans="1:1" ht="12" customHeight="1" x14ac:dyDescent="0.15">
      <c r="A1039" s="6"/>
    </row>
    <row r="1040" spans="1:1" ht="12" customHeight="1" x14ac:dyDescent="0.15">
      <c r="A1040" s="6"/>
    </row>
    <row r="1041" spans="1:1" ht="12" customHeight="1" x14ac:dyDescent="0.15">
      <c r="A1041" s="6"/>
    </row>
    <row r="1042" spans="1:1" ht="12" customHeight="1" x14ac:dyDescent="0.15">
      <c r="A1042" s="6"/>
    </row>
    <row r="1043" spans="1:1" ht="12" customHeight="1" x14ac:dyDescent="0.15">
      <c r="A1043" s="6"/>
    </row>
    <row r="1044" spans="1:1" ht="12" customHeight="1" x14ac:dyDescent="0.15">
      <c r="A1044" s="6"/>
    </row>
    <row r="1045" spans="1:1" ht="12" customHeight="1" x14ac:dyDescent="0.15">
      <c r="A1045" s="6"/>
    </row>
    <row r="1046" spans="1:1" ht="12" customHeight="1" x14ac:dyDescent="0.15">
      <c r="A1046" s="6"/>
    </row>
    <row r="1047" spans="1:1" ht="12" customHeight="1" x14ac:dyDescent="0.15">
      <c r="A1047" s="6"/>
    </row>
    <row r="1048" spans="1:1" ht="12" customHeight="1" x14ac:dyDescent="0.15">
      <c r="A1048" s="6"/>
    </row>
    <row r="1049" spans="1:1" ht="12" customHeight="1" x14ac:dyDescent="0.15">
      <c r="A1049" s="6"/>
    </row>
    <row r="1050" spans="1:1" ht="12" customHeight="1" x14ac:dyDescent="0.15">
      <c r="A1050" s="6"/>
    </row>
    <row r="1051" spans="1:1" ht="12" customHeight="1" x14ac:dyDescent="0.15">
      <c r="A1051" s="6"/>
    </row>
    <row r="1052" spans="1:1" ht="12" customHeight="1" x14ac:dyDescent="0.15">
      <c r="A1052" s="6"/>
    </row>
    <row r="1053" spans="1:1" ht="12" customHeight="1" x14ac:dyDescent="0.15">
      <c r="A1053" s="6"/>
    </row>
    <row r="1054" spans="1:1" ht="12" customHeight="1" x14ac:dyDescent="0.15">
      <c r="A1054" s="6"/>
    </row>
    <row r="1055" spans="1:1" ht="12" customHeight="1" x14ac:dyDescent="0.15">
      <c r="A1055" s="6"/>
    </row>
    <row r="1056" spans="1:1" ht="12" customHeight="1" x14ac:dyDescent="0.15">
      <c r="A1056" s="6"/>
    </row>
    <row r="1057" spans="1:1" ht="12" customHeight="1" x14ac:dyDescent="0.15">
      <c r="A1057" s="6"/>
    </row>
    <row r="1058" spans="1:1" ht="12" customHeight="1" x14ac:dyDescent="0.15">
      <c r="A1058" s="6"/>
    </row>
    <row r="1059" spans="1:1" ht="12" customHeight="1" x14ac:dyDescent="0.15">
      <c r="A1059" s="6"/>
    </row>
    <row r="1060" spans="1:1" ht="12" customHeight="1" x14ac:dyDescent="0.15">
      <c r="A1060" s="6"/>
    </row>
    <row r="1061" spans="1:1" ht="12" customHeight="1" x14ac:dyDescent="0.15">
      <c r="A1061" s="6"/>
    </row>
    <row r="1062" spans="1:1" ht="12" customHeight="1" x14ac:dyDescent="0.15">
      <c r="A1062" s="6"/>
    </row>
    <row r="1063" spans="1:1" ht="12" customHeight="1" x14ac:dyDescent="0.15">
      <c r="A1063" s="6"/>
    </row>
    <row r="1064" spans="1:1" ht="12" customHeight="1" x14ac:dyDescent="0.15">
      <c r="A1064" s="6"/>
    </row>
    <row r="1065" spans="1:1" ht="12" customHeight="1" x14ac:dyDescent="0.15">
      <c r="A1065" s="6"/>
    </row>
    <row r="1066" spans="1:1" ht="12" customHeight="1" x14ac:dyDescent="0.15">
      <c r="A1066" s="6"/>
    </row>
    <row r="1067" spans="1:1" ht="12" customHeight="1" x14ac:dyDescent="0.15">
      <c r="A1067" s="6"/>
    </row>
    <row r="1068" spans="1:1" ht="12" customHeight="1" x14ac:dyDescent="0.15">
      <c r="A1068" s="6"/>
    </row>
    <row r="1069" spans="1:1" ht="12" customHeight="1" x14ac:dyDescent="0.15">
      <c r="A1069" s="6"/>
    </row>
    <row r="1070" spans="1:1" ht="12" customHeight="1" x14ac:dyDescent="0.15">
      <c r="A1070" s="6"/>
    </row>
    <row r="1071" spans="1:1" ht="12" customHeight="1" x14ac:dyDescent="0.15">
      <c r="A1071" s="6"/>
    </row>
    <row r="1072" spans="1:1" ht="12" customHeight="1" x14ac:dyDescent="0.15">
      <c r="A1072" s="6"/>
    </row>
    <row r="1073" spans="1:1" ht="12" customHeight="1" x14ac:dyDescent="0.15">
      <c r="A1073" s="6"/>
    </row>
    <row r="1074" spans="1:1" ht="12" customHeight="1" x14ac:dyDescent="0.15">
      <c r="A1074" s="6"/>
    </row>
    <row r="1075" spans="1:1" ht="12" customHeight="1" x14ac:dyDescent="0.15">
      <c r="A1075" s="6"/>
    </row>
    <row r="1076" spans="1:1" ht="12" customHeight="1" x14ac:dyDescent="0.15">
      <c r="A1076" s="6"/>
    </row>
    <row r="1077" spans="1:1" ht="12" customHeight="1" x14ac:dyDescent="0.15">
      <c r="A1077" s="6"/>
    </row>
    <row r="1078" spans="1:1" ht="12" customHeight="1" x14ac:dyDescent="0.15">
      <c r="A1078" s="6"/>
    </row>
    <row r="1079" spans="1:1" ht="12" customHeight="1" x14ac:dyDescent="0.15">
      <c r="A1079" s="6"/>
    </row>
    <row r="1080" spans="1:1" ht="12" customHeight="1" x14ac:dyDescent="0.15">
      <c r="A1080" s="6"/>
    </row>
    <row r="1081" spans="1:1" ht="12" customHeight="1" x14ac:dyDescent="0.15">
      <c r="A1081" s="6"/>
    </row>
    <row r="1082" spans="1:1" ht="12" customHeight="1" x14ac:dyDescent="0.15">
      <c r="A1082" s="6"/>
    </row>
    <row r="1083" spans="1:1" ht="12" customHeight="1" x14ac:dyDescent="0.15">
      <c r="A1083" s="6"/>
    </row>
    <row r="1084" spans="1:1" ht="12" customHeight="1" x14ac:dyDescent="0.15">
      <c r="A1084" s="6"/>
    </row>
    <row r="1085" spans="1:1" ht="12" customHeight="1" x14ac:dyDescent="0.15">
      <c r="A1085" s="6"/>
    </row>
    <row r="1086" spans="1:1" ht="12" customHeight="1" x14ac:dyDescent="0.15">
      <c r="A1086" s="6"/>
    </row>
    <row r="1087" spans="1:1" ht="12" customHeight="1" x14ac:dyDescent="0.15">
      <c r="A1087" s="6"/>
    </row>
    <row r="1088" spans="1:1" ht="12" customHeight="1" x14ac:dyDescent="0.15">
      <c r="A1088" s="6"/>
    </row>
    <row r="1089" spans="1:1" ht="12" customHeight="1" x14ac:dyDescent="0.15">
      <c r="A1089" s="6"/>
    </row>
    <row r="1090" spans="1:1" ht="12" customHeight="1" x14ac:dyDescent="0.15">
      <c r="A1090" s="6"/>
    </row>
    <row r="1091" spans="1:1" ht="12" customHeight="1" x14ac:dyDescent="0.15">
      <c r="A1091" s="6"/>
    </row>
    <row r="1092" spans="1:1" ht="12" customHeight="1" x14ac:dyDescent="0.15">
      <c r="A1092" s="6"/>
    </row>
    <row r="1093" spans="1:1" ht="12" customHeight="1" x14ac:dyDescent="0.15">
      <c r="A1093" s="6"/>
    </row>
    <row r="1094" spans="1:1" ht="12" customHeight="1" x14ac:dyDescent="0.15">
      <c r="A1094" s="6"/>
    </row>
    <row r="1095" spans="1:1" ht="12" customHeight="1" x14ac:dyDescent="0.15">
      <c r="A1095" s="6"/>
    </row>
    <row r="1096" spans="1:1" ht="12" customHeight="1" x14ac:dyDescent="0.15">
      <c r="A1096" s="6"/>
    </row>
    <row r="1097" spans="1:1" ht="12" customHeight="1" x14ac:dyDescent="0.15">
      <c r="A1097" s="6"/>
    </row>
    <row r="1098" spans="1:1" ht="12" customHeight="1" x14ac:dyDescent="0.15">
      <c r="A1098" s="6"/>
    </row>
    <row r="1099" spans="1:1" ht="12" customHeight="1" x14ac:dyDescent="0.15">
      <c r="A1099" s="6"/>
    </row>
    <row r="1100" spans="1:1" ht="12" customHeight="1" x14ac:dyDescent="0.15">
      <c r="A1100" s="6"/>
    </row>
    <row r="1101" spans="1:1" ht="12" customHeight="1" x14ac:dyDescent="0.15">
      <c r="A1101" s="6"/>
    </row>
    <row r="1102" spans="1:1" ht="12" customHeight="1" x14ac:dyDescent="0.15">
      <c r="A1102" s="6"/>
    </row>
    <row r="1103" spans="1:1" ht="12" customHeight="1" x14ac:dyDescent="0.15">
      <c r="A1103" s="6"/>
    </row>
    <row r="1104" spans="1:1" ht="12" customHeight="1" x14ac:dyDescent="0.15">
      <c r="A1104" s="6"/>
    </row>
    <row r="1105" spans="1:1" ht="12" customHeight="1" x14ac:dyDescent="0.15">
      <c r="A1105" s="6"/>
    </row>
    <row r="1106" spans="1:1" ht="12" customHeight="1" x14ac:dyDescent="0.15">
      <c r="A1106" s="6"/>
    </row>
    <row r="1107" spans="1:1" ht="12" customHeight="1" x14ac:dyDescent="0.15">
      <c r="A1107" s="6"/>
    </row>
    <row r="1108" spans="1:1" ht="12" customHeight="1" x14ac:dyDescent="0.15">
      <c r="A1108" s="6"/>
    </row>
    <row r="1109" spans="1:1" ht="12" customHeight="1" x14ac:dyDescent="0.15">
      <c r="A1109" s="6"/>
    </row>
    <row r="1110" spans="1:1" ht="12" customHeight="1" x14ac:dyDescent="0.15">
      <c r="A1110" s="6"/>
    </row>
    <row r="1111" spans="1:1" ht="12" customHeight="1" x14ac:dyDescent="0.15">
      <c r="A1111" s="6"/>
    </row>
    <row r="1112" spans="1:1" ht="12" customHeight="1" x14ac:dyDescent="0.15">
      <c r="A1112" s="6"/>
    </row>
    <row r="1113" spans="1:1" ht="12" customHeight="1" x14ac:dyDescent="0.15">
      <c r="A1113" s="6"/>
    </row>
    <row r="1114" spans="1:1" ht="12" customHeight="1" x14ac:dyDescent="0.15">
      <c r="A1114" s="6"/>
    </row>
    <row r="1115" spans="1:1" ht="12" customHeight="1" x14ac:dyDescent="0.15">
      <c r="A1115" s="6"/>
    </row>
    <row r="1116" spans="1:1" ht="12" customHeight="1" x14ac:dyDescent="0.15">
      <c r="A1116" s="6"/>
    </row>
    <row r="1117" spans="1:1" ht="12" customHeight="1" x14ac:dyDescent="0.15">
      <c r="A1117" s="6"/>
    </row>
    <row r="1118" spans="1:1" ht="12" customHeight="1" x14ac:dyDescent="0.15">
      <c r="A1118" s="6"/>
    </row>
    <row r="1119" spans="1:1" ht="12" customHeight="1" x14ac:dyDescent="0.15">
      <c r="A1119" s="6"/>
    </row>
    <row r="1120" spans="1:1" ht="12" customHeight="1" x14ac:dyDescent="0.15">
      <c r="A1120" s="6"/>
    </row>
    <row r="1121" spans="1:1" ht="12" customHeight="1" x14ac:dyDescent="0.15">
      <c r="A1121" s="6"/>
    </row>
    <row r="1122" spans="1:1" ht="12" customHeight="1" x14ac:dyDescent="0.15">
      <c r="A1122" s="6"/>
    </row>
    <row r="1123" spans="1:1" ht="12" customHeight="1" x14ac:dyDescent="0.15">
      <c r="A1123" s="6"/>
    </row>
    <row r="1124" spans="1:1" ht="12" customHeight="1" x14ac:dyDescent="0.15">
      <c r="A1124" s="6"/>
    </row>
    <row r="1125" spans="1:1" ht="12" customHeight="1" x14ac:dyDescent="0.15">
      <c r="A1125" s="6"/>
    </row>
    <row r="1126" spans="1:1" ht="12" customHeight="1" x14ac:dyDescent="0.15">
      <c r="A1126" s="6"/>
    </row>
    <row r="1127" spans="1:1" ht="12" customHeight="1" x14ac:dyDescent="0.15">
      <c r="A1127" s="6"/>
    </row>
    <row r="1128" spans="1:1" ht="12" customHeight="1" x14ac:dyDescent="0.15">
      <c r="A1128" s="6"/>
    </row>
    <row r="1129" spans="1:1" ht="12" customHeight="1" x14ac:dyDescent="0.15">
      <c r="A1129" s="6"/>
    </row>
    <row r="1130" spans="1:1" ht="12" customHeight="1" x14ac:dyDescent="0.15">
      <c r="A1130" s="6"/>
    </row>
    <row r="1131" spans="1:1" ht="12" customHeight="1" x14ac:dyDescent="0.15">
      <c r="A1131" s="6"/>
    </row>
    <row r="1132" spans="1:1" ht="12" customHeight="1" x14ac:dyDescent="0.15">
      <c r="A1132" s="6"/>
    </row>
    <row r="1133" spans="1:1" ht="12" customHeight="1" x14ac:dyDescent="0.15">
      <c r="A1133" s="6"/>
    </row>
    <row r="1134" spans="1:1" ht="12" customHeight="1" x14ac:dyDescent="0.15">
      <c r="A1134" s="6"/>
    </row>
    <row r="1135" spans="1:1" ht="12" customHeight="1" x14ac:dyDescent="0.15">
      <c r="A1135" s="6"/>
    </row>
    <row r="1136" spans="1:1" ht="12" customHeight="1" x14ac:dyDescent="0.15">
      <c r="A1136" s="6"/>
    </row>
    <row r="1137" spans="1:1" ht="12" customHeight="1" x14ac:dyDescent="0.15">
      <c r="A1137" s="6"/>
    </row>
    <row r="1138" spans="1:1" ht="12" customHeight="1" x14ac:dyDescent="0.15">
      <c r="A1138" s="6"/>
    </row>
    <row r="1139" spans="1:1" ht="12" customHeight="1" x14ac:dyDescent="0.15">
      <c r="A1139" s="6"/>
    </row>
    <row r="1140" spans="1:1" ht="12" customHeight="1" x14ac:dyDescent="0.15">
      <c r="A1140" s="6"/>
    </row>
    <row r="1141" spans="1:1" ht="12" customHeight="1" x14ac:dyDescent="0.15">
      <c r="A1141" s="6"/>
    </row>
    <row r="1142" spans="1:1" ht="12" customHeight="1" x14ac:dyDescent="0.15">
      <c r="A1142" s="6"/>
    </row>
    <row r="1143" spans="1:1" ht="12" customHeight="1" x14ac:dyDescent="0.15">
      <c r="A1143" s="6"/>
    </row>
    <row r="1144" spans="1:1" ht="12" customHeight="1" x14ac:dyDescent="0.15">
      <c r="A1144" s="6"/>
    </row>
    <row r="1145" spans="1:1" ht="12" customHeight="1" x14ac:dyDescent="0.15">
      <c r="A1145" s="6"/>
    </row>
    <row r="1146" spans="1:1" ht="12" customHeight="1" x14ac:dyDescent="0.15">
      <c r="A1146" s="6"/>
    </row>
    <row r="1147" spans="1:1" ht="12" customHeight="1" x14ac:dyDescent="0.15">
      <c r="A1147" s="6"/>
    </row>
    <row r="1148" spans="1:1" ht="12" customHeight="1" x14ac:dyDescent="0.15">
      <c r="A1148" s="6"/>
    </row>
    <row r="1149" spans="1:1" ht="12" customHeight="1" x14ac:dyDescent="0.15">
      <c r="A1149" s="6"/>
    </row>
    <row r="1150" spans="1:1" ht="12" customHeight="1" x14ac:dyDescent="0.15">
      <c r="A1150" s="6"/>
    </row>
    <row r="1151" spans="1:1" ht="12" customHeight="1" x14ac:dyDescent="0.15">
      <c r="A1151" s="6"/>
    </row>
    <row r="1152" spans="1:1" ht="12" customHeight="1" x14ac:dyDescent="0.15">
      <c r="A1152" s="6"/>
    </row>
    <row r="1153" spans="1:1" ht="12" customHeight="1" x14ac:dyDescent="0.15">
      <c r="A1153" s="6"/>
    </row>
    <row r="1154" spans="1:1" ht="12" customHeight="1" x14ac:dyDescent="0.15">
      <c r="A1154" s="6"/>
    </row>
    <row r="1155" spans="1:1" ht="12" customHeight="1" x14ac:dyDescent="0.15">
      <c r="A1155" s="6"/>
    </row>
    <row r="1156" spans="1:1" ht="12" customHeight="1" x14ac:dyDescent="0.15">
      <c r="A1156" s="6"/>
    </row>
    <row r="1157" spans="1:1" ht="12" customHeight="1" x14ac:dyDescent="0.15">
      <c r="A1157" s="6"/>
    </row>
    <row r="1158" spans="1:1" ht="12" customHeight="1" x14ac:dyDescent="0.15">
      <c r="A1158" s="6"/>
    </row>
    <row r="1159" spans="1:1" ht="12" customHeight="1" x14ac:dyDescent="0.15">
      <c r="A1159" s="6"/>
    </row>
    <row r="1160" spans="1:1" ht="12" customHeight="1" x14ac:dyDescent="0.15">
      <c r="A1160" s="6"/>
    </row>
    <row r="1161" spans="1:1" ht="12" customHeight="1" x14ac:dyDescent="0.15">
      <c r="A1161" s="6"/>
    </row>
    <row r="1162" spans="1:1" ht="12" customHeight="1" x14ac:dyDescent="0.15">
      <c r="A1162" s="6"/>
    </row>
    <row r="1163" spans="1:1" ht="12" customHeight="1" x14ac:dyDescent="0.15">
      <c r="A1163" s="6"/>
    </row>
    <row r="1164" spans="1:1" ht="12" customHeight="1" x14ac:dyDescent="0.15">
      <c r="A1164" s="6"/>
    </row>
    <row r="1165" spans="1:1" ht="12" customHeight="1" x14ac:dyDescent="0.15">
      <c r="A1165" s="6"/>
    </row>
    <row r="1166" spans="1:1" ht="12" customHeight="1" x14ac:dyDescent="0.15">
      <c r="A1166" s="6"/>
    </row>
    <row r="1167" spans="1:1" ht="12" customHeight="1" x14ac:dyDescent="0.15">
      <c r="A1167" s="6"/>
    </row>
    <row r="1168" spans="1:1" ht="12" customHeight="1" x14ac:dyDescent="0.15">
      <c r="A1168" s="6"/>
    </row>
    <row r="1169" spans="1:1" ht="12" customHeight="1" x14ac:dyDescent="0.15">
      <c r="A1169" s="6"/>
    </row>
    <row r="1170" spans="1:1" ht="12" customHeight="1" x14ac:dyDescent="0.15">
      <c r="A1170" s="6"/>
    </row>
    <row r="1171" spans="1:1" ht="12" customHeight="1" x14ac:dyDescent="0.15">
      <c r="A1171" s="6"/>
    </row>
    <row r="1172" spans="1:1" ht="12" customHeight="1" x14ac:dyDescent="0.15">
      <c r="A1172" s="6"/>
    </row>
    <row r="1173" spans="1:1" ht="12" customHeight="1" x14ac:dyDescent="0.15">
      <c r="A1173" s="6"/>
    </row>
    <row r="1174" spans="1:1" ht="12" customHeight="1" x14ac:dyDescent="0.15">
      <c r="A1174" s="6"/>
    </row>
    <row r="1175" spans="1:1" ht="12" customHeight="1" x14ac:dyDescent="0.15">
      <c r="A1175" s="6"/>
    </row>
    <row r="1176" spans="1:1" ht="12" customHeight="1" x14ac:dyDescent="0.15">
      <c r="A1176" s="6"/>
    </row>
    <row r="1177" spans="1:1" ht="12" customHeight="1" x14ac:dyDescent="0.15">
      <c r="A1177" s="6"/>
    </row>
    <row r="1178" spans="1:1" ht="12" customHeight="1" x14ac:dyDescent="0.15">
      <c r="A1178" s="6"/>
    </row>
    <row r="1179" spans="1:1" ht="12" customHeight="1" x14ac:dyDescent="0.15">
      <c r="A1179" s="6"/>
    </row>
    <row r="1180" spans="1:1" ht="12" customHeight="1" x14ac:dyDescent="0.15">
      <c r="A1180" s="6"/>
    </row>
    <row r="1181" spans="1:1" ht="12" customHeight="1" x14ac:dyDescent="0.15">
      <c r="A1181" s="6"/>
    </row>
    <row r="1182" spans="1:1" ht="12" customHeight="1" x14ac:dyDescent="0.15">
      <c r="A1182" s="6"/>
    </row>
    <row r="1183" spans="1:1" ht="12" customHeight="1" x14ac:dyDescent="0.15">
      <c r="A1183" s="6"/>
    </row>
    <row r="1184" spans="1:1" ht="12" customHeight="1" x14ac:dyDescent="0.15">
      <c r="A1184" s="6"/>
    </row>
    <row r="1185" spans="1:1" ht="12" customHeight="1" x14ac:dyDescent="0.15">
      <c r="A1185" s="6"/>
    </row>
    <row r="1186" spans="1:1" ht="12" customHeight="1" x14ac:dyDescent="0.15">
      <c r="A1186" s="6"/>
    </row>
    <row r="1187" spans="1:1" ht="12" customHeight="1" x14ac:dyDescent="0.15">
      <c r="A1187" s="6"/>
    </row>
    <row r="1188" spans="1:1" ht="12" customHeight="1" x14ac:dyDescent="0.15">
      <c r="A1188" s="6"/>
    </row>
    <row r="1189" spans="1:1" ht="12" customHeight="1" x14ac:dyDescent="0.15">
      <c r="A1189" s="6"/>
    </row>
    <row r="1190" spans="1:1" ht="12" customHeight="1" x14ac:dyDescent="0.15">
      <c r="A1190" s="6"/>
    </row>
    <row r="1191" spans="1:1" ht="12" customHeight="1" x14ac:dyDescent="0.15">
      <c r="A1191" s="6"/>
    </row>
    <row r="1192" spans="1:1" ht="12" customHeight="1" x14ac:dyDescent="0.15">
      <c r="A1192" s="6"/>
    </row>
    <row r="1193" spans="1:1" ht="12" customHeight="1" x14ac:dyDescent="0.15">
      <c r="A1193" s="6"/>
    </row>
    <row r="1194" spans="1:1" ht="12" customHeight="1" x14ac:dyDescent="0.15">
      <c r="A1194" s="6"/>
    </row>
    <row r="1195" spans="1:1" ht="12" customHeight="1" x14ac:dyDescent="0.15">
      <c r="A1195" s="6"/>
    </row>
    <row r="1196" spans="1:1" ht="12" customHeight="1" x14ac:dyDescent="0.15">
      <c r="A1196" s="6"/>
    </row>
    <row r="1197" spans="1:1" ht="12" customHeight="1" x14ac:dyDescent="0.15">
      <c r="A1197" s="6"/>
    </row>
    <row r="1198" spans="1:1" ht="12" customHeight="1" x14ac:dyDescent="0.15">
      <c r="A1198" s="6"/>
    </row>
    <row r="1199" spans="1:1" ht="12" customHeight="1" x14ac:dyDescent="0.15">
      <c r="A1199" s="6"/>
    </row>
    <row r="1200" spans="1:1" ht="12" customHeight="1" x14ac:dyDescent="0.15">
      <c r="A1200" s="6"/>
    </row>
    <row r="1201" spans="1:1" ht="12" customHeight="1" x14ac:dyDescent="0.15">
      <c r="A1201" s="6"/>
    </row>
    <row r="1202" spans="1:1" ht="12" customHeight="1" x14ac:dyDescent="0.15">
      <c r="A1202" s="6"/>
    </row>
    <row r="1203" spans="1:1" ht="12" customHeight="1" x14ac:dyDescent="0.15">
      <c r="A1203" s="6"/>
    </row>
    <row r="1204" spans="1:1" ht="12" customHeight="1" x14ac:dyDescent="0.15">
      <c r="A1204" s="6"/>
    </row>
    <row r="1205" spans="1:1" ht="12" customHeight="1" x14ac:dyDescent="0.15">
      <c r="A1205" s="6"/>
    </row>
    <row r="1206" spans="1:1" ht="12" customHeight="1" x14ac:dyDescent="0.15">
      <c r="A1206" s="6"/>
    </row>
    <row r="1207" spans="1:1" ht="12" customHeight="1" x14ac:dyDescent="0.15">
      <c r="A1207" s="6"/>
    </row>
    <row r="1208" spans="1:1" ht="12" customHeight="1" x14ac:dyDescent="0.15">
      <c r="A1208" s="6"/>
    </row>
    <row r="1209" spans="1:1" ht="12" customHeight="1" x14ac:dyDescent="0.15">
      <c r="A1209" s="6"/>
    </row>
    <row r="1210" spans="1:1" ht="12" customHeight="1" x14ac:dyDescent="0.15">
      <c r="A1210" s="6"/>
    </row>
    <row r="1211" spans="1:1" ht="12" customHeight="1" x14ac:dyDescent="0.15">
      <c r="A1211" s="6"/>
    </row>
    <row r="1212" spans="1:1" ht="12" customHeight="1" x14ac:dyDescent="0.15">
      <c r="A1212" s="6"/>
    </row>
    <row r="1213" spans="1:1" ht="12" customHeight="1" x14ac:dyDescent="0.15">
      <c r="A1213" s="6"/>
    </row>
    <row r="1214" spans="1:1" ht="12" customHeight="1" x14ac:dyDescent="0.15">
      <c r="A1214" s="6"/>
    </row>
    <row r="1215" spans="1:1" ht="12" customHeight="1" x14ac:dyDescent="0.15">
      <c r="A1215" s="6"/>
    </row>
    <row r="1216" spans="1:1" ht="12" customHeight="1" x14ac:dyDescent="0.15">
      <c r="A1216" s="6"/>
    </row>
    <row r="1217" spans="1:1" ht="12" customHeight="1" x14ac:dyDescent="0.15">
      <c r="A1217" s="6"/>
    </row>
    <row r="1218" spans="1:1" ht="12" customHeight="1" x14ac:dyDescent="0.15">
      <c r="A1218" s="6"/>
    </row>
    <row r="1219" spans="1:1" ht="12" customHeight="1" x14ac:dyDescent="0.15">
      <c r="A1219" s="6"/>
    </row>
    <row r="1220" spans="1:1" ht="12" customHeight="1" x14ac:dyDescent="0.15">
      <c r="A1220" s="6"/>
    </row>
    <row r="1221" spans="1:1" ht="12" customHeight="1" x14ac:dyDescent="0.15">
      <c r="A1221" s="6"/>
    </row>
    <row r="1222" spans="1:1" ht="12" customHeight="1" x14ac:dyDescent="0.15">
      <c r="A1222" s="6"/>
    </row>
    <row r="1223" spans="1:1" ht="12" customHeight="1" x14ac:dyDescent="0.15">
      <c r="A1223" s="6"/>
    </row>
    <row r="1224" spans="1:1" ht="12" customHeight="1" x14ac:dyDescent="0.15">
      <c r="A1224" s="6"/>
    </row>
    <row r="1225" spans="1:1" ht="12" customHeight="1" x14ac:dyDescent="0.15">
      <c r="A1225" s="6"/>
    </row>
    <row r="1226" spans="1:1" ht="12" customHeight="1" x14ac:dyDescent="0.15">
      <c r="A1226" s="6"/>
    </row>
    <row r="1227" spans="1:1" ht="12" customHeight="1" x14ac:dyDescent="0.15">
      <c r="A1227" s="6"/>
    </row>
    <row r="1228" spans="1:1" ht="12" customHeight="1" x14ac:dyDescent="0.15">
      <c r="A1228" s="6"/>
    </row>
    <row r="1229" spans="1:1" ht="12" customHeight="1" x14ac:dyDescent="0.15">
      <c r="A1229" s="6"/>
    </row>
    <row r="1230" spans="1:1" ht="12" customHeight="1" x14ac:dyDescent="0.15">
      <c r="A1230" s="6"/>
    </row>
    <row r="1231" spans="1:1" ht="12" customHeight="1" x14ac:dyDescent="0.15">
      <c r="A1231" s="6"/>
    </row>
    <row r="1232" spans="1:1" ht="12" customHeight="1" x14ac:dyDescent="0.15">
      <c r="A1232" s="6"/>
    </row>
    <row r="1233" spans="1:1" ht="12" customHeight="1" x14ac:dyDescent="0.15">
      <c r="A1233" s="6"/>
    </row>
    <row r="1234" spans="1:1" ht="12" customHeight="1" x14ac:dyDescent="0.15">
      <c r="A1234" s="6"/>
    </row>
    <row r="1235" spans="1:1" ht="12" customHeight="1" x14ac:dyDescent="0.15">
      <c r="A1235" s="6"/>
    </row>
    <row r="1236" spans="1:1" ht="12" customHeight="1" x14ac:dyDescent="0.15">
      <c r="A1236" s="6"/>
    </row>
    <row r="1237" spans="1:1" ht="12" customHeight="1" x14ac:dyDescent="0.15">
      <c r="A1237" s="6"/>
    </row>
    <row r="1238" spans="1:1" ht="12" customHeight="1" x14ac:dyDescent="0.15">
      <c r="A1238" s="6"/>
    </row>
    <row r="1239" spans="1:1" ht="12" customHeight="1" x14ac:dyDescent="0.15">
      <c r="A1239" s="6"/>
    </row>
    <row r="1240" spans="1:1" ht="12" customHeight="1" x14ac:dyDescent="0.15">
      <c r="A1240" s="6"/>
    </row>
    <row r="1241" spans="1:1" ht="12" customHeight="1" x14ac:dyDescent="0.15">
      <c r="A1241" s="6"/>
    </row>
    <row r="1242" spans="1:1" ht="12" customHeight="1" x14ac:dyDescent="0.15">
      <c r="A1242" s="6"/>
    </row>
    <row r="1243" spans="1:1" ht="12" customHeight="1" x14ac:dyDescent="0.15">
      <c r="A1243" s="6"/>
    </row>
    <row r="1244" spans="1:1" ht="12" customHeight="1" x14ac:dyDescent="0.15">
      <c r="A1244" s="6"/>
    </row>
    <row r="1245" spans="1:1" ht="12" customHeight="1" x14ac:dyDescent="0.15">
      <c r="A1245" s="6"/>
    </row>
    <row r="1246" spans="1:1" ht="12" customHeight="1" x14ac:dyDescent="0.15">
      <c r="A1246" s="6"/>
    </row>
    <row r="1247" spans="1:1" ht="12" customHeight="1" x14ac:dyDescent="0.15">
      <c r="A1247" s="6"/>
    </row>
    <row r="1248" spans="1:1" ht="12" customHeight="1" x14ac:dyDescent="0.15">
      <c r="A1248" s="6"/>
    </row>
    <row r="1249" spans="1:1" ht="12" customHeight="1" x14ac:dyDescent="0.15">
      <c r="A1249" s="6"/>
    </row>
    <row r="1250" spans="1:1" ht="12" customHeight="1" x14ac:dyDescent="0.15">
      <c r="A1250" s="6"/>
    </row>
    <row r="1251" spans="1:1" ht="12" customHeight="1" x14ac:dyDescent="0.15">
      <c r="A1251" s="6"/>
    </row>
    <row r="1252" spans="1:1" ht="12" customHeight="1" x14ac:dyDescent="0.15">
      <c r="A1252" s="6"/>
    </row>
    <row r="1253" spans="1:1" ht="12" customHeight="1" x14ac:dyDescent="0.15">
      <c r="A1253" s="6"/>
    </row>
    <row r="1254" spans="1:1" ht="12" customHeight="1" x14ac:dyDescent="0.15">
      <c r="A1254" s="6"/>
    </row>
    <row r="1255" spans="1:1" ht="12" customHeight="1" x14ac:dyDescent="0.15">
      <c r="A1255" s="6"/>
    </row>
    <row r="1256" spans="1:1" ht="12" customHeight="1" x14ac:dyDescent="0.15">
      <c r="A1256" s="6"/>
    </row>
    <row r="1257" spans="1:1" ht="12" customHeight="1" x14ac:dyDescent="0.15">
      <c r="A1257" s="6"/>
    </row>
    <row r="1258" spans="1:1" ht="12" customHeight="1" x14ac:dyDescent="0.15">
      <c r="A1258" s="6"/>
    </row>
    <row r="1259" spans="1:1" ht="12" customHeight="1" x14ac:dyDescent="0.15">
      <c r="A1259" s="6"/>
    </row>
    <row r="1260" spans="1:1" ht="12" customHeight="1" x14ac:dyDescent="0.15">
      <c r="A1260" s="6"/>
    </row>
    <row r="1261" spans="1:1" ht="12" customHeight="1" x14ac:dyDescent="0.15">
      <c r="A1261" s="6"/>
    </row>
    <row r="1262" spans="1:1" ht="12" customHeight="1" x14ac:dyDescent="0.15">
      <c r="A1262" s="6"/>
    </row>
    <row r="1263" spans="1:1" ht="12" customHeight="1" x14ac:dyDescent="0.15">
      <c r="A1263" s="6"/>
    </row>
    <row r="1264" spans="1:1" ht="12" customHeight="1" x14ac:dyDescent="0.15">
      <c r="A1264" s="6"/>
    </row>
    <row r="1265" spans="1:1" ht="12" customHeight="1" x14ac:dyDescent="0.15">
      <c r="A1265" s="6"/>
    </row>
    <row r="1266" spans="1:1" ht="12" customHeight="1" x14ac:dyDescent="0.15">
      <c r="A1266" s="6"/>
    </row>
    <row r="1267" spans="1:1" ht="12" customHeight="1" x14ac:dyDescent="0.15">
      <c r="A1267" s="6"/>
    </row>
    <row r="1268" spans="1:1" ht="12" customHeight="1" x14ac:dyDescent="0.15">
      <c r="A1268" s="6"/>
    </row>
  </sheetData>
  <mergeCells count="40">
    <mergeCell ref="R20:T23"/>
    <mergeCell ref="AM21:AM28"/>
    <mergeCell ref="AN21:AN28"/>
    <mergeCell ref="AI29:AI31"/>
    <mergeCell ref="AB120:AB122"/>
    <mergeCell ref="Z21:Z28"/>
    <mergeCell ref="AA21:AA28"/>
    <mergeCell ref="AC21:AC28"/>
    <mergeCell ref="AB29:AB31"/>
    <mergeCell ref="AB21:AB28"/>
    <mergeCell ref="AJ120:AJ122"/>
    <mergeCell ref="AK120:AK122"/>
    <mergeCell ref="AI120:AI122"/>
    <mergeCell ref="Y29:Y31"/>
    <mergeCell ref="Y120:Y122"/>
    <mergeCell ref="Z120:Z122"/>
    <mergeCell ref="AA120:AA122"/>
    <mergeCell ref="AH29:AH31"/>
    <mergeCell ref="AC120:AC122"/>
    <mergeCell ref="AD120:AD122"/>
    <mergeCell ref="AE120:AE122"/>
    <mergeCell ref="AF120:AF122"/>
    <mergeCell ref="AG120:AG122"/>
    <mergeCell ref="AH120:AH122"/>
    <mergeCell ref="AP21:AP28"/>
    <mergeCell ref="AJ29:AJ31"/>
    <mergeCell ref="AK29:AK31"/>
    <mergeCell ref="AA29:AA31"/>
    <mergeCell ref="D54:J55"/>
    <mergeCell ref="AP29:AP31"/>
    <mergeCell ref="L53:M54"/>
    <mergeCell ref="AG29:AG31"/>
    <mergeCell ref="AE29:AE31"/>
    <mergeCell ref="AF29:AF31"/>
    <mergeCell ref="AC29:AC31"/>
    <mergeCell ref="AD29:AD31"/>
    <mergeCell ref="S24:T28"/>
    <mergeCell ref="V24:W28"/>
    <mergeCell ref="Y21:Y28"/>
    <mergeCell ref="Z29:Z31"/>
  </mergeCells>
  <phoneticPr fontId="3"/>
  <hyperlinks>
    <hyperlink ref="Q2:X2" r:id="rId1" display="仙南地域広域行政事務組合　仙南クリーンセンター"/>
    <hyperlink ref="Z2:AC2" r:id="rId2" display="https://www.sennan-clean.com/"/>
  </hyperlinks>
  <pageMargins left="0.75" right="0.75" top="1" bottom="1" header="0" footer="0"/>
  <pageSetup paperSize="8" orientation="portrait" verticalDpi="0" r:id="rId3"/>
  <headerFooter alignWithMargins="0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0"/>
  <sheetViews>
    <sheetView zoomScale="85" zoomScaleNormal="85" workbookViewId="0">
      <selection activeCell="W22" sqref="W22"/>
    </sheetView>
  </sheetViews>
  <sheetFormatPr defaultColWidth="5.75" defaultRowHeight="12" x14ac:dyDescent="0.15"/>
  <cols>
    <col min="1" max="1" width="0.75" style="8" customWidth="1"/>
    <col min="2" max="2" width="7.25" style="528" customWidth="1"/>
    <col min="3" max="3" width="8.625" style="1" customWidth="1"/>
    <col min="4" max="4" width="6.375" style="1" customWidth="1"/>
    <col min="5" max="5" width="5" style="1" customWidth="1"/>
    <col min="6" max="6" width="4.25" style="1" customWidth="1"/>
    <col min="7" max="7" width="4.875" style="1" customWidth="1"/>
    <col min="8" max="8" width="4.25" style="1" customWidth="1"/>
    <col min="9" max="13" width="4.875" style="1" customWidth="1"/>
    <col min="14" max="14" width="6.875" style="1" customWidth="1"/>
    <col min="15" max="15" width="3.375" style="1"/>
    <col min="16" max="19" width="5.125" style="1" customWidth="1"/>
    <col min="20" max="20" width="3.75" style="1" customWidth="1"/>
    <col min="21" max="24" width="5.125" style="1" customWidth="1"/>
    <col min="25" max="16384" width="5.75" style="1"/>
  </cols>
  <sheetData>
    <row r="1" spans="2:22" ht="12" customHeight="1" x14ac:dyDescent="0.15"/>
    <row r="2" spans="2:22" ht="12" customHeight="1" x14ac:dyDescent="0.15">
      <c r="E2" s="1" t="s">
        <v>643</v>
      </c>
      <c r="H2" s="1" t="s">
        <v>644</v>
      </c>
    </row>
    <row r="3" spans="2:22" ht="38.25" customHeight="1" x14ac:dyDescent="0.15">
      <c r="B3" s="529" t="s">
        <v>645</v>
      </c>
      <c r="C3" s="530" t="s">
        <v>646</v>
      </c>
      <c r="D3" s="530" t="s">
        <v>647</v>
      </c>
      <c r="E3" s="530" t="s">
        <v>648</v>
      </c>
      <c r="F3" s="531" t="s">
        <v>697</v>
      </c>
      <c r="G3" s="531" t="s">
        <v>694</v>
      </c>
      <c r="H3" s="530" t="s">
        <v>691</v>
      </c>
      <c r="I3" s="531" t="s">
        <v>690</v>
      </c>
      <c r="J3" s="531" t="s">
        <v>692</v>
      </c>
      <c r="K3" s="587" t="s">
        <v>693</v>
      </c>
      <c r="L3" s="565" t="s">
        <v>695</v>
      </c>
      <c r="M3" s="565" t="s">
        <v>696</v>
      </c>
      <c r="N3" s="530" t="s">
        <v>19</v>
      </c>
      <c r="P3" s="638" t="s">
        <v>117</v>
      </c>
      <c r="Q3" s="639"/>
      <c r="R3" s="638" t="s">
        <v>142</v>
      </c>
      <c r="S3" s="639"/>
      <c r="T3" s="79"/>
      <c r="U3" s="638" t="s">
        <v>699</v>
      </c>
      <c r="V3" s="639"/>
    </row>
    <row r="4" spans="2:22" ht="12" customHeight="1" x14ac:dyDescent="0.15">
      <c r="B4" s="99"/>
      <c r="C4" s="99">
        <v>43034</v>
      </c>
      <c r="D4" s="27" t="s">
        <v>649</v>
      </c>
      <c r="E4" s="27" t="s">
        <v>291</v>
      </c>
      <c r="F4" s="28"/>
      <c r="G4" s="28">
        <v>10.8</v>
      </c>
      <c r="H4" s="27"/>
      <c r="I4" s="568"/>
      <c r="J4" s="568"/>
      <c r="K4" s="568"/>
      <c r="L4" s="566"/>
      <c r="M4" s="566"/>
      <c r="N4" s="27"/>
      <c r="P4" s="44" t="s">
        <v>121</v>
      </c>
      <c r="Q4" s="45" t="s">
        <v>116</v>
      </c>
      <c r="R4" s="15" t="s">
        <v>122</v>
      </c>
      <c r="S4" s="12" t="s">
        <v>119</v>
      </c>
      <c r="T4" s="6"/>
      <c r="U4" s="1" t="s">
        <v>698</v>
      </c>
      <c r="V4" s="566"/>
    </row>
    <row r="5" spans="2:22" ht="12" customHeight="1" x14ac:dyDescent="0.15">
      <c r="B5" s="99"/>
      <c r="C5" s="99">
        <v>43034</v>
      </c>
      <c r="D5" s="27" t="s">
        <v>649</v>
      </c>
      <c r="E5" s="27" t="s">
        <v>294</v>
      </c>
      <c r="F5" s="28"/>
      <c r="G5" s="28">
        <v>56.9</v>
      </c>
      <c r="H5" s="27"/>
      <c r="I5" s="568"/>
      <c r="J5" s="568"/>
      <c r="K5" s="568"/>
      <c r="L5" s="566"/>
      <c r="M5" s="566"/>
      <c r="N5" s="27"/>
      <c r="P5" s="44">
        <v>4</v>
      </c>
      <c r="Q5" s="82">
        <v>7.9322176308980252E-2</v>
      </c>
      <c r="R5" s="26">
        <v>2011</v>
      </c>
      <c r="S5" s="563">
        <v>47256</v>
      </c>
      <c r="T5" s="6"/>
      <c r="U5" s="590">
        <v>40634</v>
      </c>
      <c r="V5" s="571">
        <f t="shared" ref="V5:V36" si="0">IF(MONTH(U5)&lt;=3,(INDEX(月値割合表,MATCH(MONTH(U5),月,0),2)*INDEX(年度別焼却量,MATCH(YEAR(U5)-1,年度,0),2))/10,(INDEX(月値割合表,MATCH(MONTH(U5),月,0),2)*INDEX(年度別焼却量,MATCH(YEAR(U5),年度,0),2))/10)</f>
        <v>374.84487636571708</v>
      </c>
    </row>
    <row r="6" spans="2:22" ht="12" customHeight="1" x14ac:dyDescent="0.15">
      <c r="B6" s="99"/>
      <c r="C6" s="99">
        <v>43034</v>
      </c>
      <c r="D6" s="27" t="s">
        <v>649</v>
      </c>
      <c r="E6" s="27" t="s">
        <v>297</v>
      </c>
      <c r="F6" s="28"/>
      <c r="G6" s="28">
        <v>27.8</v>
      </c>
      <c r="H6" s="27"/>
      <c r="I6" s="568"/>
      <c r="J6" s="568"/>
      <c r="K6" s="568"/>
      <c r="L6" s="566"/>
      <c r="M6" s="566"/>
      <c r="N6" s="27"/>
      <c r="P6" s="44">
        <v>5</v>
      </c>
      <c r="Q6" s="82">
        <v>8.9128643618102618E-2</v>
      </c>
      <c r="R6" s="26">
        <v>2012</v>
      </c>
      <c r="S6" s="563">
        <v>46563</v>
      </c>
      <c r="T6" s="6"/>
      <c r="U6" s="590">
        <v>40664</v>
      </c>
      <c r="V6" s="571">
        <f t="shared" si="0"/>
        <v>421.18631828170572</v>
      </c>
    </row>
    <row r="7" spans="2:22" ht="12" customHeight="1" x14ac:dyDescent="0.15">
      <c r="B7" s="99"/>
      <c r="C7" s="99">
        <v>43034</v>
      </c>
      <c r="D7" s="27" t="s">
        <v>649</v>
      </c>
      <c r="E7" s="27" t="s">
        <v>300</v>
      </c>
      <c r="F7" s="28"/>
      <c r="G7" s="28">
        <v>4.5999999999999996</v>
      </c>
      <c r="H7" s="27"/>
      <c r="I7" s="568"/>
      <c r="J7" s="568"/>
      <c r="K7" s="568"/>
      <c r="L7" s="566"/>
      <c r="M7" s="566"/>
      <c r="N7" s="27"/>
      <c r="P7" s="44">
        <v>6</v>
      </c>
      <c r="Q7" s="82">
        <v>8.7466418700092655E-2</v>
      </c>
      <c r="R7" s="26">
        <v>2013</v>
      </c>
      <c r="S7" s="563">
        <v>45226</v>
      </c>
      <c r="T7" s="6"/>
      <c r="U7" s="590">
        <v>40695</v>
      </c>
      <c r="V7" s="571">
        <f t="shared" si="0"/>
        <v>413.33130820915784</v>
      </c>
    </row>
    <row r="8" spans="2:22" ht="12" customHeight="1" x14ac:dyDescent="0.15">
      <c r="B8" s="99">
        <v>43178</v>
      </c>
      <c r="C8" s="99">
        <v>43179</v>
      </c>
      <c r="D8" s="27" t="s">
        <v>246</v>
      </c>
      <c r="E8" s="27" t="s">
        <v>247</v>
      </c>
      <c r="F8" s="28">
        <v>940</v>
      </c>
      <c r="G8" s="28">
        <v>38.1</v>
      </c>
      <c r="H8" s="27"/>
      <c r="I8" s="568"/>
      <c r="J8" s="570">
        <f>F8*G8</f>
        <v>35814</v>
      </c>
      <c r="K8" s="568"/>
      <c r="L8" s="566"/>
      <c r="M8" s="566"/>
      <c r="N8" s="27" t="s">
        <v>650</v>
      </c>
      <c r="P8" s="44">
        <v>7</v>
      </c>
      <c r="Q8" s="82">
        <v>9.3057188641443564E-2</v>
      </c>
      <c r="R8" s="26">
        <v>2014</v>
      </c>
      <c r="S8" s="563">
        <v>45025</v>
      </c>
      <c r="T8" s="6"/>
      <c r="U8" s="590">
        <v>40725</v>
      </c>
      <c r="V8" s="571">
        <f t="shared" si="0"/>
        <v>439.75105064400566</v>
      </c>
    </row>
    <row r="9" spans="2:22" ht="12" customHeight="1" x14ac:dyDescent="0.15">
      <c r="B9" s="99">
        <v>43179</v>
      </c>
      <c r="C9" s="99">
        <v>43180</v>
      </c>
      <c r="D9" s="27" t="s">
        <v>246</v>
      </c>
      <c r="E9" s="27" t="s">
        <v>247</v>
      </c>
      <c r="F9" s="28">
        <v>940</v>
      </c>
      <c r="G9" s="28">
        <v>46.6</v>
      </c>
      <c r="H9" s="27"/>
      <c r="I9" s="568"/>
      <c r="J9" s="570">
        <f>F9*G9</f>
        <v>43804</v>
      </c>
      <c r="K9" s="568"/>
      <c r="L9" s="566"/>
      <c r="M9" s="566"/>
      <c r="N9" s="27" t="s">
        <v>650</v>
      </c>
      <c r="P9" s="44">
        <v>8</v>
      </c>
      <c r="Q9" s="82">
        <v>9.4364251114423536E-2</v>
      </c>
      <c r="R9" s="26">
        <v>2015</v>
      </c>
      <c r="S9" s="563">
        <v>45098</v>
      </c>
      <c r="T9" s="6"/>
      <c r="U9" s="590">
        <v>40756</v>
      </c>
      <c r="V9" s="571">
        <f t="shared" si="0"/>
        <v>445.92770506631985</v>
      </c>
    </row>
    <row r="10" spans="2:22" ht="12" customHeight="1" x14ac:dyDescent="0.15">
      <c r="B10" s="99">
        <v>43180</v>
      </c>
      <c r="C10" s="99">
        <v>43181</v>
      </c>
      <c r="D10" s="27" t="s">
        <v>246</v>
      </c>
      <c r="E10" s="27" t="s">
        <v>247</v>
      </c>
      <c r="F10" s="28">
        <v>940</v>
      </c>
      <c r="G10" s="28">
        <v>52.9</v>
      </c>
      <c r="H10" s="27"/>
      <c r="I10" s="568"/>
      <c r="J10" s="570">
        <f>F10*G10</f>
        <v>49726</v>
      </c>
      <c r="K10" s="568"/>
      <c r="L10" s="566"/>
      <c r="M10" s="566"/>
      <c r="N10" s="27" t="s">
        <v>650</v>
      </c>
      <c r="P10" s="44">
        <v>9</v>
      </c>
      <c r="Q10" s="82">
        <v>8.7498753172037952E-2</v>
      </c>
      <c r="R10" s="26">
        <v>2016</v>
      </c>
      <c r="S10" s="563">
        <v>44404</v>
      </c>
      <c r="T10" s="6"/>
      <c r="U10" s="590">
        <v>40787</v>
      </c>
      <c r="V10" s="571">
        <f t="shared" si="0"/>
        <v>413.48410798978256</v>
      </c>
    </row>
    <row r="11" spans="2:22" ht="12" customHeight="1" x14ac:dyDescent="0.15">
      <c r="B11" s="99">
        <v>43181</v>
      </c>
      <c r="C11" s="99">
        <v>43182</v>
      </c>
      <c r="D11" s="27" t="s">
        <v>246</v>
      </c>
      <c r="E11" s="27" t="s">
        <v>247</v>
      </c>
      <c r="F11" s="28">
        <v>940</v>
      </c>
      <c r="G11" s="28">
        <v>70.8</v>
      </c>
      <c r="H11" s="27"/>
      <c r="I11" s="568"/>
      <c r="J11" s="570">
        <f>F11*G11</f>
        <v>66552</v>
      </c>
      <c r="K11" s="568"/>
      <c r="L11" s="566"/>
      <c r="M11" s="566"/>
      <c r="N11" s="27" t="s">
        <v>650</v>
      </c>
      <c r="P11" s="44">
        <v>10</v>
      </c>
      <c r="Q11" s="82">
        <v>9.00306780289966E-2</v>
      </c>
      <c r="R11" s="26">
        <v>2017</v>
      </c>
      <c r="S11" s="563">
        <v>44892</v>
      </c>
      <c r="T11" s="6"/>
      <c r="U11" s="590">
        <v>40817</v>
      </c>
      <c r="V11" s="571">
        <f t="shared" si="0"/>
        <v>425.44897209382634</v>
      </c>
    </row>
    <row r="12" spans="2:22" ht="12" customHeight="1" x14ac:dyDescent="0.15">
      <c r="B12" s="99">
        <v>43182</v>
      </c>
      <c r="C12" s="99">
        <v>43183</v>
      </c>
      <c r="D12" s="27" t="s">
        <v>246</v>
      </c>
      <c r="E12" s="27" t="s">
        <v>247</v>
      </c>
      <c r="F12" s="28">
        <v>950</v>
      </c>
      <c r="G12" s="28">
        <v>41.4</v>
      </c>
      <c r="H12" s="588">
        <f>AVERAGE(G8:G12)</f>
        <v>49.959999999999994</v>
      </c>
      <c r="I12" s="570">
        <f>SUM(F8:F12)</f>
        <v>4710</v>
      </c>
      <c r="J12" s="570">
        <f>F12*G12</f>
        <v>39330</v>
      </c>
      <c r="K12" s="571">
        <f>SUM(J8:J12)/1000</f>
        <v>235.226</v>
      </c>
      <c r="L12" s="567">
        <f>G13</f>
        <v>453</v>
      </c>
      <c r="M12" s="567">
        <f>G14</f>
        <v>27</v>
      </c>
      <c r="N12" s="27" t="s">
        <v>650</v>
      </c>
      <c r="P12" s="44">
        <v>11</v>
      </c>
      <c r="Q12" s="82">
        <v>8.1438010045640843E-2</v>
      </c>
      <c r="R12" s="26">
        <v>2018</v>
      </c>
      <c r="S12" s="586">
        <f>115.1*8*8-1332*8+48524</f>
        <v>45234.400000000001</v>
      </c>
      <c r="T12" s="6"/>
      <c r="U12" s="590">
        <v>40848</v>
      </c>
      <c r="V12" s="571">
        <f t="shared" si="0"/>
        <v>384.84346027168033</v>
      </c>
    </row>
    <row r="13" spans="2:22" ht="12" customHeight="1" x14ac:dyDescent="0.15">
      <c r="B13" s="99"/>
      <c r="C13" s="99">
        <v>43183</v>
      </c>
      <c r="D13" s="532" t="s">
        <v>314</v>
      </c>
      <c r="E13" s="27"/>
      <c r="F13" s="28"/>
      <c r="G13" s="533">
        <v>453</v>
      </c>
      <c r="H13" s="27"/>
      <c r="I13" s="568"/>
      <c r="J13" s="568"/>
      <c r="K13" s="568"/>
      <c r="L13" s="566"/>
      <c r="M13" s="566"/>
      <c r="N13" s="27" t="s">
        <v>650</v>
      </c>
      <c r="P13" s="44">
        <v>12</v>
      </c>
      <c r="Q13" s="82">
        <v>8.1735217189744303E-2</v>
      </c>
      <c r="R13" s="6"/>
      <c r="S13" s="17"/>
      <c r="T13" s="6"/>
      <c r="U13" s="590">
        <v>40878</v>
      </c>
      <c r="V13" s="571">
        <f t="shared" si="0"/>
        <v>386.24794235185567</v>
      </c>
    </row>
    <row r="14" spans="2:22" ht="12" customHeight="1" x14ac:dyDescent="0.15">
      <c r="B14" s="99"/>
      <c r="C14" s="99">
        <v>43183</v>
      </c>
      <c r="D14" s="532" t="s">
        <v>318</v>
      </c>
      <c r="E14" s="27"/>
      <c r="F14" s="28"/>
      <c r="G14" s="534">
        <v>27</v>
      </c>
      <c r="H14" s="27"/>
      <c r="I14" s="568"/>
      <c r="J14" s="568"/>
      <c r="K14" s="568"/>
      <c r="L14" s="566"/>
      <c r="M14" s="566"/>
      <c r="N14" s="27" t="s">
        <v>650</v>
      </c>
      <c r="P14" s="44">
        <v>1</v>
      </c>
      <c r="Q14" s="82">
        <v>7.4890020694885998E-2</v>
      </c>
      <c r="R14" s="6"/>
      <c r="S14" s="17"/>
      <c r="T14" s="6"/>
      <c r="U14" s="590">
        <v>40909</v>
      </c>
      <c r="V14" s="571">
        <f t="shared" si="0"/>
        <v>353.9002817957533</v>
      </c>
    </row>
    <row r="15" spans="2:22" ht="12" customHeight="1" x14ac:dyDescent="0.15">
      <c r="B15" s="99"/>
      <c r="C15" s="99">
        <v>43203</v>
      </c>
      <c r="D15" s="532" t="s">
        <v>314</v>
      </c>
      <c r="E15" s="27"/>
      <c r="F15" s="28"/>
      <c r="G15" s="533">
        <v>367</v>
      </c>
      <c r="H15" s="27"/>
      <c r="I15" s="568"/>
      <c r="J15" s="568"/>
      <c r="K15" s="568"/>
      <c r="L15" s="567">
        <f>G15</f>
        <v>367</v>
      </c>
      <c r="M15" s="567">
        <f>G16</f>
        <v>27</v>
      </c>
      <c r="N15" s="27" t="s">
        <v>650</v>
      </c>
      <c r="P15" s="44">
        <v>2</v>
      </c>
      <c r="Q15" s="82">
        <v>6.4081858761377689E-2</v>
      </c>
      <c r="R15" s="6"/>
      <c r="S15" s="17"/>
      <c r="T15" s="6"/>
      <c r="U15" s="590">
        <v>40940</v>
      </c>
      <c r="V15" s="571">
        <f t="shared" si="0"/>
        <v>302.82523176276641</v>
      </c>
    </row>
    <row r="16" spans="2:22" ht="12" customHeight="1" x14ac:dyDescent="0.15">
      <c r="B16" s="99"/>
      <c r="C16" s="99">
        <v>43203</v>
      </c>
      <c r="D16" s="532" t="s">
        <v>318</v>
      </c>
      <c r="E16" s="27"/>
      <c r="F16" s="28"/>
      <c r="G16" s="534">
        <v>27</v>
      </c>
      <c r="H16" s="27"/>
      <c r="I16" s="568"/>
      <c r="J16" s="568"/>
      <c r="K16" s="568"/>
      <c r="L16" s="566"/>
      <c r="M16" s="566"/>
      <c r="N16" s="27" t="s">
        <v>650</v>
      </c>
      <c r="P16" s="44">
        <v>3</v>
      </c>
      <c r="Q16" s="82">
        <v>7.7688555125821387E-2</v>
      </c>
      <c r="R16" s="6"/>
      <c r="S16" s="17"/>
      <c r="T16" s="6"/>
      <c r="U16" s="590">
        <v>40969</v>
      </c>
      <c r="V16" s="571">
        <f t="shared" si="0"/>
        <v>367.12503610258153</v>
      </c>
    </row>
    <row r="17" spans="2:22" ht="12" customHeight="1" x14ac:dyDescent="0.15">
      <c r="B17" s="99">
        <v>43213</v>
      </c>
      <c r="C17" s="99">
        <v>43214</v>
      </c>
      <c r="D17" s="27" t="s">
        <v>456</v>
      </c>
      <c r="E17" s="27" t="s">
        <v>651</v>
      </c>
      <c r="F17" s="28">
        <v>960</v>
      </c>
      <c r="G17" s="28">
        <v>252.7</v>
      </c>
      <c r="H17" s="27"/>
      <c r="I17" s="568"/>
      <c r="J17" s="570">
        <f>F17*G17</f>
        <v>242592</v>
      </c>
      <c r="K17" s="568"/>
      <c r="L17" s="566"/>
      <c r="M17" s="566"/>
      <c r="N17" s="27" t="s">
        <v>652</v>
      </c>
      <c r="P17" s="640" t="s">
        <v>134</v>
      </c>
      <c r="Q17" s="641"/>
      <c r="R17" s="589"/>
      <c r="S17" s="17"/>
      <c r="T17" s="6"/>
      <c r="U17" s="590">
        <v>41000</v>
      </c>
      <c r="V17" s="571">
        <f t="shared" si="0"/>
        <v>369.34784954750478</v>
      </c>
    </row>
    <row r="18" spans="2:22" ht="12" customHeight="1" x14ac:dyDescent="0.15">
      <c r="B18" s="99">
        <v>43214</v>
      </c>
      <c r="C18" s="99">
        <v>43215</v>
      </c>
      <c r="D18" s="27" t="s">
        <v>456</v>
      </c>
      <c r="E18" s="27" t="s">
        <v>651</v>
      </c>
      <c r="F18" s="28">
        <v>950</v>
      </c>
      <c r="G18" s="28">
        <v>310.5</v>
      </c>
      <c r="H18" s="27"/>
      <c r="I18" s="568"/>
      <c r="J18" s="570">
        <f>F18*G18</f>
        <v>294975</v>
      </c>
      <c r="K18" s="568"/>
      <c r="L18" s="566"/>
      <c r="M18" s="566"/>
      <c r="N18" s="27" t="s">
        <v>652</v>
      </c>
      <c r="P18" s="637"/>
      <c r="Q18" s="637"/>
      <c r="R18" s="589"/>
      <c r="S18" s="6"/>
      <c r="T18" s="6"/>
      <c r="U18" s="590">
        <v>41030</v>
      </c>
      <c r="V18" s="571">
        <f t="shared" si="0"/>
        <v>415.00970327897119</v>
      </c>
    </row>
    <row r="19" spans="2:22" ht="12" customHeight="1" x14ac:dyDescent="0.15">
      <c r="B19" s="99">
        <v>43215</v>
      </c>
      <c r="C19" s="99">
        <v>43216</v>
      </c>
      <c r="D19" s="27" t="s">
        <v>456</v>
      </c>
      <c r="E19" s="27" t="s">
        <v>651</v>
      </c>
      <c r="F19" s="28">
        <v>950</v>
      </c>
      <c r="G19" s="28">
        <v>239.5</v>
      </c>
      <c r="H19" s="27"/>
      <c r="I19" s="568"/>
      <c r="J19" s="570">
        <f>F19*G19</f>
        <v>227525</v>
      </c>
      <c r="K19" s="568"/>
      <c r="L19" s="566"/>
      <c r="M19" s="566"/>
      <c r="N19" s="27" t="s">
        <v>652</v>
      </c>
      <c r="P19" s="637"/>
      <c r="Q19" s="637"/>
      <c r="R19" s="589"/>
      <c r="S19" s="6"/>
      <c r="T19" s="6"/>
      <c r="U19" s="590">
        <v>41061</v>
      </c>
      <c r="V19" s="571">
        <f t="shared" si="0"/>
        <v>407.26988539324145</v>
      </c>
    </row>
    <row r="20" spans="2:22" ht="12" customHeight="1" x14ac:dyDescent="0.15">
      <c r="B20" s="99">
        <v>43216</v>
      </c>
      <c r="C20" s="99">
        <v>43217</v>
      </c>
      <c r="D20" s="27" t="s">
        <v>456</v>
      </c>
      <c r="E20" s="27" t="s">
        <v>651</v>
      </c>
      <c r="F20" s="28">
        <v>950</v>
      </c>
      <c r="G20" s="28">
        <v>172.2</v>
      </c>
      <c r="H20" s="27"/>
      <c r="I20" s="568"/>
      <c r="J20" s="570">
        <f>F20*G20</f>
        <v>163590</v>
      </c>
      <c r="K20" s="568"/>
      <c r="L20" s="566"/>
      <c r="M20" s="566"/>
      <c r="N20" s="27" t="s">
        <v>652</v>
      </c>
      <c r="P20" s="637"/>
      <c r="Q20" s="637"/>
      <c r="R20" s="589"/>
      <c r="S20" s="6"/>
      <c r="T20" s="6"/>
      <c r="U20" s="590">
        <v>41091</v>
      </c>
      <c r="V20" s="571">
        <f t="shared" si="0"/>
        <v>433.30218747115367</v>
      </c>
    </row>
    <row r="21" spans="2:22" ht="12" customHeight="1" x14ac:dyDescent="0.15">
      <c r="B21" s="99">
        <v>43217</v>
      </c>
      <c r="C21" s="99">
        <v>43218</v>
      </c>
      <c r="D21" s="27" t="s">
        <v>456</v>
      </c>
      <c r="E21" s="27" t="s">
        <v>651</v>
      </c>
      <c r="F21" s="28">
        <v>950</v>
      </c>
      <c r="G21" s="28">
        <v>238.1</v>
      </c>
      <c r="H21" s="588">
        <f>AVERAGE(G17:G21)</f>
        <v>242.6</v>
      </c>
      <c r="I21" s="570">
        <f>SUM(F17:F21)</f>
        <v>4760</v>
      </c>
      <c r="J21" s="570">
        <f>F21*G21</f>
        <v>226195</v>
      </c>
      <c r="K21" s="571">
        <f>SUM(J17:J21)/1000</f>
        <v>1154.877</v>
      </c>
      <c r="L21" s="567">
        <f>G22</f>
        <v>586</v>
      </c>
      <c r="M21" s="567">
        <f>G23</f>
        <v>47</v>
      </c>
      <c r="N21" s="27" t="s">
        <v>652</v>
      </c>
      <c r="P21" s="637"/>
      <c r="Q21" s="637"/>
      <c r="U21" s="590">
        <v>41122</v>
      </c>
      <c r="V21" s="571">
        <f t="shared" si="0"/>
        <v>439.38826246409036</v>
      </c>
    </row>
    <row r="22" spans="2:22" ht="12" customHeight="1" x14ac:dyDescent="0.15">
      <c r="B22" s="99"/>
      <c r="C22" s="99">
        <v>43218</v>
      </c>
      <c r="D22" s="532" t="s">
        <v>314</v>
      </c>
      <c r="E22" s="27"/>
      <c r="F22" s="28"/>
      <c r="G22" s="533">
        <v>586</v>
      </c>
      <c r="H22" s="27"/>
      <c r="I22" s="568"/>
      <c r="J22" s="568"/>
      <c r="K22" s="568"/>
      <c r="L22" s="566"/>
      <c r="M22" s="566"/>
      <c r="N22" s="27" t="s">
        <v>652</v>
      </c>
      <c r="P22" s="637"/>
      <c r="Q22" s="637"/>
      <c r="U22" s="590">
        <v>41153</v>
      </c>
      <c r="V22" s="571">
        <f t="shared" si="0"/>
        <v>407.42044439496033</v>
      </c>
    </row>
    <row r="23" spans="2:22" ht="12" customHeight="1" x14ac:dyDescent="0.15">
      <c r="B23" s="99"/>
      <c r="C23" s="99">
        <v>43218</v>
      </c>
      <c r="D23" s="532" t="s">
        <v>318</v>
      </c>
      <c r="E23" s="27"/>
      <c r="F23" s="28"/>
      <c r="G23" s="534">
        <v>47</v>
      </c>
      <c r="H23" s="27"/>
      <c r="I23" s="568"/>
      <c r="J23" s="568"/>
      <c r="K23" s="568"/>
      <c r="L23" s="566"/>
      <c r="M23" s="566"/>
      <c r="N23" s="27" t="s">
        <v>652</v>
      </c>
      <c r="U23" s="590">
        <v>41183</v>
      </c>
      <c r="V23" s="571">
        <f t="shared" si="0"/>
        <v>419.20984610641688</v>
      </c>
    </row>
    <row r="24" spans="2:22" ht="12" customHeight="1" x14ac:dyDescent="0.15">
      <c r="B24" s="99"/>
      <c r="C24" s="99">
        <v>43238</v>
      </c>
      <c r="D24" s="532" t="s">
        <v>314</v>
      </c>
      <c r="E24" s="27"/>
      <c r="F24" s="28"/>
      <c r="G24" s="533">
        <v>660</v>
      </c>
      <c r="H24" s="27"/>
      <c r="I24" s="568"/>
      <c r="J24" s="568"/>
      <c r="K24" s="568"/>
      <c r="L24" s="567">
        <f>G24</f>
        <v>660</v>
      </c>
      <c r="M24" s="567">
        <f>G25</f>
        <v>44</v>
      </c>
      <c r="N24" s="27" t="s">
        <v>652</v>
      </c>
      <c r="U24" s="590">
        <v>41214</v>
      </c>
      <c r="V24" s="571">
        <f t="shared" si="0"/>
        <v>379.19980617551744</v>
      </c>
    </row>
    <row r="25" spans="2:22" ht="12" customHeight="1" x14ac:dyDescent="0.15">
      <c r="B25" s="99"/>
      <c r="C25" s="99">
        <v>43238</v>
      </c>
      <c r="D25" s="532" t="s">
        <v>318</v>
      </c>
      <c r="E25" s="27"/>
      <c r="F25" s="28"/>
      <c r="G25" s="534">
        <v>44</v>
      </c>
      <c r="H25" s="27"/>
      <c r="I25" s="568"/>
      <c r="J25" s="568"/>
      <c r="K25" s="568"/>
      <c r="L25" s="566"/>
      <c r="M25" s="566"/>
      <c r="N25" s="27" t="s">
        <v>652</v>
      </c>
      <c r="U25" s="590">
        <v>41244</v>
      </c>
      <c r="V25" s="571">
        <f t="shared" si="0"/>
        <v>380.5836918006064</v>
      </c>
    </row>
    <row r="26" spans="2:22" ht="12" customHeight="1" x14ac:dyDescent="0.15">
      <c r="B26" s="99">
        <v>43304</v>
      </c>
      <c r="C26" s="99">
        <v>43305</v>
      </c>
      <c r="D26" s="27" t="s">
        <v>456</v>
      </c>
      <c r="E26" s="27" t="s">
        <v>457</v>
      </c>
      <c r="F26" s="28">
        <v>950</v>
      </c>
      <c r="G26" s="28">
        <v>480.9</v>
      </c>
      <c r="H26" s="27"/>
      <c r="I26" s="568"/>
      <c r="J26" s="570">
        <f>F26*G26</f>
        <v>456855</v>
      </c>
      <c r="K26" s="568"/>
      <c r="L26" s="566"/>
      <c r="M26" s="566"/>
      <c r="N26" s="27" t="s">
        <v>653</v>
      </c>
      <c r="U26" s="590">
        <v>41275</v>
      </c>
      <c r="V26" s="571">
        <f t="shared" si="0"/>
        <v>348.71040336159768</v>
      </c>
    </row>
    <row r="27" spans="2:22" ht="12" customHeight="1" x14ac:dyDescent="0.15">
      <c r="B27" s="99">
        <v>43305</v>
      </c>
      <c r="C27" s="99">
        <v>43306</v>
      </c>
      <c r="D27" s="27" t="s">
        <v>456</v>
      </c>
      <c r="E27" s="27" t="s">
        <v>457</v>
      </c>
      <c r="F27" s="28">
        <v>960</v>
      </c>
      <c r="G27" s="28">
        <v>417.3</v>
      </c>
      <c r="H27" s="27"/>
      <c r="I27" s="568"/>
      <c r="J27" s="570">
        <f>F27*G27</f>
        <v>400608</v>
      </c>
      <c r="K27" s="568"/>
      <c r="L27" s="566"/>
      <c r="M27" s="566"/>
      <c r="N27" s="27" t="s">
        <v>653</v>
      </c>
      <c r="U27" s="590">
        <v>41306</v>
      </c>
      <c r="V27" s="571">
        <f t="shared" si="0"/>
        <v>298.38435895060292</v>
      </c>
    </row>
    <row r="28" spans="2:22" ht="12" customHeight="1" x14ac:dyDescent="0.15">
      <c r="B28" s="99">
        <v>43306</v>
      </c>
      <c r="C28" s="99">
        <v>43307</v>
      </c>
      <c r="D28" s="27" t="s">
        <v>456</v>
      </c>
      <c r="E28" s="27" t="s">
        <v>457</v>
      </c>
      <c r="F28" s="28">
        <v>980</v>
      </c>
      <c r="G28" s="28">
        <v>981.6</v>
      </c>
      <c r="H28" s="27"/>
      <c r="I28" s="568"/>
      <c r="J28" s="570">
        <f>F28*G28</f>
        <v>961968</v>
      </c>
      <c r="K28" s="568"/>
      <c r="L28" s="566"/>
      <c r="M28" s="566"/>
      <c r="N28" s="27" t="s">
        <v>653</v>
      </c>
      <c r="U28" s="590">
        <v>41334</v>
      </c>
      <c r="V28" s="571">
        <f t="shared" si="0"/>
        <v>361.74121923236214</v>
      </c>
    </row>
    <row r="29" spans="2:22" ht="12" customHeight="1" x14ac:dyDescent="0.15">
      <c r="B29" s="99">
        <v>43307</v>
      </c>
      <c r="C29" s="99">
        <v>43308</v>
      </c>
      <c r="D29" s="27" t="s">
        <v>456</v>
      </c>
      <c r="E29" s="27" t="s">
        <v>457</v>
      </c>
      <c r="F29" s="28">
        <v>970</v>
      </c>
      <c r="G29" s="28">
        <v>600.4</v>
      </c>
      <c r="H29" s="27"/>
      <c r="I29" s="568"/>
      <c r="J29" s="570">
        <f>F29*G29</f>
        <v>582388</v>
      </c>
      <c r="K29" s="568"/>
      <c r="L29" s="566"/>
      <c r="M29" s="566"/>
      <c r="N29" s="27" t="s">
        <v>653</v>
      </c>
      <c r="U29" s="590">
        <v>41365</v>
      </c>
      <c r="V29" s="571">
        <f t="shared" si="0"/>
        <v>358.74247457499411</v>
      </c>
    </row>
    <row r="30" spans="2:22" ht="12" customHeight="1" x14ac:dyDescent="0.15">
      <c r="B30" s="99">
        <v>43308</v>
      </c>
      <c r="C30" s="99">
        <v>43309</v>
      </c>
      <c r="D30" s="27" t="s">
        <v>456</v>
      </c>
      <c r="E30" s="27" t="s">
        <v>457</v>
      </c>
      <c r="F30" s="28">
        <v>950</v>
      </c>
      <c r="G30" s="28">
        <v>703.6</v>
      </c>
      <c r="H30" s="588">
        <f>AVERAGE(G26:G30)</f>
        <v>636.76</v>
      </c>
      <c r="I30" s="570">
        <f>SUM(F26:F30)</f>
        <v>4810</v>
      </c>
      <c r="J30" s="570">
        <f>F30*G30</f>
        <v>668420</v>
      </c>
      <c r="K30" s="571">
        <f>SUM(J26:J30)/1000</f>
        <v>3070.239</v>
      </c>
      <c r="L30" s="567">
        <f>G31</f>
        <v>568</v>
      </c>
      <c r="M30" s="567">
        <f>G32</f>
        <v>45</v>
      </c>
      <c r="N30" s="27" t="s">
        <v>653</v>
      </c>
      <c r="U30" s="590">
        <v>41395</v>
      </c>
      <c r="V30" s="571">
        <f t="shared" si="0"/>
        <v>403.09320362723093</v>
      </c>
    </row>
    <row r="31" spans="2:22" ht="12" customHeight="1" x14ac:dyDescent="0.15">
      <c r="B31" s="99"/>
      <c r="C31" s="99">
        <v>43309</v>
      </c>
      <c r="D31" s="532" t="s">
        <v>654</v>
      </c>
      <c r="E31" s="27"/>
      <c r="F31" s="28"/>
      <c r="G31" s="533">
        <v>568</v>
      </c>
      <c r="H31" s="27"/>
      <c r="I31" s="568"/>
      <c r="J31" s="568"/>
      <c r="K31" s="568"/>
      <c r="L31" s="566"/>
      <c r="M31" s="566"/>
      <c r="N31" s="27" t="s">
        <v>653</v>
      </c>
      <c r="U31" s="590">
        <v>41426</v>
      </c>
      <c r="V31" s="571">
        <f t="shared" si="0"/>
        <v>395.57562521303902</v>
      </c>
    </row>
    <row r="32" spans="2:22" ht="12" customHeight="1" x14ac:dyDescent="0.15">
      <c r="B32" s="99"/>
      <c r="C32" s="99">
        <v>43309</v>
      </c>
      <c r="D32" s="532" t="s">
        <v>655</v>
      </c>
      <c r="E32" s="27"/>
      <c r="F32" s="28"/>
      <c r="G32" s="534">
        <v>45</v>
      </c>
      <c r="H32" s="27"/>
      <c r="I32" s="568"/>
      <c r="J32" s="568"/>
      <c r="K32" s="568"/>
      <c r="L32" s="566"/>
      <c r="M32" s="566"/>
      <c r="N32" s="27" t="s">
        <v>653</v>
      </c>
      <c r="U32" s="590">
        <v>41456</v>
      </c>
      <c r="V32" s="571">
        <f t="shared" si="0"/>
        <v>420.86044134979267</v>
      </c>
    </row>
    <row r="33" spans="2:22" ht="12" customHeight="1" x14ac:dyDescent="0.15">
      <c r="B33" s="99"/>
      <c r="C33" s="99">
        <v>43329</v>
      </c>
      <c r="D33" s="532" t="s">
        <v>654</v>
      </c>
      <c r="E33" s="27"/>
      <c r="F33" s="28"/>
      <c r="G33" s="533">
        <v>604</v>
      </c>
      <c r="H33" s="27"/>
      <c r="I33" s="568"/>
      <c r="J33" s="568"/>
      <c r="K33" s="568"/>
      <c r="L33" s="567">
        <f>G33</f>
        <v>604</v>
      </c>
      <c r="M33" s="567">
        <f>G34</f>
        <v>34</v>
      </c>
      <c r="N33" s="27" t="s">
        <v>653</v>
      </c>
      <c r="U33" s="590">
        <v>41487</v>
      </c>
      <c r="V33" s="571">
        <f t="shared" si="0"/>
        <v>426.77176209009184</v>
      </c>
    </row>
    <row r="34" spans="2:22" ht="12" customHeight="1" x14ac:dyDescent="0.15">
      <c r="B34" s="99"/>
      <c r="C34" s="99">
        <v>43329</v>
      </c>
      <c r="D34" s="532" t="s">
        <v>655</v>
      </c>
      <c r="E34" s="27"/>
      <c r="F34" s="28"/>
      <c r="G34" s="534">
        <v>34</v>
      </c>
      <c r="H34" s="27"/>
      <c r="I34" s="568"/>
      <c r="J34" s="568"/>
      <c r="K34" s="568"/>
      <c r="L34" s="566"/>
      <c r="M34" s="566"/>
      <c r="N34" s="27" t="s">
        <v>653</v>
      </c>
      <c r="U34" s="590">
        <v>41518</v>
      </c>
      <c r="V34" s="571">
        <f t="shared" si="0"/>
        <v>395.7218610958588</v>
      </c>
    </row>
    <row r="35" spans="2:22" ht="12" customHeight="1" x14ac:dyDescent="0.15">
      <c r="B35" s="99">
        <v>43339</v>
      </c>
      <c r="C35" s="99">
        <v>43340</v>
      </c>
      <c r="D35" s="27" t="s">
        <v>656</v>
      </c>
      <c r="E35" s="27" t="s">
        <v>457</v>
      </c>
      <c r="F35" s="28">
        <v>980</v>
      </c>
      <c r="G35" s="28">
        <v>3421.3</v>
      </c>
      <c r="H35" s="27"/>
      <c r="I35" s="568"/>
      <c r="J35" s="570">
        <f>F35*G35</f>
        <v>3352874</v>
      </c>
      <c r="K35" s="568"/>
      <c r="L35" s="566"/>
      <c r="M35" s="566"/>
      <c r="N35" s="27" t="s">
        <v>657</v>
      </c>
      <c r="U35" s="590">
        <v>41548</v>
      </c>
      <c r="V35" s="571">
        <f t="shared" si="0"/>
        <v>407.17274445394003</v>
      </c>
    </row>
    <row r="36" spans="2:22" ht="12" customHeight="1" x14ac:dyDescent="0.15">
      <c r="B36" s="99">
        <v>43340</v>
      </c>
      <c r="C36" s="99">
        <v>43341</v>
      </c>
      <c r="D36" s="27" t="s">
        <v>656</v>
      </c>
      <c r="E36" s="27" t="s">
        <v>457</v>
      </c>
      <c r="F36" s="28">
        <v>960</v>
      </c>
      <c r="G36" s="28">
        <v>3476.1</v>
      </c>
      <c r="H36" s="27"/>
      <c r="I36" s="568"/>
      <c r="J36" s="570">
        <f>F36*G36</f>
        <v>3337056</v>
      </c>
      <c r="K36" s="568"/>
      <c r="L36" s="566"/>
      <c r="M36" s="566"/>
      <c r="N36" s="27" t="s">
        <v>657</v>
      </c>
      <c r="U36" s="590">
        <v>41579</v>
      </c>
      <c r="V36" s="571">
        <f t="shared" si="0"/>
        <v>368.31154423241526</v>
      </c>
    </row>
    <row r="37" spans="2:22" ht="12" customHeight="1" x14ac:dyDescent="0.15">
      <c r="B37" s="99">
        <v>43341</v>
      </c>
      <c r="C37" s="99">
        <v>43342</v>
      </c>
      <c r="D37" s="27" t="s">
        <v>656</v>
      </c>
      <c r="E37" s="27" t="s">
        <v>457</v>
      </c>
      <c r="F37" s="28">
        <v>960</v>
      </c>
      <c r="G37" s="28">
        <v>2931.5</v>
      </c>
      <c r="H37" s="27"/>
      <c r="I37" s="568"/>
      <c r="J37" s="570">
        <f>F37*G37</f>
        <v>2814240</v>
      </c>
      <c r="K37" s="568"/>
      <c r="L37" s="566"/>
      <c r="M37" s="566"/>
      <c r="N37" s="27" t="s">
        <v>657</v>
      </c>
      <c r="U37" s="590">
        <v>41609</v>
      </c>
      <c r="V37" s="571">
        <f t="shared" ref="V37:V68" si="1">IF(MONTH(U37)&lt;=3,(INDEX(月値割合表,MATCH(MONTH(U37),月,0),2)*INDEX(年度別焼却量,MATCH(YEAR(U37)-1,年度,0),2))/10,(INDEX(月値割合表,MATCH(MONTH(U37),月,0),2)*INDEX(年度別焼却量,MATCH(YEAR(U37),年度,0),2))/10)</f>
        <v>369.65569326233759</v>
      </c>
    </row>
    <row r="38" spans="2:22" ht="12" customHeight="1" x14ac:dyDescent="0.15">
      <c r="B38" s="99">
        <v>43342</v>
      </c>
      <c r="C38" s="99">
        <v>43343</v>
      </c>
      <c r="D38" s="27" t="s">
        <v>656</v>
      </c>
      <c r="E38" s="27" t="s">
        <v>457</v>
      </c>
      <c r="F38" s="28">
        <v>980</v>
      </c>
      <c r="G38" s="28">
        <v>2483.3000000000002</v>
      </c>
      <c r="H38" s="27"/>
      <c r="I38" s="568"/>
      <c r="J38" s="570">
        <f>F38*G38</f>
        <v>2433634</v>
      </c>
      <c r="K38" s="568"/>
      <c r="L38" s="566"/>
      <c r="M38" s="566"/>
      <c r="N38" s="27" t="s">
        <v>657</v>
      </c>
      <c r="U38" s="590">
        <v>41640</v>
      </c>
      <c r="V38" s="571">
        <f t="shared" si="1"/>
        <v>338.69760759469142</v>
      </c>
    </row>
    <row r="39" spans="2:22" ht="12" customHeight="1" x14ac:dyDescent="0.15">
      <c r="B39" s="99">
        <v>43343</v>
      </c>
      <c r="C39" s="535">
        <v>43344</v>
      </c>
      <c r="D39" s="27" t="s">
        <v>656</v>
      </c>
      <c r="E39" s="27" t="s">
        <v>457</v>
      </c>
      <c r="F39" s="28">
        <v>990</v>
      </c>
      <c r="G39" s="28">
        <v>2924.1</v>
      </c>
      <c r="H39" s="588">
        <f>AVERAGE(G35:G39)</f>
        <v>3047.26</v>
      </c>
      <c r="I39" s="570">
        <f>SUM(F35:F39)</f>
        <v>4870</v>
      </c>
      <c r="J39" s="570">
        <f>F39*G39</f>
        <v>2894859</v>
      </c>
      <c r="K39" s="571">
        <f>SUM(J35:J39)/1000</f>
        <v>14832.663</v>
      </c>
      <c r="L39" s="567">
        <f>G40</f>
        <v>528</v>
      </c>
      <c r="M39" s="567">
        <f>G41</f>
        <v>40</v>
      </c>
      <c r="N39" s="27" t="s">
        <v>657</v>
      </c>
      <c r="U39" s="590">
        <v>41671</v>
      </c>
      <c r="V39" s="571">
        <f t="shared" si="1"/>
        <v>289.81661443420671</v>
      </c>
    </row>
    <row r="40" spans="2:22" ht="12" customHeight="1" x14ac:dyDescent="0.15">
      <c r="B40" s="99"/>
      <c r="C40" s="99">
        <v>43344</v>
      </c>
      <c r="D40" s="532" t="s">
        <v>654</v>
      </c>
      <c r="E40" s="27"/>
      <c r="F40" s="28"/>
      <c r="G40" s="533">
        <v>528</v>
      </c>
      <c r="H40" s="27"/>
      <c r="I40" s="568"/>
      <c r="J40" s="568"/>
      <c r="K40" s="568"/>
      <c r="L40" s="566"/>
      <c r="M40" s="566"/>
      <c r="N40" s="27" t="s">
        <v>657</v>
      </c>
      <c r="U40" s="590">
        <v>41699</v>
      </c>
      <c r="V40" s="571">
        <f t="shared" si="1"/>
        <v>351.35425941203982</v>
      </c>
    </row>
    <row r="41" spans="2:22" ht="12" customHeight="1" x14ac:dyDescent="0.15">
      <c r="B41" s="99"/>
      <c r="C41" s="99">
        <v>43344</v>
      </c>
      <c r="D41" s="532" t="s">
        <v>655</v>
      </c>
      <c r="E41" s="27"/>
      <c r="F41" s="28"/>
      <c r="G41" s="534">
        <v>40</v>
      </c>
      <c r="H41" s="27"/>
      <c r="I41" s="568"/>
      <c r="J41" s="568"/>
      <c r="K41" s="568"/>
      <c r="L41" s="566"/>
      <c r="M41" s="566"/>
      <c r="N41" s="27" t="s">
        <v>657</v>
      </c>
      <c r="U41" s="590">
        <v>41730</v>
      </c>
      <c r="V41" s="571">
        <f t="shared" si="1"/>
        <v>357.14809883118357</v>
      </c>
    </row>
    <row r="42" spans="2:22" ht="12" customHeight="1" x14ac:dyDescent="0.15">
      <c r="B42" s="99"/>
      <c r="C42" s="99">
        <v>43364</v>
      </c>
      <c r="D42" s="532" t="s">
        <v>654</v>
      </c>
      <c r="E42" s="27"/>
      <c r="F42" s="28"/>
      <c r="G42" s="533">
        <v>561</v>
      </c>
      <c r="H42" s="27"/>
      <c r="I42" s="568"/>
      <c r="J42" s="568"/>
      <c r="K42" s="568"/>
      <c r="L42" s="567">
        <f>G42</f>
        <v>561</v>
      </c>
      <c r="M42" s="567">
        <f>G43</f>
        <v>38</v>
      </c>
      <c r="N42" s="27" t="s">
        <v>657</v>
      </c>
      <c r="U42" s="590">
        <v>41760</v>
      </c>
      <c r="V42" s="571">
        <f t="shared" si="1"/>
        <v>401.30171789050706</v>
      </c>
    </row>
    <row r="43" spans="2:22" ht="12" customHeight="1" x14ac:dyDescent="0.15">
      <c r="B43" s="99"/>
      <c r="C43" s="99">
        <v>43364</v>
      </c>
      <c r="D43" s="532" t="s">
        <v>655</v>
      </c>
      <c r="E43" s="27"/>
      <c r="F43" s="28"/>
      <c r="G43" s="534">
        <v>38</v>
      </c>
      <c r="H43" s="27"/>
      <c r="I43" s="568"/>
      <c r="J43" s="568"/>
      <c r="K43" s="568"/>
      <c r="L43" s="566"/>
      <c r="M43" s="566"/>
      <c r="N43" s="27" t="s">
        <v>657</v>
      </c>
      <c r="U43" s="590">
        <v>41791</v>
      </c>
      <c r="V43" s="571">
        <f t="shared" si="1"/>
        <v>393.81755019716718</v>
      </c>
    </row>
    <row r="44" spans="2:22" ht="12" customHeight="1" x14ac:dyDescent="0.15">
      <c r="B44" s="99">
        <v>43374</v>
      </c>
      <c r="C44" s="99">
        <v>43375</v>
      </c>
      <c r="D44" s="27" t="s">
        <v>577</v>
      </c>
      <c r="E44" s="27" t="s">
        <v>578</v>
      </c>
      <c r="F44" s="28">
        <v>950</v>
      </c>
      <c r="G44" s="28">
        <v>6625.4</v>
      </c>
      <c r="H44" s="27"/>
      <c r="I44" s="568"/>
      <c r="J44" s="570">
        <f>F44*G44</f>
        <v>6294130</v>
      </c>
      <c r="K44" s="568"/>
      <c r="L44" s="566"/>
      <c r="M44" s="566"/>
      <c r="N44" s="27" t="s">
        <v>658</v>
      </c>
      <c r="U44" s="590">
        <v>41821</v>
      </c>
      <c r="V44" s="571">
        <f t="shared" si="1"/>
        <v>418.98999185809964</v>
      </c>
    </row>
    <row r="45" spans="2:22" ht="12" customHeight="1" x14ac:dyDescent="0.15">
      <c r="B45" s="99">
        <v>43375</v>
      </c>
      <c r="C45" s="99">
        <v>43376</v>
      </c>
      <c r="D45" s="27" t="s">
        <v>577</v>
      </c>
      <c r="E45" s="27" t="s">
        <v>578</v>
      </c>
      <c r="F45" s="28">
        <v>960</v>
      </c>
      <c r="G45" s="28">
        <v>4543.7</v>
      </c>
      <c r="H45" s="27"/>
      <c r="I45" s="568"/>
      <c r="J45" s="570">
        <f>F45*G45</f>
        <v>4361952</v>
      </c>
      <c r="K45" s="568"/>
      <c r="L45" s="566"/>
      <c r="M45" s="566"/>
      <c r="N45" s="27" t="s">
        <v>658</v>
      </c>
      <c r="U45" s="590">
        <v>41852</v>
      </c>
      <c r="V45" s="571">
        <f t="shared" si="1"/>
        <v>424.87504064269194</v>
      </c>
    </row>
    <row r="46" spans="2:22" ht="12" customHeight="1" x14ac:dyDescent="0.15">
      <c r="B46" s="99">
        <v>43376</v>
      </c>
      <c r="C46" s="99">
        <v>43377</v>
      </c>
      <c r="D46" s="27" t="s">
        <v>577</v>
      </c>
      <c r="E46" s="27" t="s">
        <v>578</v>
      </c>
      <c r="F46" s="28">
        <v>950</v>
      </c>
      <c r="G46" s="28">
        <v>4241.3999999999996</v>
      </c>
      <c r="H46" s="27"/>
      <c r="I46" s="568"/>
      <c r="J46" s="570">
        <f>F46*G46</f>
        <v>4029329.9999999995</v>
      </c>
      <c r="K46" s="568"/>
      <c r="L46" s="566"/>
      <c r="M46" s="566"/>
      <c r="N46" s="27" t="s">
        <v>658</v>
      </c>
      <c r="U46" s="590">
        <v>41883</v>
      </c>
      <c r="V46" s="571">
        <f t="shared" si="1"/>
        <v>393.96313615710085</v>
      </c>
    </row>
    <row r="47" spans="2:22" ht="12" customHeight="1" x14ac:dyDescent="0.15">
      <c r="B47" s="99">
        <v>43377</v>
      </c>
      <c r="C47" s="99">
        <v>43378</v>
      </c>
      <c r="D47" s="27" t="s">
        <v>577</v>
      </c>
      <c r="E47" s="27" t="s">
        <v>578</v>
      </c>
      <c r="F47" s="28">
        <v>980</v>
      </c>
      <c r="G47" s="28">
        <v>7053.6</v>
      </c>
      <c r="H47" s="27"/>
      <c r="I47" s="568"/>
      <c r="J47" s="570">
        <f>F47*G47</f>
        <v>6912528</v>
      </c>
      <c r="K47" s="568"/>
      <c r="L47" s="566"/>
      <c r="M47" s="566"/>
      <c r="N47" s="27" t="s">
        <v>658</v>
      </c>
      <c r="U47" s="590">
        <v>41913</v>
      </c>
      <c r="V47" s="571">
        <f t="shared" si="1"/>
        <v>405.36312782555717</v>
      </c>
    </row>
    <row r="48" spans="2:22" ht="12" customHeight="1" x14ac:dyDescent="0.15">
      <c r="B48" s="99">
        <v>43378</v>
      </c>
      <c r="C48" s="99">
        <v>43379</v>
      </c>
      <c r="D48" s="27" t="s">
        <v>577</v>
      </c>
      <c r="E48" s="27" t="s">
        <v>578</v>
      </c>
      <c r="F48" s="28">
        <v>970</v>
      </c>
      <c r="G48" s="28">
        <v>7533.4</v>
      </c>
      <c r="H48" s="588">
        <f>AVERAGE(G44:G48)</f>
        <v>5999.5</v>
      </c>
      <c r="I48" s="570">
        <f>SUM(F44:F48)</f>
        <v>4810</v>
      </c>
      <c r="J48" s="570">
        <f>F48*G48</f>
        <v>7307398</v>
      </c>
      <c r="K48" s="571">
        <f>SUM(J44:J48)/1000</f>
        <v>28905.338</v>
      </c>
      <c r="L48" s="567">
        <f>G49</f>
        <v>732</v>
      </c>
      <c r="M48" s="567">
        <f>G50</f>
        <v>73</v>
      </c>
      <c r="N48" s="27" t="s">
        <v>658</v>
      </c>
      <c r="U48" s="590">
        <v>41944</v>
      </c>
      <c r="V48" s="571">
        <f t="shared" si="1"/>
        <v>366.67464023049786</v>
      </c>
    </row>
    <row r="49" spans="2:22" ht="12" customHeight="1" x14ac:dyDescent="0.15">
      <c r="B49" s="99"/>
      <c r="C49" s="99">
        <v>43379</v>
      </c>
      <c r="D49" s="532" t="s">
        <v>654</v>
      </c>
      <c r="E49" s="27"/>
      <c r="F49" s="28"/>
      <c r="G49" s="533">
        <v>732</v>
      </c>
      <c r="H49" s="27"/>
      <c r="I49" s="568"/>
      <c r="J49" s="568"/>
      <c r="K49" s="568"/>
      <c r="L49" s="566"/>
      <c r="M49" s="566"/>
      <c r="N49" s="27" t="s">
        <v>658</v>
      </c>
      <c r="U49" s="590">
        <v>41974</v>
      </c>
      <c r="V49" s="571">
        <f t="shared" si="1"/>
        <v>368.01281539682373</v>
      </c>
    </row>
    <row r="50" spans="2:22" ht="12" customHeight="1" x14ac:dyDescent="0.15">
      <c r="B50" s="99"/>
      <c r="C50" s="99">
        <v>43379</v>
      </c>
      <c r="D50" s="532" t="s">
        <v>655</v>
      </c>
      <c r="E50" s="27"/>
      <c r="F50" s="28"/>
      <c r="G50" s="534">
        <v>73</v>
      </c>
      <c r="H50" s="27"/>
      <c r="I50" s="568"/>
      <c r="J50" s="568"/>
      <c r="K50" s="568"/>
      <c r="L50" s="566"/>
      <c r="M50" s="566"/>
      <c r="N50" s="27" t="s">
        <v>658</v>
      </c>
      <c r="U50" s="590">
        <v>42005</v>
      </c>
      <c r="V50" s="571">
        <f t="shared" si="1"/>
        <v>337.19231817872418</v>
      </c>
    </row>
    <row r="51" spans="2:22" ht="12" customHeight="1" x14ac:dyDescent="0.15">
      <c r="B51" s="99"/>
      <c r="C51" s="99">
        <v>43399</v>
      </c>
      <c r="D51" s="532" t="s">
        <v>654</v>
      </c>
      <c r="E51" s="27"/>
      <c r="F51" s="28"/>
      <c r="G51" s="533">
        <v>586</v>
      </c>
      <c r="H51" s="27"/>
      <c r="I51" s="568"/>
      <c r="J51" s="568"/>
      <c r="K51" s="568"/>
      <c r="L51" s="567">
        <f>G51</f>
        <v>586</v>
      </c>
      <c r="M51" s="567">
        <f>G52</f>
        <v>63</v>
      </c>
      <c r="N51" s="27" t="s">
        <v>658</v>
      </c>
      <c r="U51" s="590">
        <v>42036</v>
      </c>
      <c r="V51" s="571">
        <f t="shared" si="1"/>
        <v>288.52856907310309</v>
      </c>
    </row>
    <row r="52" spans="2:22" ht="12" customHeight="1" x14ac:dyDescent="0.15">
      <c r="B52" s="99"/>
      <c r="C52" s="99">
        <v>43399</v>
      </c>
      <c r="D52" s="532" t="s">
        <v>655</v>
      </c>
      <c r="E52" s="27"/>
      <c r="F52" s="28"/>
      <c r="G52" s="534">
        <v>63</v>
      </c>
      <c r="H52" s="27"/>
      <c r="I52" s="568"/>
      <c r="J52" s="568"/>
      <c r="K52" s="568"/>
      <c r="L52" s="566"/>
      <c r="M52" s="566"/>
      <c r="N52" s="27" t="s">
        <v>658</v>
      </c>
      <c r="U52" s="590">
        <v>42064</v>
      </c>
      <c r="V52" s="571">
        <f t="shared" si="1"/>
        <v>349.79271945401081</v>
      </c>
    </row>
    <row r="53" spans="2:22" ht="12" customHeight="1" x14ac:dyDescent="0.15">
      <c r="B53" s="99">
        <v>43409</v>
      </c>
      <c r="C53" s="99">
        <v>43410</v>
      </c>
      <c r="D53" s="27" t="s">
        <v>246</v>
      </c>
      <c r="E53" s="27" t="s">
        <v>620</v>
      </c>
      <c r="F53" s="28">
        <v>970</v>
      </c>
      <c r="G53" s="28">
        <v>4756.1000000000004</v>
      </c>
      <c r="H53" s="27"/>
      <c r="I53" s="568"/>
      <c r="J53" s="570">
        <f>F53*G53</f>
        <v>4613417</v>
      </c>
      <c r="K53" s="568"/>
      <c r="L53" s="566"/>
      <c r="M53" s="566"/>
      <c r="N53" s="27" t="s">
        <v>659</v>
      </c>
      <c r="U53" s="590">
        <v>42095</v>
      </c>
      <c r="V53" s="571">
        <f t="shared" si="1"/>
        <v>357.72715071823916</v>
      </c>
    </row>
    <row r="54" spans="2:22" ht="12" customHeight="1" x14ac:dyDescent="0.15">
      <c r="B54" s="99">
        <v>43410</v>
      </c>
      <c r="C54" s="99">
        <v>43411</v>
      </c>
      <c r="D54" s="27" t="s">
        <v>246</v>
      </c>
      <c r="E54" s="27" t="s">
        <v>620</v>
      </c>
      <c r="F54" s="28">
        <v>980</v>
      </c>
      <c r="G54" s="28">
        <v>6650.8</v>
      </c>
      <c r="H54" s="27"/>
      <c r="I54" s="568"/>
      <c r="J54" s="570">
        <f>F54*G54</f>
        <v>6517784</v>
      </c>
      <c r="K54" s="568"/>
      <c r="L54" s="566"/>
      <c r="M54" s="566"/>
      <c r="N54" s="27" t="s">
        <v>659</v>
      </c>
      <c r="U54" s="590">
        <v>42125</v>
      </c>
      <c r="V54" s="571">
        <f t="shared" si="1"/>
        <v>401.95235698891918</v>
      </c>
    </row>
    <row r="55" spans="2:22" ht="12" customHeight="1" x14ac:dyDescent="0.15">
      <c r="B55" s="99">
        <v>43411</v>
      </c>
      <c r="C55" s="99">
        <v>43412</v>
      </c>
      <c r="D55" s="27" t="s">
        <v>246</v>
      </c>
      <c r="E55" s="27" t="s">
        <v>620</v>
      </c>
      <c r="F55" s="28">
        <v>980</v>
      </c>
      <c r="G55" s="28">
        <v>5711.7</v>
      </c>
      <c r="H55" s="27"/>
      <c r="I55" s="568"/>
      <c r="J55" s="570">
        <f>F55*G55</f>
        <v>5597466</v>
      </c>
      <c r="K55" s="568"/>
      <c r="L55" s="566"/>
      <c r="M55" s="566"/>
      <c r="N55" s="27" t="s">
        <v>659</v>
      </c>
      <c r="U55" s="590">
        <v>42156</v>
      </c>
      <c r="V55" s="571">
        <f t="shared" si="1"/>
        <v>394.45605505367786</v>
      </c>
    </row>
    <row r="56" spans="2:22" ht="12" customHeight="1" x14ac:dyDescent="0.15">
      <c r="B56" s="99">
        <v>43412</v>
      </c>
      <c r="C56" s="99">
        <v>43413</v>
      </c>
      <c r="D56" s="27" t="s">
        <v>246</v>
      </c>
      <c r="E56" s="27" t="s">
        <v>620</v>
      </c>
      <c r="F56" s="28">
        <v>1000</v>
      </c>
      <c r="G56" s="28">
        <v>4506.5</v>
      </c>
      <c r="H56" s="27"/>
      <c r="I56" s="568"/>
      <c r="J56" s="570">
        <f>F56*G56</f>
        <v>4506500</v>
      </c>
      <c r="K56" s="568"/>
      <c r="L56" s="566"/>
      <c r="M56" s="566"/>
      <c r="N56" s="27" t="s">
        <v>659</v>
      </c>
      <c r="U56" s="590">
        <v>42186</v>
      </c>
      <c r="V56" s="571">
        <f t="shared" si="1"/>
        <v>419.66930933518216</v>
      </c>
    </row>
    <row r="57" spans="2:22" ht="12" customHeight="1" x14ac:dyDescent="0.15">
      <c r="B57" s="99">
        <v>43413</v>
      </c>
      <c r="C57" s="99">
        <v>43414</v>
      </c>
      <c r="D57" s="27" t="s">
        <v>246</v>
      </c>
      <c r="E57" s="27" t="s">
        <v>620</v>
      </c>
      <c r="F57" s="28">
        <v>990</v>
      </c>
      <c r="G57" s="28">
        <v>5805.7</v>
      </c>
      <c r="H57" s="588">
        <f>AVERAGE(G53:G57)</f>
        <v>5486.1600000000008</v>
      </c>
      <c r="I57" s="570">
        <f>SUM(F53:F57)</f>
        <v>4920</v>
      </c>
      <c r="J57" s="570">
        <f>F57*G57</f>
        <v>5747643</v>
      </c>
      <c r="K57" s="571">
        <f>SUM(J53:J57)/1000</f>
        <v>26982.81</v>
      </c>
      <c r="L57" s="566"/>
      <c r="M57" s="566"/>
      <c r="N57" s="27" t="s">
        <v>659</v>
      </c>
      <c r="U57" s="590">
        <v>42217</v>
      </c>
      <c r="V57" s="571">
        <f t="shared" si="1"/>
        <v>425.56389967582726</v>
      </c>
    </row>
    <row r="58" spans="2:22" ht="12" customHeight="1" x14ac:dyDescent="0.15">
      <c r="B58" s="99"/>
      <c r="C58" s="99">
        <v>43414</v>
      </c>
      <c r="D58" s="532" t="s">
        <v>654</v>
      </c>
      <c r="E58" s="27"/>
      <c r="F58" s="28"/>
      <c r="G58" s="112" t="s">
        <v>660</v>
      </c>
      <c r="H58" s="27"/>
      <c r="I58" s="568"/>
      <c r="J58" s="568"/>
      <c r="K58" s="568"/>
      <c r="L58" s="566"/>
      <c r="M58" s="566"/>
      <c r="N58" s="27" t="s">
        <v>659</v>
      </c>
      <c r="U58" s="590">
        <v>42248</v>
      </c>
      <c r="V58" s="571">
        <f t="shared" si="1"/>
        <v>394.60187705525675</v>
      </c>
    </row>
    <row r="59" spans="2:22" ht="12" customHeight="1" x14ac:dyDescent="0.15">
      <c r="B59" s="99"/>
      <c r="C59" s="99">
        <v>43414</v>
      </c>
      <c r="D59" s="532" t="s">
        <v>655</v>
      </c>
      <c r="E59" s="27"/>
      <c r="F59" s="28"/>
      <c r="G59" s="112" t="s">
        <v>660</v>
      </c>
      <c r="H59" s="27"/>
      <c r="I59" s="568"/>
      <c r="J59" s="568"/>
      <c r="K59" s="568"/>
      <c r="L59" s="566"/>
      <c r="M59" s="566"/>
      <c r="N59" s="27" t="s">
        <v>659</v>
      </c>
      <c r="U59" s="590">
        <v>42278</v>
      </c>
      <c r="V59" s="571">
        <f t="shared" si="1"/>
        <v>406.02035177516888</v>
      </c>
    </row>
    <row r="60" spans="2:22" ht="12" customHeight="1" x14ac:dyDescent="0.15">
      <c r="B60" s="99"/>
      <c r="C60" s="99">
        <v>43434</v>
      </c>
      <c r="D60" s="532" t="s">
        <v>654</v>
      </c>
      <c r="E60" s="27"/>
      <c r="F60" s="28"/>
      <c r="G60" s="112" t="s">
        <v>660</v>
      </c>
      <c r="H60" s="27"/>
      <c r="I60" s="568"/>
      <c r="J60" s="568"/>
      <c r="K60" s="568"/>
      <c r="L60" s="566"/>
      <c r="M60" s="566"/>
      <c r="N60" s="27" t="s">
        <v>659</v>
      </c>
      <c r="U60" s="590">
        <v>42309</v>
      </c>
      <c r="V60" s="571">
        <f t="shared" si="1"/>
        <v>367.26913770383106</v>
      </c>
    </row>
    <row r="61" spans="2:22" ht="12" customHeight="1" x14ac:dyDescent="0.15">
      <c r="B61" s="99"/>
      <c r="C61" s="99">
        <v>43434</v>
      </c>
      <c r="D61" s="532" t="s">
        <v>655</v>
      </c>
      <c r="E61" s="27"/>
      <c r="F61" s="28"/>
      <c r="G61" s="112" t="s">
        <v>660</v>
      </c>
      <c r="H61" s="27"/>
      <c r="I61" s="568"/>
      <c r="J61" s="568"/>
      <c r="K61" s="568"/>
      <c r="L61" s="566"/>
      <c r="M61" s="566"/>
      <c r="N61" s="27" t="s">
        <v>659</v>
      </c>
      <c r="U61" s="590">
        <v>42339</v>
      </c>
      <c r="V61" s="571">
        <f t="shared" si="1"/>
        <v>368.60948248230886</v>
      </c>
    </row>
    <row r="62" spans="2:22" ht="12" customHeight="1" x14ac:dyDescent="0.15">
      <c r="I62" s="569"/>
      <c r="J62" s="569"/>
      <c r="K62" s="569"/>
      <c r="U62" s="590">
        <v>42370</v>
      </c>
      <c r="V62" s="571">
        <f t="shared" si="1"/>
        <v>337.73901532979687</v>
      </c>
    </row>
    <row r="63" spans="2:22" x14ac:dyDescent="0.15">
      <c r="U63" s="590">
        <v>42401</v>
      </c>
      <c r="V63" s="571">
        <f t="shared" si="1"/>
        <v>288.9963666420611</v>
      </c>
    </row>
    <row r="64" spans="2:22" x14ac:dyDescent="0.15">
      <c r="U64" s="590">
        <v>42430</v>
      </c>
      <c r="V64" s="571">
        <f t="shared" si="1"/>
        <v>350.35984590642931</v>
      </c>
    </row>
    <row r="65" spans="21:22" x14ac:dyDescent="0.15">
      <c r="U65" s="590">
        <v>42461</v>
      </c>
      <c r="V65" s="571">
        <f t="shared" si="1"/>
        <v>352.22219168239587</v>
      </c>
    </row>
    <row r="66" spans="21:22" x14ac:dyDescent="0.15">
      <c r="U66" s="590">
        <v>42491</v>
      </c>
      <c r="V66" s="571">
        <f t="shared" si="1"/>
        <v>395.76682912182287</v>
      </c>
    </row>
    <row r="67" spans="21:22" x14ac:dyDescent="0.15">
      <c r="U67" s="590">
        <v>42522</v>
      </c>
      <c r="V67" s="571">
        <f t="shared" si="1"/>
        <v>388.38588559589141</v>
      </c>
    </row>
    <row r="68" spans="21:22" x14ac:dyDescent="0.15">
      <c r="U68" s="590">
        <v>42552</v>
      </c>
      <c r="V68" s="571">
        <f t="shared" si="1"/>
        <v>413.21114044346598</v>
      </c>
    </row>
    <row r="69" spans="21:22" x14ac:dyDescent="0.15">
      <c r="U69" s="590">
        <v>42583</v>
      </c>
      <c r="V69" s="571">
        <f t="shared" ref="V69:V100" si="2">IF(MONTH(U69)&lt;=3,(INDEX(月値割合表,MATCH(MONTH(U69),月,0),2)*INDEX(年度別焼却量,MATCH(YEAR(U69)-1,年度,0),2))/10,(INDEX(月値割合表,MATCH(MONTH(U69),月,0),2)*INDEX(年度別焼却量,MATCH(YEAR(U69),年度,0),2))/10)</f>
        <v>419.01502064848626</v>
      </c>
    </row>
    <row r="70" spans="21:22" x14ac:dyDescent="0.15">
      <c r="U70" s="590">
        <v>42614</v>
      </c>
      <c r="V70" s="571">
        <f t="shared" si="2"/>
        <v>388.5294635851173</v>
      </c>
    </row>
    <row r="71" spans="21:22" x14ac:dyDescent="0.15">
      <c r="U71" s="590">
        <v>42644</v>
      </c>
      <c r="V71" s="571">
        <f t="shared" si="2"/>
        <v>399.77222271995652</v>
      </c>
    </row>
    <row r="72" spans="21:22" x14ac:dyDescent="0.15">
      <c r="U72" s="590">
        <v>42675</v>
      </c>
      <c r="V72" s="571">
        <f t="shared" si="2"/>
        <v>361.61733980666361</v>
      </c>
    </row>
    <row r="73" spans="21:22" x14ac:dyDescent="0.15">
      <c r="U73" s="590">
        <v>42705</v>
      </c>
      <c r="V73" s="571">
        <f t="shared" si="2"/>
        <v>362.93705840934058</v>
      </c>
    </row>
    <row r="74" spans="21:22" x14ac:dyDescent="0.15">
      <c r="U74" s="590">
        <v>42736</v>
      </c>
      <c r="V74" s="571">
        <f t="shared" si="2"/>
        <v>332.54164789357179</v>
      </c>
    </row>
    <row r="75" spans="21:22" x14ac:dyDescent="0.15">
      <c r="U75" s="590">
        <v>42767</v>
      </c>
      <c r="V75" s="571">
        <f t="shared" si="2"/>
        <v>284.54908564402149</v>
      </c>
    </row>
    <row r="76" spans="21:22" x14ac:dyDescent="0.15">
      <c r="U76" s="590">
        <v>42795</v>
      </c>
      <c r="V76" s="571">
        <f t="shared" si="2"/>
        <v>344.96826018069726</v>
      </c>
    </row>
    <row r="77" spans="21:22" x14ac:dyDescent="0.15">
      <c r="U77" s="590">
        <v>42826</v>
      </c>
      <c r="V77" s="571">
        <f t="shared" si="2"/>
        <v>356.09311388627418</v>
      </c>
    </row>
    <row r="78" spans="21:22" x14ac:dyDescent="0.15">
      <c r="U78" s="590">
        <v>42856</v>
      </c>
      <c r="V78" s="571">
        <f t="shared" si="2"/>
        <v>400.11630693038626</v>
      </c>
    </row>
    <row r="79" spans="21:22" x14ac:dyDescent="0.15">
      <c r="U79" s="590">
        <v>42887</v>
      </c>
      <c r="V79" s="571">
        <f t="shared" si="2"/>
        <v>392.65424682845594</v>
      </c>
    </row>
    <row r="80" spans="21:22" x14ac:dyDescent="0.15">
      <c r="U80" s="590">
        <v>42917</v>
      </c>
      <c r="V80" s="571">
        <f t="shared" si="2"/>
        <v>417.75233124916849</v>
      </c>
    </row>
    <row r="81" spans="21:22" x14ac:dyDescent="0.15">
      <c r="U81" s="590">
        <v>42948</v>
      </c>
      <c r="V81" s="571">
        <f t="shared" si="2"/>
        <v>423.61999610287012</v>
      </c>
    </row>
    <row r="82" spans="21:22" x14ac:dyDescent="0.15">
      <c r="U82" s="590">
        <v>42979</v>
      </c>
      <c r="V82" s="571">
        <f t="shared" si="2"/>
        <v>392.79940273991281</v>
      </c>
    </row>
    <row r="83" spans="21:22" x14ac:dyDescent="0.15">
      <c r="U83" s="590">
        <v>43009</v>
      </c>
      <c r="V83" s="571">
        <f t="shared" si="2"/>
        <v>404.16571980777155</v>
      </c>
    </row>
    <row r="84" spans="21:22" x14ac:dyDescent="0.15">
      <c r="U84" s="590">
        <v>43040</v>
      </c>
      <c r="V84" s="571">
        <f t="shared" si="2"/>
        <v>365.59151469689084</v>
      </c>
    </row>
    <row r="85" spans="21:22" x14ac:dyDescent="0.15">
      <c r="U85" s="590">
        <v>43070</v>
      </c>
      <c r="V85" s="571">
        <f t="shared" si="2"/>
        <v>366.92573700820014</v>
      </c>
    </row>
    <row r="86" spans="21:22" x14ac:dyDescent="0.15">
      <c r="U86" s="590">
        <v>43101</v>
      </c>
      <c r="V86" s="571">
        <f t="shared" si="2"/>
        <v>336.19628090348226</v>
      </c>
    </row>
    <row r="87" spans="21:22" x14ac:dyDescent="0.15">
      <c r="U87" s="590">
        <v>43132</v>
      </c>
      <c r="V87" s="571">
        <f t="shared" si="2"/>
        <v>287.67628035157674</v>
      </c>
    </row>
    <row r="88" spans="21:22" x14ac:dyDescent="0.15">
      <c r="U88" s="590">
        <v>43160</v>
      </c>
      <c r="V88" s="571">
        <f t="shared" si="2"/>
        <v>348.75946167083737</v>
      </c>
    </row>
    <row r="89" spans="21:22" x14ac:dyDescent="0.15">
      <c r="U89" s="590">
        <v>43191</v>
      </c>
      <c r="V89" s="571">
        <f t="shared" si="2"/>
        <v>358.80910520309362</v>
      </c>
    </row>
    <row r="90" spans="21:22" x14ac:dyDescent="0.15">
      <c r="U90" s="590">
        <v>43221</v>
      </c>
      <c r="V90" s="571">
        <f t="shared" si="2"/>
        <v>403.16807168787011</v>
      </c>
    </row>
    <row r="91" spans="21:22" x14ac:dyDescent="0.15">
      <c r="U91" s="590">
        <v>43252</v>
      </c>
      <c r="V91" s="571">
        <f t="shared" si="2"/>
        <v>395.64909700474715</v>
      </c>
    </row>
    <row r="92" spans="21:22" x14ac:dyDescent="0.15">
      <c r="U92" s="590">
        <v>43282</v>
      </c>
      <c r="V92" s="571">
        <f t="shared" si="2"/>
        <v>420.93860938825145</v>
      </c>
    </row>
    <row r="93" spans="21:22" x14ac:dyDescent="0.15">
      <c r="U93" s="590">
        <v>43313</v>
      </c>
      <c r="V93" s="571">
        <f t="shared" si="2"/>
        <v>426.85102806102805</v>
      </c>
    </row>
    <row r="94" spans="21:22" x14ac:dyDescent="0.15">
      <c r="U94" s="590">
        <v>43344</v>
      </c>
      <c r="V94" s="571">
        <f t="shared" si="2"/>
        <v>395.79536004852332</v>
      </c>
    </row>
    <row r="95" spans="21:22" x14ac:dyDescent="0.15">
      <c r="U95" s="590">
        <v>43374</v>
      </c>
      <c r="V95" s="571">
        <f t="shared" si="2"/>
        <v>407.24837022348436</v>
      </c>
    </row>
    <row r="96" spans="21:22" x14ac:dyDescent="0.15">
      <c r="U96" s="590">
        <v>43405</v>
      </c>
      <c r="V96" s="571">
        <f t="shared" si="2"/>
        <v>368.37995216085363</v>
      </c>
    </row>
    <row r="97" spans="21:22" x14ac:dyDescent="0.15">
      <c r="U97" s="590">
        <v>43435</v>
      </c>
      <c r="V97" s="571">
        <f t="shared" si="2"/>
        <v>369.72435084477695</v>
      </c>
    </row>
    <row r="98" spans="21:22" x14ac:dyDescent="0.15">
      <c r="U98" s="590">
        <v>43466</v>
      </c>
      <c r="V98" s="571">
        <f t="shared" si="2"/>
        <v>338.76051521207512</v>
      </c>
    </row>
    <row r="99" spans="21:22" x14ac:dyDescent="0.15">
      <c r="U99" s="590">
        <v>43497</v>
      </c>
      <c r="V99" s="571">
        <f t="shared" si="2"/>
        <v>289.87044319556628</v>
      </c>
    </row>
    <row r="100" spans="21:22" x14ac:dyDescent="0.15">
      <c r="U100" s="590">
        <v>43525</v>
      </c>
      <c r="V100" s="571">
        <f t="shared" si="2"/>
        <v>351.41951779834551</v>
      </c>
    </row>
  </sheetData>
  <mergeCells count="4">
    <mergeCell ref="P3:Q3"/>
    <mergeCell ref="R3:S3"/>
    <mergeCell ref="P17:Q22"/>
    <mergeCell ref="U3:V3"/>
  </mergeCells>
  <phoneticPr fontId="6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I336"/>
  <sheetViews>
    <sheetView topLeftCell="A259" zoomScale="80" zoomScaleNormal="80" workbookViewId="0">
      <selection activeCell="A314" activeCellId="6" sqref="A34:XFD38 A2:XFD2 A91:XFD95 A146:XFD150 A202:XFD206 A258:XFD263 A314:XFD318"/>
    </sheetView>
  </sheetViews>
  <sheetFormatPr defaultColWidth="4.625" defaultRowHeight="9.9499999999999993" customHeight="1" x14ac:dyDescent="0.15"/>
  <cols>
    <col min="1" max="1" width="3" style="240" customWidth="1"/>
    <col min="2" max="2" width="10.125" style="240" customWidth="1"/>
    <col min="3" max="3" width="13" style="240" customWidth="1"/>
    <col min="4" max="4" width="10.75" style="240" customWidth="1"/>
    <col min="5" max="33" width="4.625" style="240" customWidth="1"/>
    <col min="34" max="35" width="4.625" style="289" customWidth="1"/>
    <col min="36" max="38" width="4" style="1" customWidth="1"/>
    <col min="39" max="16384" width="4.625" style="1"/>
  </cols>
  <sheetData>
    <row r="2" spans="1:35" ht="15.75" customHeight="1" x14ac:dyDescent="0.15">
      <c r="A2" s="1"/>
      <c r="B2" s="237" t="s">
        <v>215</v>
      </c>
      <c r="C2" s="238"/>
      <c r="D2" s="239" t="s">
        <v>216</v>
      </c>
      <c r="E2" s="238"/>
      <c r="F2" s="238"/>
      <c r="G2" s="238"/>
      <c r="H2" s="238"/>
      <c r="I2" s="238"/>
      <c r="J2" s="238"/>
      <c r="K2" s="238"/>
      <c r="L2" s="238"/>
      <c r="M2" s="238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</row>
    <row r="3" spans="1:35" ht="9.9499999999999993" customHeight="1" x14ac:dyDescent="0.15">
      <c r="A3" s="1"/>
      <c r="B3" s="572" t="s">
        <v>217</v>
      </c>
      <c r="H3" s="573" t="s">
        <v>218</v>
      </c>
      <c r="I3" s="241"/>
      <c r="J3" s="241"/>
      <c r="K3" s="241"/>
      <c r="L3" s="241"/>
      <c r="M3" s="242"/>
      <c r="AA3" s="1"/>
      <c r="AB3" s="1"/>
      <c r="AC3" s="1"/>
      <c r="AD3" s="1"/>
      <c r="AE3" s="1"/>
      <c r="AF3" s="1"/>
      <c r="AG3" s="1"/>
      <c r="AH3" s="1"/>
      <c r="AI3" s="1"/>
    </row>
    <row r="4" spans="1:35" ht="9.9499999999999993" customHeight="1" x14ac:dyDescent="0.15">
      <c r="A4" s="1"/>
      <c r="B4" s="574"/>
      <c r="C4" s="575"/>
      <c r="D4" s="575"/>
      <c r="E4" s="243"/>
      <c r="F4" s="244"/>
      <c r="G4" s="245" t="s">
        <v>219</v>
      </c>
      <c r="H4" s="576"/>
      <c r="I4" s="246" t="s">
        <v>220</v>
      </c>
      <c r="J4" s="246"/>
      <c r="K4" s="246"/>
      <c r="L4" s="247"/>
      <c r="M4" s="248"/>
      <c r="P4" s="1"/>
      <c r="Q4" s="240" t="s">
        <v>221</v>
      </c>
      <c r="R4" s="249"/>
      <c r="S4" s="250"/>
      <c r="T4" s="250"/>
      <c r="U4" s="250"/>
      <c r="V4" s="250"/>
      <c r="W4" s="250"/>
      <c r="AA4" s="1"/>
      <c r="AB4" s="1"/>
      <c r="AC4" s="1"/>
      <c r="AD4" s="1"/>
      <c r="AE4" s="1"/>
      <c r="AF4" s="1"/>
      <c r="AG4" s="1"/>
      <c r="AH4" s="1"/>
      <c r="AI4" s="1"/>
    </row>
    <row r="5" spans="1:35" ht="9.9499999999999993" customHeight="1" x14ac:dyDescent="0.15">
      <c r="A5" s="1"/>
      <c r="B5" s="251" t="s">
        <v>222</v>
      </c>
      <c r="C5" s="252" t="s">
        <v>223</v>
      </c>
      <c r="D5" s="252" t="s">
        <v>224</v>
      </c>
      <c r="E5" s="253" t="s">
        <v>225</v>
      </c>
      <c r="F5" s="254"/>
      <c r="G5" s="255" t="s">
        <v>226</v>
      </c>
      <c r="H5" s="256" t="s">
        <v>227</v>
      </c>
      <c r="I5" s="256" t="s">
        <v>228</v>
      </c>
      <c r="J5" s="256" t="s">
        <v>229</v>
      </c>
      <c r="K5" s="256" t="s">
        <v>230</v>
      </c>
      <c r="L5" s="256" t="s">
        <v>231</v>
      </c>
      <c r="M5" s="256" t="s">
        <v>232</v>
      </c>
      <c r="P5" s="1"/>
      <c r="Q5" s="240" t="s">
        <v>233</v>
      </c>
      <c r="R5" s="256" t="s">
        <v>227</v>
      </c>
      <c r="S5" s="256" t="s">
        <v>228</v>
      </c>
      <c r="T5" s="256" t="s">
        <v>229</v>
      </c>
      <c r="U5" s="256" t="s">
        <v>230</v>
      </c>
      <c r="V5" s="256" t="s">
        <v>231</v>
      </c>
      <c r="W5" s="256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</row>
    <row r="6" spans="1:35" ht="9.9499999999999993" customHeight="1" x14ac:dyDescent="0.15">
      <c r="A6" s="1"/>
      <c r="B6" s="257"/>
      <c r="C6" s="258"/>
      <c r="D6" s="258"/>
      <c r="E6" s="259"/>
      <c r="F6" s="250"/>
      <c r="G6" s="258"/>
      <c r="H6" s="260" t="s">
        <v>234</v>
      </c>
      <c r="I6" s="260" t="s">
        <v>235</v>
      </c>
      <c r="J6" s="260" t="s">
        <v>236</v>
      </c>
      <c r="K6" s="260" t="s">
        <v>237</v>
      </c>
      <c r="L6" s="260" t="s">
        <v>238</v>
      </c>
      <c r="M6" s="260" t="s">
        <v>239</v>
      </c>
      <c r="P6" s="1"/>
      <c r="R6" s="261" t="s">
        <v>240</v>
      </c>
      <c r="S6" s="262" t="s">
        <v>241</v>
      </c>
      <c r="T6" s="262" t="s">
        <v>242</v>
      </c>
      <c r="U6" s="262" t="s">
        <v>243</v>
      </c>
      <c r="V6" s="262" t="s">
        <v>244</v>
      </c>
      <c r="W6" s="262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</row>
    <row r="7" spans="1:35" ht="9.9499999999999993" customHeight="1" x14ac:dyDescent="0.15">
      <c r="A7" s="1"/>
      <c r="B7" s="263" t="s">
        <v>245</v>
      </c>
      <c r="C7" s="264" t="s">
        <v>246</v>
      </c>
      <c r="D7" s="265" t="s">
        <v>247</v>
      </c>
      <c r="E7" s="266" t="s">
        <v>248</v>
      </c>
      <c r="F7" s="267"/>
      <c r="G7" s="268" t="s">
        <v>249</v>
      </c>
      <c r="H7" s="269">
        <v>38.1</v>
      </c>
      <c r="I7" s="269">
        <v>46.6</v>
      </c>
      <c r="J7" s="269">
        <v>52.9</v>
      </c>
      <c r="K7" s="269">
        <v>70.8</v>
      </c>
      <c r="L7" s="269">
        <v>41.4</v>
      </c>
      <c r="M7" s="270"/>
      <c r="Q7" s="271" t="s">
        <v>250</v>
      </c>
      <c r="R7" s="272">
        <v>0.04</v>
      </c>
      <c r="S7" s="272">
        <v>3.7999999999999999E-2</v>
      </c>
      <c r="T7" s="272">
        <v>3.4000000000000002E-2</v>
      </c>
      <c r="U7" s="272">
        <v>3.7999999999999999E-2</v>
      </c>
      <c r="V7" s="272">
        <v>3.5999999999999997E-2</v>
      </c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</row>
    <row r="8" spans="1:35" ht="9.9499999999999993" customHeight="1" x14ac:dyDescent="0.15">
      <c r="A8" s="1"/>
      <c r="B8" s="257"/>
      <c r="C8" s="258"/>
      <c r="D8" s="273"/>
      <c r="E8" s="274" t="s">
        <v>191</v>
      </c>
      <c r="F8" s="275"/>
      <c r="G8" s="276" t="s">
        <v>251</v>
      </c>
      <c r="H8" s="277">
        <v>940</v>
      </c>
      <c r="I8" s="277">
        <v>940</v>
      </c>
      <c r="J8" s="277">
        <v>940</v>
      </c>
      <c r="K8" s="277">
        <v>940</v>
      </c>
      <c r="L8" s="277">
        <v>950</v>
      </c>
      <c r="M8" s="270"/>
      <c r="Q8" s="271" t="s">
        <v>252</v>
      </c>
      <c r="R8" s="272">
        <v>0.04</v>
      </c>
      <c r="S8" s="272">
        <v>0.04</v>
      </c>
      <c r="T8" s="272">
        <v>3.2000000000000001E-2</v>
      </c>
      <c r="U8" s="272">
        <v>3.7999999999999999E-2</v>
      </c>
      <c r="V8" s="272">
        <v>3.5999999999999997E-2</v>
      </c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</row>
    <row r="9" spans="1:35" ht="9.9499999999999993" customHeight="1" x14ac:dyDescent="0.15">
      <c r="B9" s="493"/>
      <c r="Q9" s="271" t="s">
        <v>253</v>
      </c>
      <c r="R9" s="272">
        <v>0.04</v>
      </c>
      <c r="S9" s="272">
        <v>3.7999999999999999E-2</v>
      </c>
      <c r="T9" s="272">
        <v>3.4000000000000002E-2</v>
      </c>
      <c r="U9" s="272">
        <v>3.7999999999999999E-2</v>
      </c>
      <c r="V9" s="272">
        <v>3.2000000000000001E-2</v>
      </c>
    </row>
    <row r="10" spans="1:35" ht="9.9499999999999993" customHeight="1" x14ac:dyDescent="0.15">
      <c r="B10" s="493"/>
      <c r="Q10" s="271" t="s">
        <v>254</v>
      </c>
      <c r="R10" s="272">
        <v>0.04</v>
      </c>
      <c r="S10" s="272">
        <v>3.7999999999999999E-2</v>
      </c>
      <c r="T10" s="272">
        <v>3.5999999999999997E-2</v>
      </c>
      <c r="U10" s="272">
        <v>3.5999999999999997E-2</v>
      </c>
      <c r="V10" s="272">
        <v>3.4000000000000002E-2</v>
      </c>
    </row>
    <row r="11" spans="1:35" ht="9.9499999999999993" customHeight="1" x14ac:dyDescent="0.15">
      <c r="B11" s="493" t="s">
        <v>255</v>
      </c>
    </row>
    <row r="12" spans="1:35" ht="9.9499999999999993" customHeight="1" x14ac:dyDescent="0.15">
      <c r="B12" s="642"/>
      <c r="C12" s="278" t="s">
        <v>256</v>
      </c>
      <c r="D12" s="279" t="s">
        <v>257</v>
      </c>
      <c r="E12" s="280" t="s">
        <v>258</v>
      </c>
      <c r="F12" s="281"/>
      <c r="G12" s="282"/>
      <c r="H12" s="283" t="s">
        <v>259</v>
      </c>
      <c r="I12" s="284"/>
      <c r="J12" s="284"/>
      <c r="K12" s="284"/>
      <c r="L12" s="284"/>
      <c r="M12" s="285"/>
      <c r="N12" s="285"/>
      <c r="O12" s="285"/>
      <c r="P12" s="285"/>
      <c r="Q12" s="285"/>
      <c r="R12" s="285"/>
      <c r="S12" s="285"/>
      <c r="T12" s="285"/>
      <c r="U12" s="285"/>
      <c r="V12" s="285"/>
      <c r="W12" s="285"/>
      <c r="X12" s="285"/>
      <c r="Y12" s="285"/>
      <c r="Z12" s="285"/>
      <c r="AA12" s="285"/>
      <c r="AB12" s="286"/>
      <c r="AC12" s="287" t="s">
        <v>260</v>
      </c>
      <c r="AD12" s="288"/>
      <c r="AE12" s="289"/>
      <c r="AF12" s="289"/>
      <c r="AG12" s="289"/>
    </row>
    <row r="13" spans="1:35" ht="9.9499999999999993" customHeight="1" x14ac:dyDescent="0.15">
      <c r="B13" s="643"/>
      <c r="C13" s="290"/>
      <c r="D13" s="290"/>
      <c r="E13" s="291"/>
      <c r="F13" s="250"/>
      <c r="G13" s="292"/>
      <c r="H13" s="293" t="s">
        <v>261</v>
      </c>
      <c r="I13" s="294"/>
      <c r="J13" s="294"/>
      <c r="K13" s="294"/>
      <c r="L13" s="294"/>
      <c r="M13" s="295"/>
      <c r="N13" s="283" t="s">
        <v>262</v>
      </c>
      <c r="O13" s="285"/>
      <c r="P13" s="285"/>
      <c r="Q13" s="285"/>
      <c r="R13" s="286"/>
      <c r="S13" s="283" t="s">
        <v>263</v>
      </c>
      <c r="T13" s="285"/>
      <c r="U13" s="285"/>
      <c r="V13" s="285"/>
      <c r="W13" s="286"/>
      <c r="X13" s="283" t="s">
        <v>264</v>
      </c>
      <c r="Y13" s="285"/>
      <c r="Z13" s="285"/>
      <c r="AA13" s="285"/>
      <c r="AB13" s="286"/>
      <c r="AC13" s="79"/>
      <c r="AD13" s="296"/>
      <c r="AE13" s="289"/>
      <c r="AF13" s="289"/>
      <c r="AG13" s="289"/>
    </row>
    <row r="14" spans="1:35" ht="9.9499999999999993" customHeight="1" x14ac:dyDescent="0.15">
      <c r="B14" s="643"/>
      <c r="C14" s="290"/>
      <c r="D14" s="290"/>
      <c r="E14" s="291"/>
      <c r="F14" s="250"/>
      <c r="G14" s="292"/>
      <c r="H14" s="297" t="s">
        <v>218</v>
      </c>
      <c r="I14" s="297"/>
      <c r="J14" s="297"/>
      <c r="K14" s="297"/>
      <c r="L14" s="297"/>
      <c r="M14" s="298"/>
      <c r="N14" s="293"/>
      <c r="O14" s="294"/>
      <c r="P14" s="294"/>
      <c r="Q14" s="294"/>
      <c r="R14" s="295"/>
      <c r="S14" s="293"/>
      <c r="T14" s="294"/>
      <c r="U14" s="294"/>
      <c r="V14" s="294"/>
      <c r="W14" s="295"/>
      <c r="X14" s="293"/>
      <c r="Y14" s="294"/>
      <c r="Z14" s="294"/>
      <c r="AA14" s="294"/>
      <c r="AB14" s="295"/>
      <c r="AC14" s="79"/>
      <c r="AD14" s="296"/>
      <c r="AE14" s="289"/>
      <c r="AF14" s="289"/>
      <c r="AG14" s="289"/>
    </row>
    <row r="15" spans="1:35" ht="9.9499999999999993" customHeight="1" x14ac:dyDescent="0.15">
      <c r="B15" s="644"/>
      <c r="C15" s="261"/>
      <c r="D15" s="261"/>
      <c r="E15" s="299"/>
      <c r="F15" s="300"/>
      <c r="G15" s="301"/>
      <c r="H15" s="302"/>
      <c r="I15" s="303" t="s">
        <v>220</v>
      </c>
      <c r="J15" s="303"/>
      <c r="K15" s="303"/>
      <c r="L15" s="303"/>
      <c r="M15" s="304"/>
      <c r="N15" s="305"/>
      <c r="O15" s="305"/>
      <c r="P15" s="305"/>
      <c r="Q15" s="305"/>
      <c r="R15" s="306"/>
      <c r="S15" s="305" t="s">
        <v>265</v>
      </c>
      <c r="T15" s="305"/>
      <c r="U15" s="305"/>
      <c r="V15" s="305"/>
      <c r="W15" s="306"/>
      <c r="X15" s="305"/>
      <c r="Y15" s="305"/>
      <c r="Z15" s="305"/>
      <c r="AA15" s="305"/>
      <c r="AB15" s="306"/>
      <c r="AC15" s="305"/>
      <c r="AD15" s="307"/>
      <c r="AE15" s="289"/>
      <c r="AF15" s="289"/>
      <c r="AG15" s="289"/>
    </row>
    <row r="16" spans="1:35" ht="9.9499999999999993" customHeight="1" x14ac:dyDescent="0.15">
      <c r="B16" s="308" t="s">
        <v>266</v>
      </c>
      <c r="C16" s="278" t="s">
        <v>267</v>
      </c>
      <c r="D16" s="86" t="s">
        <v>268</v>
      </c>
      <c r="E16" s="280" t="s">
        <v>269</v>
      </c>
      <c r="F16" s="281"/>
      <c r="G16" s="282"/>
      <c r="H16" s="256" t="s">
        <v>227</v>
      </c>
      <c r="I16" s="256" t="s">
        <v>228</v>
      </c>
      <c r="J16" s="256" t="s">
        <v>229</v>
      </c>
      <c r="K16" s="256" t="s">
        <v>230</v>
      </c>
      <c r="L16" s="256" t="s">
        <v>231</v>
      </c>
      <c r="M16" s="309" t="s">
        <v>232</v>
      </c>
      <c r="N16" s="310" t="s">
        <v>270</v>
      </c>
      <c r="O16" s="311" t="s">
        <v>271</v>
      </c>
      <c r="P16" s="311" t="s">
        <v>272</v>
      </c>
      <c r="Q16" s="311" t="s">
        <v>273</v>
      </c>
      <c r="R16" s="312" t="s">
        <v>274</v>
      </c>
      <c r="S16" s="313" t="s">
        <v>275</v>
      </c>
      <c r="T16" s="313" t="s">
        <v>276</v>
      </c>
      <c r="U16" s="313" t="s">
        <v>277</v>
      </c>
      <c r="V16" s="313" t="s">
        <v>278</v>
      </c>
      <c r="W16" s="314" t="s">
        <v>279</v>
      </c>
      <c r="X16" s="313" t="s">
        <v>280</v>
      </c>
      <c r="Y16" s="313" t="s">
        <v>281</v>
      </c>
      <c r="Z16" s="313" t="s">
        <v>282</v>
      </c>
      <c r="AA16" s="313" t="s">
        <v>283</v>
      </c>
      <c r="AB16" s="314" t="s">
        <v>284</v>
      </c>
      <c r="AC16" s="315" t="s">
        <v>285</v>
      </c>
      <c r="AD16" s="316" t="s">
        <v>286</v>
      </c>
      <c r="AE16" s="289"/>
      <c r="AF16" s="289"/>
      <c r="AG16" s="289"/>
    </row>
    <row r="17" spans="2:33" ht="9.9499999999999993" customHeight="1" x14ac:dyDescent="0.15">
      <c r="B17" s="317" t="s">
        <v>287</v>
      </c>
      <c r="C17" s="290"/>
      <c r="D17" s="290"/>
      <c r="E17" s="299"/>
      <c r="F17" s="300"/>
      <c r="G17" s="301"/>
      <c r="H17" s="318" t="s">
        <v>234</v>
      </c>
      <c r="I17" s="319" t="s">
        <v>235</v>
      </c>
      <c r="J17" s="319" t="s">
        <v>236</v>
      </c>
      <c r="K17" s="319" t="s">
        <v>237</v>
      </c>
      <c r="L17" s="319" t="s">
        <v>238</v>
      </c>
      <c r="M17" s="320" t="s">
        <v>239</v>
      </c>
      <c r="N17" s="318" t="s">
        <v>234</v>
      </c>
      <c r="O17" s="319" t="s">
        <v>235</v>
      </c>
      <c r="P17" s="319" t="s">
        <v>236</v>
      </c>
      <c r="Q17" s="319" t="s">
        <v>237</v>
      </c>
      <c r="R17" s="320" t="s">
        <v>238</v>
      </c>
      <c r="S17" s="318" t="s">
        <v>234</v>
      </c>
      <c r="T17" s="319" t="s">
        <v>235</v>
      </c>
      <c r="U17" s="319" t="s">
        <v>236</v>
      </c>
      <c r="V17" s="319" t="s">
        <v>237</v>
      </c>
      <c r="W17" s="320" t="s">
        <v>238</v>
      </c>
      <c r="X17" s="318" t="s">
        <v>234</v>
      </c>
      <c r="Y17" s="319" t="s">
        <v>235</v>
      </c>
      <c r="Z17" s="319" t="s">
        <v>236</v>
      </c>
      <c r="AA17" s="319" t="s">
        <v>237</v>
      </c>
      <c r="AB17" s="320" t="s">
        <v>238</v>
      </c>
      <c r="AC17" s="296"/>
      <c r="AD17" s="321"/>
      <c r="AE17" s="289"/>
      <c r="AF17" s="289"/>
      <c r="AG17" s="289"/>
    </row>
    <row r="18" spans="2:33" ht="9.9499999999999993" customHeight="1" x14ac:dyDescent="0.15">
      <c r="B18" s="317"/>
      <c r="C18" s="290"/>
      <c r="D18" s="290"/>
      <c r="E18" s="87" t="s">
        <v>288</v>
      </c>
      <c r="F18" s="322"/>
      <c r="G18" s="323"/>
      <c r="H18" s="283" t="s">
        <v>289</v>
      </c>
      <c r="I18" s="284"/>
      <c r="J18" s="284"/>
      <c r="K18" s="284"/>
      <c r="L18" s="284"/>
      <c r="M18" s="286"/>
      <c r="N18" s="283" t="s">
        <v>289</v>
      </c>
      <c r="O18" s="285"/>
      <c r="P18" s="285"/>
      <c r="Q18" s="285"/>
      <c r="R18" s="286"/>
      <c r="S18" s="283" t="s">
        <v>289</v>
      </c>
      <c r="T18" s="285"/>
      <c r="U18" s="285"/>
      <c r="V18" s="285"/>
      <c r="W18" s="286"/>
      <c r="X18" s="283" t="s">
        <v>289</v>
      </c>
      <c r="Y18" s="285"/>
      <c r="Z18" s="285"/>
      <c r="AA18" s="285"/>
      <c r="AB18" s="286"/>
      <c r="AC18" s="307"/>
      <c r="AD18" s="324"/>
      <c r="AE18" s="289"/>
      <c r="AF18" s="289"/>
      <c r="AG18" s="289"/>
    </row>
    <row r="19" spans="2:33" ht="9.9499999999999993" customHeight="1" x14ac:dyDescent="0.15">
      <c r="B19" s="317"/>
      <c r="C19" s="290"/>
      <c r="D19" s="290"/>
      <c r="E19" s="87" t="s">
        <v>290</v>
      </c>
      <c r="F19" s="322"/>
      <c r="G19" s="323"/>
      <c r="H19" s="325">
        <v>5.3999999999999999E-2</v>
      </c>
      <c r="I19" s="326">
        <v>4.2000000000000003E-2</v>
      </c>
      <c r="J19" s="326">
        <v>3.5999999999999997E-2</v>
      </c>
      <c r="K19" s="326">
        <v>0.04</v>
      </c>
      <c r="L19" s="326">
        <v>3.7999999999999999E-2</v>
      </c>
      <c r="M19" s="327">
        <v>3.5999999999999997E-2</v>
      </c>
      <c r="N19" s="325">
        <v>0.04</v>
      </c>
      <c r="O19" s="326">
        <v>0.04</v>
      </c>
      <c r="P19" s="326">
        <v>3.7999999999999999E-2</v>
      </c>
      <c r="Q19" s="326">
        <v>4.2000000000000003E-2</v>
      </c>
      <c r="R19" s="327">
        <v>0.04</v>
      </c>
      <c r="S19" s="325">
        <v>3.5999999999999997E-2</v>
      </c>
      <c r="T19" s="326">
        <v>3.7999999999999999E-2</v>
      </c>
      <c r="U19" s="326">
        <v>4.2000000000000003E-2</v>
      </c>
      <c r="V19" s="326">
        <v>4.2000000000000003E-2</v>
      </c>
      <c r="W19" s="327">
        <v>4.2000000000000003E-2</v>
      </c>
      <c r="X19" s="325">
        <v>4.3999999999999997E-2</v>
      </c>
      <c r="Y19" s="326">
        <v>0.04</v>
      </c>
      <c r="Z19" s="326">
        <v>0.04</v>
      </c>
      <c r="AA19" s="326">
        <v>0.04</v>
      </c>
      <c r="AB19" s="327">
        <v>0.04</v>
      </c>
      <c r="AC19" s="328" t="s">
        <v>291</v>
      </c>
      <c r="AD19" s="329" t="s">
        <v>292</v>
      </c>
      <c r="AE19" s="289"/>
      <c r="AF19" s="289"/>
      <c r="AG19" s="289"/>
    </row>
    <row r="20" spans="2:33" ht="9.9499999999999993" customHeight="1" x14ac:dyDescent="0.15">
      <c r="B20" s="317"/>
      <c r="C20" s="290"/>
      <c r="D20" s="290"/>
      <c r="E20" s="87" t="s">
        <v>293</v>
      </c>
      <c r="F20" s="322"/>
      <c r="G20" s="323"/>
      <c r="H20" s="330">
        <v>8.5999999999999993E-2</v>
      </c>
      <c r="I20" s="272">
        <v>7.5999999999999998E-2</v>
      </c>
      <c r="J20" s="272">
        <v>7.1999999999999995E-2</v>
      </c>
      <c r="K20" s="272">
        <v>7.0000000000000007E-2</v>
      </c>
      <c r="L20" s="272">
        <v>7.0000000000000007E-2</v>
      </c>
      <c r="M20" s="331">
        <v>5.3999999999999999E-2</v>
      </c>
      <c r="N20" s="330">
        <v>5.8000000000000003E-2</v>
      </c>
      <c r="O20" s="272">
        <v>6.4000000000000001E-2</v>
      </c>
      <c r="P20" s="272">
        <v>6.6000000000000003E-2</v>
      </c>
      <c r="Q20" s="272">
        <v>6.6000000000000003E-2</v>
      </c>
      <c r="R20" s="331">
        <v>6.6000000000000003E-2</v>
      </c>
      <c r="S20" s="330">
        <v>6.8000000000000005E-2</v>
      </c>
      <c r="T20" s="272">
        <v>6.8000000000000005E-2</v>
      </c>
      <c r="U20" s="272">
        <v>6.6000000000000003E-2</v>
      </c>
      <c r="V20" s="272">
        <v>5.8000000000000003E-2</v>
      </c>
      <c r="W20" s="331">
        <v>7.1999999999999995E-2</v>
      </c>
      <c r="X20" s="330">
        <v>7.0000000000000007E-2</v>
      </c>
      <c r="Y20" s="272">
        <v>6.8000000000000005E-2</v>
      </c>
      <c r="Z20" s="272">
        <v>7.0000000000000007E-2</v>
      </c>
      <c r="AA20" s="272">
        <v>6.8000000000000005E-2</v>
      </c>
      <c r="AB20" s="331">
        <v>7.0000000000000007E-2</v>
      </c>
      <c r="AC20" s="332" t="s">
        <v>294</v>
      </c>
      <c r="AD20" s="329" t="s">
        <v>295</v>
      </c>
      <c r="AE20" s="289"/>
      <c r="AF20" s="289"/>
      <c r="AG20" s="289"/>
    </row>
    <row r="21" spans="2:33" ht="9.9499999999999993" customHeight="1" x14ac:dyDescent="0.15">
      <c r="B21" s="317"/>
      <c r="C21" s="290"/>
      <c r="D21" s="290"/>
      <c r="E21" s="87" t="s">
        <v>296</v>
      </c>
      <c r="F21" s="322"/>
      <c r="G21" s="323"/>
      <c r="H21" s="330">
        <v>5.8000000000000003E-2</v>
      </c>
      <c r="I21" s="272">
        <v>4.5999999999999999E-2</v>
      </c>
      <c r="J21" s="272">
        <v>4.2000000000000003E-2</v>
      </c>
      <c r="K21" s="272">
        <v>4.8000000000000001E-2</v>
      </c>
      <c r="L21" s="272">
        <v>4.2000000000000003E-2</v>
      </c>
      <c r="M21" s="331">
        <v>0.04</v>
      </c>
      <c r="N21" s="330">
        <v>4.2000000000000003E-2</v>
      </c>
      <c r="O21" s="272">
        <v>4.2000000000000003E-2</v>
      </c>
      <c r="P21" s="272">
        <v>0.04</v>
      </c>
      <c r="Q21" s="272">
        <v>4.5999999999999999E-2</v>
      </c>
      <c r="R21" s="331">
        <v>4.3999999999999997E-2</v>
      </c>
      <c r="S21" s="330">
        <v>0.04</v>
      </c>
      <c r="T21" s="272">
        <v>4.5999999999999999E-2</v>
      </c>
      <c r="U21" s="272">
        <v>4.3999999999999997E-2</v>
      </c>
      <c r="V21" s="272">
        <v>3.7999999999999999E-2</v>
      </c>
      <c r="W21" s="331">
        <v>4.2000000000000003E-2</v>
      </c>
      <c r="X21" s="330">
        <v>4.2000000000000003E-2</v>
      </c>
      <c r="Y21" s="272">
        <v>4.3999999999999997E-2</v>
      </c>
      <c r="Z21" s="272">
        <v>4.8000000000000001E-2</v>
      </c>
      <c r="AA21" s="272">
        <v>4.5999999999999999E-2</v>
      </c>
      <c r="AB21" s="331">
        <v>4.2000000000000003E-2</v>
      </c>
      <c r="AC21" s="332" t="s">
        <v>297</v>
      </c>
      <c r="AD21" s="329" t="s">
        <v>298</v>
      </c>
      <c r="AE21" s="289"/>
      <c r="AF21" s="289"/>
      <c r="AG21" s="289"/>
    </row>
    <row r="22" spans="2:33" ht="9.9499999999999993" customHeight="1" x14ac:dyDescent="0.15">
      <c r="B22" s="333"/>
      <c r="C22" s="261"/>
      <c r="D22" s="261"/>
      <c r="E22" s="87" t="s">
        <v>299</v>
      </c>
      <c r="F22" s="322"/>
      <c r="G22" s="323"/>
      <c r="H22" s="330">
        <v>0.05</v>
      </c>
      <c r="I22" s="272">
        <v>3.7999999999999999E-2</v>
      </c>
      <c r="J22" s="272">
        <v>3.7999999999999999E-2</v>
      </c>
      <c r="K22" s="272">
        <v>3.5999999999999997E-2</v>
      </c>
      <c r="L22" s="272">
        <v>3.5999999999999997E-2</v>
      </c>
      <c r="M22" s="331">
        <v>3.4000000000000002E-2</v>
      </c>
      <c r="N22" s="330">
        <v>0.04</v>
      </c>
      <c r="O22" s="272">
        <v>3.4000000000000002E-2</v>
      </c>
      <c r="P22" s="272">
        <v>3.4000000000000002E-2</v>
      </c>
      <c r="Q22" s="272">
        <v>3.4000000000000002E-2</v>
      </c>
      <c r="R22" s="331">
        <v>3.4000000000000002E-2</v>
      </c>
      <c r="S22" s="330">
        <v>3.2000000000000001E-2</v>
      </c>
      <c r="T22" s="272">
        <v>3.4000000000000002E-2</v>
      </c>
      <c r="U22" s="272">
        <v>3.2000000000000001E-2</v>
      </c>
      <c r="V22" s="272">
        <v>3.4000000000000002E-2</v>
      </c>
      <c r="W22" s="331">
        <v>0.04</v>
      </c>
      <c r="X22" s="330">
        <v>3.4000000000000002E-2</v>
      </c>
      <c r="Y22" s="272">
        <v>0.04</v>
      </c>
      <c r="Z22" s="272">
        <v>3.7999999999999999E-2</v>
      </c>
      <c r="AA22" s="272">
        <v>3.5999999999999997E-2</v>
      </c>
      <c r="AB22" s="331">
        <v>0.04</v>
      </c>
      <c r="AC22" s="332" t="s">
        <v>300</v>
      </c>
      <c r="AD22" s="329" t="s">
        <v>301</v>
      </c>
      <c r="AE22" s="289"/>
      <c r="AF22" s="289"/>
      <c r="AG22" s="289"/>
    </row>
    <row r="23" spans="2:33" ht="9.9499999999999993" customHeight="1" x14ac:dyDescent="0.15">
      <c r="B23" s="334" t="s">
        <v>302</v>
      </c>
      <c r="C23" s="335" t="s">
        <v>303</v>
      </c>
      <c r="D23" s="336" t="s">
        <v>304</v>
      </c>
      <c r="E23" s="87" t="s">
        <v>305</v>
      </c>
      <c r="F23" s="322"/>
      <c r="G23" s="323"/>
      <c r="H23" s="337"/>
      <c r="I23" s="338" t="s">
        <v>306</v>
      </c>
      <c r="J23" s="338" t="s">
        <v>306</v>
      </c>
      <c r="K23" s="339" t="s">
        <v>306</v>
      </c>
      <c r="L23" s="339" t="s">
        <v>306</v>
      </c>
      <c r="M23" s="340" t="s">
        <v>306</v>
      </c>
      <c r="N23" s="341" t="s">
        <v>307</v>
      </c>
      <c r="O23" s="285"/>
      <c r="P23" s="285"/>
      <c r="Q23" s="285"/>
      <c r="R23" s="285"/>
      <c r="S23" s="285"/>
      <c r="T23" s="285"/>
      <c r="U23" s="285"/>
      <c r="V23" s="285"/>
      <c r="W23" s="285"/>
      <c r="X23" s="285"/>
      <c r="Y23" s="285"/>
      <c r="Z23" s="285"/>
      <c r="AA23" s="285"/>
      <c r="AB23" s="286"/>
      <c r="AC23" s="342" t="s">
        <v>285</v>
      </c>
      <c r="AD23" s="343" t="s">
        <v>286</v>
      </c>
      <c r="AE23" s="289"/>
      <c r="AF23" s="289"/>
      <c r="AG23" s="289"/>
    </row>
    <row r="24" spans="2:33" ht="9.9499999999999993" customHeight="1" x14ac:dyDescent="0.15">
      <c r="B24" s="344" t="s">
        <v>308</v>
      </c>
      <c r="C24" s="345" t="s">
        <v>309</v>
      </c>
      <c r="D24" s="346" t="s">
        <v>310</v>
      </c>
      <c r="E24" s="347" t="s">
        <v>311</v>
      </c>
      <c r="F24" s="322"/>
      <c r="G24" s="323"/>
      <c r="H24" s="348" t="s">
        <v>312</v>
      </c>
      <c r="I24" s="284"/>
      <c r="J24" s="284"/>
      <c r="K24" s="284"/>
      <c r="L24" s="284"/>
      <c r="M24" s="286"/>
      <c r="N24" s="348" t="s">
        <v>313</v>
      </c>
      <c r="O24" s="285"/>
      <c r="P24" s="285"/>
      <c r="Q24" s="285"/>
      <c r="R24" s="285"/>
      <c r="S24" s="285"/>
      <c r="T24" s="285"/>
      <c r="U24" s="285"/>
      <c r="V24" s="285"/>
      <c r="W24" s="285"/>
      <c r="X24" s="285"/>
      <c r="Y24" s="285"/>
      <c r="Z24" s="285"/>
      <c r="AA24" s="285"/>
      <c r="AB24" s="286"/>
      <c r="AC24" s="342" t="s">
        <v>314</v>
      </c>
      <c r="AD24" s="349" t="s">
        <v>315</v>
      </c>
      <c r="AE24" s="289"/>
      <c r="AF24" s="289"/>
      <c r="AG24" s="289"/>
    </row>
    <row r="25" spans="2:33" ht="9.9499999999999993" customHeight="1" x14ac:dyDescent="0.15">
      <c r="B25" s="350"/>
      <c r="C25" s="351"/>
      <c r="D25" s="261"/>
      <c r="E25" s="352" t="s">
        <v>316</v>
      </c>
      <c r="F25" s="281"/>
      <c r="G25" s="282"/>
      <c r="H25" s="348" t="s">
        <v>317</v>
      </c>
      <c r="I25" s="284"/>
      <c r="J25" s="284"/>
      <c r="K25" s="284"/>
      <c r="L25" s="284"/>
      <c r="M25" s="286"/>
      <c r="N25" s="348" t="s">
        <v>317</v>
      </c>
      <c r="O25" s="285"/>
      <c r="P25" s="285"/>
      <c r="Q25" s="285"/>
      <c r="R25" s="285"/>
      <c r="S25" s="285"/>
      <c r="T25" s="285"/>
      <c r="U25" s="285"/>
      <c r="V25" s="285"/>
      <c r="W25" s="285"/>
      <c r="X25" s="285"/>
      <c r="Y25" s="285"/>
      <c r="Z25" s="285"/>
      <c r="AA25" s="285"/>
      <c r="AB25" s="286"/>
      <c r="AC25" s="353" t="s">
        <v>318</v>
      </c>
      <c r="AD25" s="349" t="s">
        <v>319</v>
      </c>
      <c r="AE25" s="289"/>
      <c r="AF25" s="289"/>
      <c r="AG25" s="289"/>
    </row>
    <row r="26" spans="2:33" ht="9.9499999999999993" customHeight="1" x14ac:dyDescent="0.15">
      <c r="B26" s="308" t="s">
        <v>320</v>
      </c>
      <c r="C26" s="354" t="s">
        <v>321</v>
      </c>
      <c r="D26" s="336" t="s">
        <v>322</v>
      </c>
      <c r="E26" s="355" t="s">
        <v>323</v>
      </c>
      <c r="F26" s="322"/>
      <c r="G26" s="323"/>
      <c r="H26" s="337"/>
      <c r="I26" s="270"/>
      <c r="J26" s="270"/>
      <c r="K26" s="645" t="s">
        <v>324</v>
      </c>
      <c r="L26" s="270"/>
      <c r="M26" s="356"/>
      <c r="N26" s="341" t="s">
        <v>325</v>
      </c>
      <c r="O26" s="285"/>
      <c r="P26" s="285"/>
      <c r="Q26" s="285"/>
      <c r="R26" s="285"/>
      <c r="S26" s="285"/>
      <c r="T26" s="285"/>
      <c r="U26" s="285"/>
      <c r="V26" s="285"/>
      <c r="W26" s="285"/>
      <c r="X26" s="285"/>
      <c r="Y26" s="285"/>
      <c r="Z26" s="285"/>
      <c r="AA26" s="285"/>
      <c r="AB26" s="286"/>
      <c r="AC26" s="357" t="s">
        <v>285</v>
      </c>
      <c r="AD26" s="329" t="s">
        <v>286</v>
      </c>
      <c r="AE26" s="289"/>
      <c r="AF26" s="289"/>
      <c r="AG26" s="289"/>
    </row>
    <row r="27" spans="2:33" ht="9.9499999999999993" customHeight="1" x14ac:dyDescent="0.15">
      <c r="B27" s="317" t="s">
        <v>326</v>
      </c>
      <c r="C27" s="358" t="s">
        <v>327</v>
      </c>
      <c r="D27" s="346" t="s">
        <v>328</v>
      </c>
      <c r="E27" s="359" t="s">
        <v>329</v>
      </c>
      <c r="F27" s="281"/>
      <c r="G27" s="282"/>
      <c r="H27" s="293" t="s">
        <v>110</v>
      </c>
      <c r="I27" s="360"/>
      <c r="J27" s="360"/>
      <c r="K27" s="646"/>
      <c r="L27" s="360"/>
      <c r="M27" s="295"/>
      <c r="N27" s="249" t="s">
        <v>110</v>
      </c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361"/>
      <c r="AC27" s="362" t="s">
        <v>329</v>
      </c>
      <c r="AD27" s="363" t="s">
        <v>110</v>
      </c>
      <c r="AE27" s="289"/>
      <c r="AF27" s="289"/>
      <c r="AG27" s="289"/>
    </row>
    <row r="28" spans="2:33" ht="9.9499999999999993" customHeight="1" x14ac:dyDescent="0.15">
      <c r="B28" s="290"/>
      <c r="C28" s="516" t="s">
        <v>330</v>
      </c>
      <c r="D28" s="346"/>
      <c r="E28" s="299"/>
      <c r="F28" s="300"/>
      <c r="G28" s="301"/>
      <c r="H28" s="305"/>
      <c r="I28" s="364"/>
      <c r="J28" s="364"/>
      <c r="K28" s="647"/>
      <c r="L28" s="364"/>
      <c r="M28" s="306"/>
      <c r="N28" s="305"/>
      <c r="O28" s="305"/>
      <c r="P28" s="305"/>
      <c r="Q28" s="305"/>
      <c r="R28" s="305"/>
      <c r="S28" s="305"/>
      <c r="T28" s="305"/>
      <c r="U28" s="305"/>
      <c r="V28" s="305"/>
      <c r="W28" s="305"/>
      <c r="X28" s="305"/>
      <c r="Y28" s="305"/>
      <c r="Z28" s="305"/>
      <c r="AA28" s="305"/>
      <c r="AB28" s="306"/>
      <c r="AC28" s="307"/>
      <c r="AD28" s="324"/>
      <c r="AE28" s="289"/>
      <c r="AF28" s="289"/>
      <c r="AG28" s="289"/>
    </row>
    <row r="29" spans="2:33" ht="9.9499999999999993" customHeight="1" x14ac:dyDescent="0.15">
      <c r="B29" s="261"/>
      <c r="C29" s="577" t="s">
        <v>331</v>
      </c>
      <c r="D29" s="365"/>
      <c r="E29" s="366" t="s">
        <v>332</v>
      </c>
      <c r="F29" s="322"/>
      <c r="G29" s="323"/>
      <c r="H29" s="283" t="s">
        <v>110</v>
      </c>
      <c r="I29" s="284"/>
      <c r="J29" s="284"/>
      <c r="K29" s="284"/>
      <c r="L29" s="284"/>
      <c r="M29" s="286"/>
      <c r="N29" s="283" t="s">
        <v>110</v>
      </c>
      <c r="O29" s="285"/>
      <c r="P29" s="285"/>
      <c r="Q29" s="285"/>
      <c r="R29" s="285"/>
      <c r="S29" s="285"/>
      <c r="T29" s="285"/>
      <c r="U29" s="285"/>
      <c r="V29" s="285"/>
      <c r="W29" s="285"/>
      <c r="X29" s="285"/>
      <c r="Y29" s="285"/>
      <c r="Z29" s="285"/>
      <c r="AA29" s="285"/>
      <c r="AB29" s="286"/>
      <c r="AC29" s="367" t="s">
        <v>332</v>
      </c>
      <c r="AD29" s="88" t="s">
        <v>110</v>
      </c>
      <c r="AE29" s="289"/>
      <c r="AF29" s="289"/>
      <c r="AG29" s="289"/>
    </row>
    <row r="30" spans="2:33" ht="9.9499999999999993" customHeight="1" x14ac:dyDescent="0.15">
      <c r="B30" s="368" t="s">
        <v>333</v>
      </c>
      <c r="C30" s="578"/>
      <c r="D30" s="369"/>
      <c r="E30" s="370"/>
      <c r="F30" s="250"/>
      <c r="G30" s="250"/>
      <c r="H30" s="371"/>
      <c r="I30" s="369"/>
      <c r="J30" s="369"/>
      <c r="K30" s="369"/>
      <c r="L30" s="369"/>
      <c r="M30" s="369"/>
      <c r="N30" s="369"/>
      <c r="O30" s="369"/>
      <c r="P30" s="371"/>
      <c r="Q30" s="369"/>
      <c r="R30" s="369"/>
      <c r="S30" s="369"/>
      <c r="T30" s="369"/>
      <c r="U30" s="369"/>
      <c r="V30" s="369"/>
      <c r="W30" s="369"/>
      <c r="X30" s="369"/>
      <c r="Y30" s="369"/>
      <c r="Z30" s="369"/>
      <c r="AA30" s="369"/>
      <c r="AB30" s="369"/>
      <c r="AC30" s="369"/>
      <c r="AD30" s="369"/>
      <c r="AE30" s="369"/>
      <c r="AF30" s="371"/>
      <c r="AG30" s="371"/>
    </row>
    <row r="31" spans="2:33" ht="9.9499999999999993" customHeight="1" x14ac:dyDescent="0.15">
      <c r="B31" s="368" t="s">
        <v>334</v>
      </c>
      <c r="C31" s="578"/>
      <c r="D31" s="369"/>
      <c r="E31" s="370"/>
      <c r="F31" s="250"/>
      <c r="G31" s="250"/>
      <c r="H31" s="371"/>
      <c r="I31" s="369"/>
      <c r="J31" s="369"/>
      <c r="K31" s="369"/>
      <c r="L31" s="369"/>
      <c r="M31" s="369"/>
      <c r="N31" s="369"/>
      <c r="O31" s="369"/>
      <c r="P31" s="371"/>
      <c r="Q31" s="369"/>
      <c r="R31" s="369"/>
      <c r="S31" s="369"/>
      <c r="T31" s="369"/>
      <c r="U31" s="369"/>
      <c r="V31" s="369"/>
      <c r="W31" s="369"/>
      <c r="X31" s="369"/>
      <c r="Y31" s="369"/>
      <c r="Z31" s="369"/>
      <c r="AA31" s="369"/>
      <c r="AB31" s="369"/>
      <c r="AC31" s="369"/>
      <c r="AD31" s="369"/>
      <c r="AE31" s="369"/>
      <c r="AF31" s="371"/>
      <c r="AG31" s="371"/>
    </row>
    <row r="32" spans="2:33" ht="9.9499999999999993" customHeight="1" x14ac:dyDescent="0.15">
      <c r="B32" s="368" t="s">
        <v>335</v>
      </c>
      <c r="C32" s="578"/>
      <c r="D32" s="369"/>
      <c r="E32" s="370"/>
      <c r="F32" s="250"/>
      <c r="G32" s="250"/>
      <c r="H32" s="371"/>
      <c r="I32" s="369"/>
      <c r="J32" s="369"/>
      <c r="K32" s="369"/>
      <c r="L32" s="369"/>
      <c r="M32" s="369"/>
      <c r="N32" s="369"/>
      <c r="O32" s="369"/>
      <c r="P32" s="371"/>
      <c r="Q32" s="369"/>
      <c r="R32" s="369"/>
      <c r="S32" s="369"/>
      <c r="T32" s="369"/>
      <c r="U32" s="369"/>
      <c r="V32" s="369"/>
      <c r="W32" s="369"/>
      <c r="X32" s="369"/>
      <c r="Y32" s="369"/>
      <c r="Z32" s="369"/>
      <c r="AA32" s="369"/>
      <c r="AB32" s="369"/>
      <c r="AC32" s="369"/>
      <c r="AD32" s="369"/>
      <c r="AE32" s="369"/>
      <c r="AF32" s="371"/>
      <c r="AG32" s="371"/>
    </row>
    <row r="33" spans="2:33" ht="9.9499999999999993" customHeight="1" x14ac:dyDescent="0.15">
      <c r="F33" s="1" t="s">
        <v>336</v>
      </c>
      <c r="G33" s="1"/>
      <c r="H33" s="1"/>
      <c r="I33" s="1"/>
      <c r="J33" s="1" t="s">
        <v>337</v>
      </c>
    </row>
    <row r="34" spans="2:33" ht="9.9499999999999993" customHeight="1" x14ac:dyDescent="0.15">
      <c r="B34" s="372" t="s">
        <v>338</v>
      </c>
      <c r="C34" s="86" t="s">
        <v>339</v>
      </c>
      <c r="D34" s="86" t="s">
        <v>340</v>
      </c>
      <c r="E34" s="373" t="s">
        <v>341</v>
      </c>
      <c r="F34" s="374" t="s">
        <v>342</v>
      </c>
      <c r="G34" s="375"/>
      <c r="I34" s="376" t="s">
        <v>341</v>
      </c>
      <c r="J34" s="377"/>
      <c r="K34" s="375"/>
    </row>
    <row r="35" spans="2:33" ht="9.9499999999999993" customHeight="1" x14ac:dyDescent="0.15">
      <c r="B35" s="378" t="s">
        <v>308</v>
      </c>
      <c r="C35" s="379" t="s">
        <v>343</v>
      </c>
      <c r="D35" s="379" t="s">
        <v>344</v>
      </c>
      <c r="E35" s="380" t="s">
        <v>291</v>
      </c>
      <c r="F35" s="381">
        <v>10.8</v>
      </c>
      <c r="G35" s="382"/>
      <c r="I35" s="271" t="s">
        <v>291</v>
      </c>
      <c r="J35" s="377"/>
      <c r="K35" s="375"/>
    </row>
    <row r="36" spans="2:33" ht="9.9499999999999993" customHeight="1" x14ac:dyDescent="0.15">
      <c r="B36" s="321"/>
      <c r="C36" s="321"/>
      <c r="D36" s="321"/>
      <c r="E36" s="380" t="s">
        <v>294</v>
      </c>
      <c r="F36" s="381">
        <v>56.9</v>
      </c>
      <c r="G36" s="382"/>
      <c r="I36" s="271" t="s">
        <v>294</v>
      </c>
      <c r="J36" s="383"/>
      <c r="K36" s="384"/>
    </row>
    <row r="37" spans="2:33" ht="9.9499999999999993" customHeight="1" x14ac:dyDescent="0.15">
      <c r="B37" s="321"/>
      <c r="C37" s="321"/>
      <c r="D37" s="321"/>
      <c r="E37" s="380" t="s">
        <v>297</v>
      </c>
      <c r="F37" s="381">
        <v>27.8</v>
      </c>
      <c r="G37" s="382"/>
      <c r="I37" s="271" t="s">
        <v>297</v>
      </c>
      <c r="J37" s="383"/>
      <c r="K37" s="384"/>
    </row>
    <row r="38" spans="2:33" ht="9.9499999999999993" customHeight="1" x14ac:dyDescent="0.15">
      <c r="B38" s="324"/>
      <c r="C38" s="324"/>
      <c r="D38" s="324"/>
      <c r="E38" s="380" t="s">
        <v>300</v>
      </c>
      <c r="F38" s="381">
        <v>4.5999999999999996</v>
      </c>
      <c r="G38" s="382"/>
      <c r="I38" s="271" t="s">
        <v>300</v>
      </c>
      <c r="J38" s="383"/>
      <c r="K38" s="384"/>
    </row>
    <row r="39" spans="2:33" ht="9.9499999999999993" customHeight="1" x14ac:dyDescent="0.15">
      <c r="B39" s="79"/>
      <c r="C39" s="79"/>
      <c r="D39" s="79"/>
      <c r="E39" s="370"/>
      <c r="F39" s="385"/>
      <c r="G39" s="386"/>
      <c r="I39" s="371"/>
      <c r="J39" s="369"/>
      <c r="K39" s="369"/>
    </row>
    <row r="40" spans="2:33" ht="9.9499999999999993" customHeight="1" x14ac:dyDescent="0.15">
      <c r="B40" s="240" t="s">
        <v>345</v>
      </c>
    </row>
    <row r="41" spans="2:33" ht="9.9499999999999993" customHeight="1" x14ac:dyDescent="0.15">
      <c r="B41" s="642"/>
      <c r="C41" s="278" t="s">
        <v>256</v>
      </c>
      <c r="D41" s="279" t="s">
        <v>346</v>
      </c>
      <c r="E41" s="280" t="s">
        <v>258</v>
      </c>
      <c r="F41" s="281"/>
      <c r="G41" s="282"/>
      <c r="H41" s="283" t="s">
        <v>259</v>
      </c>
      <c r="I41" s="284"/>
      <c r="J41" s="284"/>
      <c r="K41" s="284"/>
      <c r="L41" s="284"/>
      <c r="M41" s="285"/>
      <c r="N41" s="285"/>
      <c r="O41" s="285"/>
      <c r="P41" s="285"/>
      <c r="Q41" s="285"/>
      <c r="R41" s="285"/>
      <c r="S41" s="285"/>
      <c r="T41" s="285"/>
      <c r="U41" s="285"/>
      <c r="V41" s="285"/>
      <c r="W41" s="285"/>
      <c r="X41" s="285"/>
      <c r="Y41" s="285"/>
      <c r="Z41" s="285"/>
      <c r="AA41" s="285"/>
      <c r="AB41" s="286"/>
      <c r="AC41" s="287" t="s">
        <v>260</v>
      </c>
      <c r="AD41" s="288"/>
      <c r="AE41" s="289"/>
      <c r="AF41" s="289"/>
      <c r="AG41" s="289"/>
    </row>
    <row r="42" spans="2:33" ht="9.9499999999999993" customHeight="1" x14ac:dyDescent="0.15">
      <c r="B42" s="643"/>
      <c r="C42" s="290"/>
      <c r="D42" s="290"/>
      <c r="E42" s="291"/>
      <c r="F42" s="250"/>
      <c r="G42" s="292"/>
      <c r="H42" s="293" t="s">
        <v>261</v>
      </c>
      <c r="I42" s="294"/>
      <c r="J42" s="294"/>
      <c r="K42" s="294"/>
      <c r="L42" s="294"/>
      <c r="M42" s="295"/>
      <c r="N42" s="283" t="s">
        <v>262</v>
      </c>
      <c r="O42" s="285"/>
      <c r="P42" s="285"/>
      <c r="Q42" s="285"/>
      <c r="R42" s="286"/>
      <c r="S42" s="283" t="s">
        <v>347</v>
      </c>
      <c r="T42" s="285"/>
      <c r="U42" s="285"/>
      <c r="V42" s="285"/>
      <c r="W42" s="286"/>
      <c r="X42" s="283" t="s">
        <v>264</v>
      </c>
      <c r="Y42" s="285"/>
      <c r="Z42" s="285"/>
      <c r="AA42" s="285"/>
      <c r="AB42" s="286"/>
      <c r="AC42" s="79"/>
      <c r="AD42" s="296"/>
      <c r="AE42" s="289"/>
      <c r="AF42" s="289"/>
      <c r="AG42" s="289"/>
    </row>
    <row r="43" spans="2:33" ht="9.9499999999999993" customHeight="1" x14ac:dyDescent="0.15">
      <c r="B43" s="643"/>
      <c r="C43" s="290"/>
      <c r="D43" s="290"/>
      <c r="E43" s="291"/>
      <c r="F43" s="250"/>
      <c r="G43" s="292"/>
      <c r="H43" s="297" t="s">
        <v>218</v>
      </c>
      <c r="I43" s="297"/>
      <c r="J43" s="297"/>
      <c r="K43" s="297"/>
      <c r="L43" s="297"/>
      <c r="M43" s="298"/>
      <c r="N43" s="293"/>
      <c r="O43" s="294"/>
      <c r="P43" s="294"/>
      <c r="Q43" s="294"/>
      <c r="R43" s="295"/>
      <c r="S43" s="293"/>
      <c r="T43" s="294"/>
      <c r="U43" s="294"/>
      <c r="V43" s="294"/>
      <c r="W43" s="295"/>
      <c r="X43" s="293"/>
      <c r="Y43" s="294"/>
      <c r="Z43" s="294"/>
      <c r="AA43" s="294"/>
      <c r="AB43" s="295"/>
      <c r="AC43" s="79"/>
      <c r="AD43" s="296"/>
      <c r="AE43" s="289"/>
      <c r="AF43" s="289"/>
      <c r="AG43" s="289"/>
    </row>
    <row r="44" spans="2:33" ht="9.9499999999999993" customHeight="1" x14ac:dyDescent="0.15">
      <c r="B44" s="644"/>
      <c r="C44" s="261"/>
      <c r="D44" s="261"/>
      <c r="E44" s="299"/>
      <c r="F44" s="300"/>
      <c r="G44" s="301"/>
      <c r="H44" s="302"/>
      <c r="I44" s="303" t="s">
        <v>220</v>
      </c>
      <c r="J44" s="303"/>
      <c r="K44" s="303"/>
      <c r="L44" s="303"/>
      <c r="M44" s="304"/>
      <c r="N44" s="305"/>
      <c r="O44" s="305"/>
      <c r="P44" s="305"/>
      <c r="Q44" s="305"/>
      <c r="R44" s="306"/>
      <c r="S44" s="305" t="s">
        <v>265</v>
      </c>
      <c r="T44" s="305"/>
      <c r="U44" s="305"/>
      <c r="V44" s="305"/>
      <c r="W44" s="306"/>
      <c r="X44" s="305"/>
      <c r="Y44" s="305"/>
      <c r="Z44" s="305"/>
      <c r="AA44" s="305"/>
      <c r="AB44" s="306"/>
      <c r="AC44" s="305"/>
      <c r="AD44" s="307"/>
      <c r="AE44" s="289"/>
      <c r="AF44" s="289"/>
      <c r="AG44" s="289"/>
    </row>
    <row r="45" spans="2:33" ht="9.9499999999999993" customHeight="1" x14ac:dyDescent="0.15">
      <c r="B45" s="86" t="s">
        <v>348</v>
      </c>
      <c r="C45" s="278" t="s">
        <v>349</v>
      </c>
      <c r="D45" s="278" t="s">
        <v>350</v>
      </c>
      <c r="E45" s="280" t="s">
        <v>351</v>
      </c>
      <c r="F45" s="281"/>
      <c r="G45" s="282"/>
      <c r="H45" s="256" t="s">
        <v>227</v>
      </c>
      <c r="I45" s="256" t="s">
        <v>228</v>
      </c>
      <c r="J45" s="256" t="s">
        <v>229</v>
      </c>
      <c r="K45" s="256" t="s">
        <v>230</v>
      </c>
      <c r="L45" s="256" t="s">
        <v>231</v>
      </c>
      <c r="M45" s="309" t="s">
        <v>232</v>
      </c>
      <c r="N45" s="310" t="s">
        <v>270</v>
      </c>
      <c r="O45" s="311" t="s">
        <v>271</v>
      </c>
      <c r="P45" s="311" t="s">
        <v>272</v>
      </c>
      <c r="Q45" s="311" t="s">
        <v>273</v>
      </c>
      <c r="R45" s="312" t="s">
        <v>274</v>
      </c>
      <c r="S45" s="313" t="s">
        <v>275</v>
      </c>
      <c r="T45" s="313" t="s">
        <v>276</v>
      </c>
      <c r="U45" s="313" t="s">
        <v>277</v>
      </c>
      <c r="V45" s="313" t="s">
        <v>278</v>
      </c>
      <c r="W45" s="314" t="s">
        <v>279</v>
      </c>
      <c r="X45" s="313" t="s">
        <v>352</v>
      </c>
      <c r="Y45" s="313" t="s">
        <v>281</v>
      </c>
      <c r="Z45" s="313" t="s">
        <v>282</v>
      </c>
      <c r="AA45" s="313" t="s">
        <v>283</v>
      </c>
      <c r="AB45" s="314" t="s">
        <v>284</v>
      </c>
      <c r="AC45" s="387" t="s">
        <v>285</v>
      </c>
      <c r="AD45" s="86" t="s">
        <v>286</v>
      </c>
      <c r="AE45" s="289"/>
      <c r="AF45" s="289"/>
      <c r="AG45" s="289"/>
    </row>
    <row r="46" spans="2:33" ht="9.9499999999999993" customHeight="1" x14ac:dyDescent="0.15">
      <c r="B46" s="379" t="s">
        <v>353</v>
      </c>
      <c r="C46" s="290"/>
      <c r="D46" s="290" t="s">
        <v>354</v>
      </c>
      <c r="E46" s="299"/>
      <c r="F46" s="300"/>
      <c r="G46" s="301"/>
      <c r="H46" s="318" t="s">
        <v>234</v>
      </c>
      <c r="I46" s="319" t="s">
        <v>235</v>
      </c>
      <c r="J46" s="319" t="s">
        <v>236</v>
      </c>
      <c r="K46" s="319" t="s">
        <v>237</v>
      </c>
      <c r="L46" s="319" t="s">
        <v>238</v>
      </c>
      <c r="M46" s="320" t="s">
        <v>239</v>
      </c>
      <c r="N46" s="318" t="s">
        <v>234</v>
      </c>
      <c r="O46" s="319" t="s">
        <v>235</v>
      </c>
      <c r="P46" s="319" t="s">
        <v>236</v>
      </c>
      <c r="Q46" s="319" t="s">
        <v>237</v>
      </c>
      <c r="R46" s="320" t="s">
        <v>238</v>
      </c>
      <c r="S46" s="318" t="s">
        <v>234</v>
      </c>
      <c r="T46" s="319" t="s">
        <v>235</v>
      </c>
      <c r="U46" s="319" t="s">
        <v>236</v>
      </c>
      <c r="V46" s="319" t="s">
        <v>237</v>
      </c>
      <c r="W46" s="320" t="s">
        <v>238</v>
      </c>
      <c r="X46" s="318" t="s">
        <v>234</v>
      </c>
      <c r="Y46" s="319" t="s">
        <v>235</v>
      </c>
      <c r="Z46" s="319" t="s">
        <v>236</v>
      </c>
      <c r="AA46" s="319" t="s">
        <v>237</v>
      </c>
      <c r="AB46" s="320" t="s">
        <v>238</v>
      </c>
      <c r="AC46" s="296"/>
      <c r="AD46" s="321"/>
      <c r="AE46" s="289"/>
      <c r="AF46" s="289"/>
      <c r="AG46" s="289"/>
    </row>
    <row r="47" spans="2:33" ht="9.9499999999999993" customHeight="1" x14ac:dyDescent="0.15">
      <c r="B47" s="317"/>
      <c r="C47" s="290"/>
      <c r="D47" s="290"/>
      <c r="E47" s="87" t="s">
        <v>288</v>
      </c>
      <c r="F47" s="322"/>
      <c r="G47" s="323"/>
      <c r="H47" s="283" t="s">
        <v>355</v>
      </c>
      <c r="I47" s="284"/>
      <c r="J47" s="284"/>
      <c r="K47" s="284"/>
      <c r="L47" s="284"/>
      <c r="M47" s="286"/>
      <c r="N47" s="283" t="s">
        <v>355</v>
      </c>
      <c r="O47" s="285"/>
      <c r="P47" s="285"/>
      <c r="Q47" s="285"/>
      <c r="R47" s="286"/>
      <c r="S47" s="283" t="s">
        <v>355</v>
      </c>
      <c r="T47" s="285"/>
      <c r="U47" s="285"/>
      <c r="V47" s="285"/>
      <c r="W47" s="286"/>
      <c r="X47" s="283" t="s">
        <v>355</v>
      </c>
      <c r="Y47" s="285"/>
      <c r="Z47" s="285"/>
      <c r="AA47" s="285"/>
      <c r="AB47" s="286"/>
      <c r="AC47" s="307"/>
      <c r="AD47" s="324"/>
      <c r="AE47" s="289"/>
      <c r="AF47" s="289"/>
      <c r="AG47" s="289"/>
    </row>
    <row r="48" spans="2:33" ht="9.9499999999999993" customHeight="1" x14ac:dyDescent="0.15">
      <c r="B48" s="317"/>
      <c r="C48" s="290"/>
      <c r="D48" s="290"/>
      <c r="E48" s="87" t="s">
        <v>356</v>
      </c>
      <c r="F48" s="322"/>
      <c r="G48" s="323"/>
      <c r="H48" s="325">
        <v>0.09</v>
      </c>
      <c r="I48" s="326">
        <v>0.09</v>
      </c>
      <c r="J48" s="326">
        <v>7.1999999999999995E-2</v>
      </c>
      <c r="K48" s="326">
        <v>8.2000000000000003E-2</v>
      </c>
      <c r="L48" s="326">
        <v>7.3999999999999996E-2</v>
      </c>
      <c r="M48" s="327">
        <v>7.0000000000000007E-2</v>
      </c>
      <c r="N48" s="325">
        <v>6.8000000000000005E-2</v>
      </c>
      <c r="O48" s="326">
        <v>7.3999999999999996E-2</v>
      </c>
      <c r="P48" s="326">
        <v>6.4000000000000001E-2</v>
      </c>
      <c r="Q48" s="326">
        <v>7.5999999999999998E-2</v>
      </c>
      <c r="R48" s="327">
        <v>7.0000000000000007E-2</v>
      </c>
      <c r="S48" s="325">
        <v>7.0000000000000007E-2</v>
      </c>
      <c r="T48" s="326">
        <v>7.0000000000000007E-2</v>
      </c>
      <c r="U48" s="326">
        <v>7.3999999999999996E-2</v>
      </c>
      <c r="V48" s="326">
        <v>6.8000000000000005E-2</v>
      </c>
      <c r="W48" s="327">
        <v>7.3999999999999996E-2</v>
      </c>
      <c r="X48" s="325">
        <v>7.3999999999999996E-2</v>
      </c>
      <c r="Y48" s="326">
        <v>6.8000000000000005E-2</v>
      </c>
      <c r="Z48" s="326">
        <v>7.8E-2</v>
      </c>
      <c r="AA48" s="326">
        <v>6.8000000000000005E-2</v>
      </c>
      <c r="AB48" s="327">
        <v>7.5999999999999998E-2</v>
      </c>
      <c r="AC48" s="328" t="s">
        <v>291</v>
      </c>
      <c r="AD48" s="329" t="s">
        <v>357</v>
      </c>
      <c r="AE48" s="289"/>
      <c r="AF48" s="289"/>
      <c r="AG48" s="289"/>
    </row>
    <row r="49" spans="1:35" ht="9.9499999999999993" customHeight="1" x14ac:dyDescent="0.15">
      <c r="B49" s="317"/>
      <c r="C49" s="290"/>
      <c r="D49" s="290"/>
      <c r="E49" s="87" t="s">
        <v>293</v>
      </c>
      <c r="F49" s="322"/>
      <c r="G49" s="323"/>
      <c r="H49" s="330">
        <v>6.4000000000000001E-2</v>
      </c>
      <c r="I49" s="272">
        <v>5.6000000000000001E-2</v>
      </c>
      <c r="J49" s="272">
        <v>5.1999999999999998E-2</v>
      </c>
      <c r="K49" s="272">
        <v>0.06</v>
      </c>
      <c r="L49" s="272">
        <v>0.05</v>
      </c>
      <c r="M49" s="331">
        <v>4.8000000000000001E-2</v>
      </c>
      <c r="N49" s="330">
        <v>5.1999999999999998E-2</v>
      </c>
      <c r="O49" s="272">
        <v>5.3999999999999999E-2</v>
      </c>
      <c r="P49" s="272">
        <v>4.8000000000000001E-2</v>
      </c>
      <c r="Q49" s="272">
        <v>5.3999999999999999E-2</v>
      </c>
      <c r="R49" s="331">
        <v>0.05</v>
      </c>
      <c r="S49" s="330">
        <v>0.05</v>
      </c>
      <c r="T49" s="272">
        <v>5.1999999999999998E-2</v>
      </c>
      <c r="U49" s="272">
        <v>5.1999999999999998E-2</v>
      </c>
      <c r="V49" s="272">
        <v>4.8000000000000001E-2</v>
      </c>
      <c r="W49" s="331">
        <v>0.05</v>
      </c>
      <c r="X49" s="330">
        <v>5.8000000000000003E-2</v>
      </c>
      <c r="Y49" s="272">
        <v>5.1999999999999998E-2</v>
      </c>
      <c r="Z49" s="272">
        <v>0.05</v>
      </c>
      <c r="AA49" s="272">
        <v>5.3999999999999999E-2</v>
      </c>
      <c r="AB49" s="331">
        <v>4.8000000000000001E-2</v>
      </c>
      <c r="AC49" s="332" t="s">
        <v>294</v>
      </c>
      <c r="AD49" s="329" t="s">
        <v>358</v>
      </c>
      <c r="AE49" s="289"/>
      <c r="AF49" s="289"/>
      <c r="AG49" s="289"/>
    </row>
    <row r="50" spans="1:35" ht="9.9499999999999993" customHeight="1" x14ac:dyDescent="0.15">
      <c r="B50" s="317"/>
      <c r="C50" s="290"/>
      <c r="D50" s="290"/>
      <c r="E50" s="87" t="s">
        <v>296</v>
      </c>
      <c r="F50" s="322"/>
      <c r="G50" s="323"/>
      <c r="H50" s="330">
        <v>6.8000000000000005E-2</v>
      </c>
      <c r="I50" s="272">
        <v>6.4000000000000001E-2</v>
      </c>
      <c r="J50" s="272">
        <v>5.3999999999999999E-2</v>
      </c>
      <c r="K50" s="272">
        <v>7.8E-2</v>
      </c>
      <c r="L50" s="272">
        <v>5.8000000000000003E-2</v>
      </c>
      <c r="M50" s="331">
        <v>5.1999999999999998E-2</v>
      </c>
      <c r="N50" s="330">
        <v>5.3999999999999999E-2</v>
      </c>
      <c r="O50" s="272">
        <v>5.3999999999999999E-2</v>
      </c>
      <c r="P50" s="272">
        <v>5.3999999999999999E-2</v>
      </c>
      <c r="Q50" s="272">
        <v>5.6000000000000001E-2</v>
      </c>
      <c r="R50" s="331">
        <v>5.6000000000000001E-2</v>
      </c>
      <c r="S50" s="330">
        <v>5.8000000000000003E-2</v>
      </c>
      <c r="T50" s="272">
        <v>0.05</v>
      </c>
      <c r="U50" s="272">
        <v>5.8000000000000003E-2</v>
      </c>
      <c r="V50" s="272">
        <v>4.5999999999999999E-2</v>
      </c>
      <c r="W50" s="331">
        <v>5.6000000000000001E-2</v>
      </c>
      <c r="X50" s="330">
        <v>5.8000000000000003E-2</v>
      </c>
      <c r="Y50" s="272">
        <v>5.8000000000000003E-2</v>
      </c>
      <c r="Z50" s="272">
        <v>0.06</v>
      </c>
      <c r="AA50" s="272">
        <v>5.6000000000000001E-2</v>
      </c>
      <c r="AB50" s="331">
        <v>5.8000000000000003E-2</v>
      </c>
      <c r="AC50" s="332" t="s">
        <v>297</v>
      </c>
      <c r="AD50" s="329" t="s">
        <v>359</v>
      </c>
      <c r="AE50" s="289"/>
      <c r="AF50" s="289"/>
      <c r="AG50" s="289"/>
    </row>
    <row r="51" spans="1:35" ht="9.9499999999999993" customHeight="1" x14ac:dyDescent="0.15">
      <c r="B51" s="317"/>
      <c r="C51" s="290"/>
      <c r="D51" s="290"/>
      <c r="E51" s="87" t="s">
        <v>299</v>
      </c>
      <c r="F51" s="322"/>
      <c r="G51" s="323"/>
      <c r="H51" s="330">
        <v>8.7999999999999995E-2</v>
      </c>
      <c r="I51" s="272">
        <v>8.2000000000000003E-2</v>
      </c>
      <c r="J51" s="272">
        <v>7.0000000000000007E-2</v>
      </c>
      <c r="K51" s="272">
        <v>0.06</v>
      </c>
      <c r="L51" s="272">
        <v>7.0000000000000007E-2</v>
      </c>
      <c r="M51" s="331">
        <v>5.8000000000000003E-2</v>
      </c>
      <c r="N51" s="330">
        <v>7.0000000000000007E-2</v>
      </c>
      <c r="O51" s="272">
        <v>7.0000000000000007E-2</v>
      </c>
      <c r="P51" s="272">
        <v>6.8000000000000005E-2</v>
      </c>
      <c r="Q51" s="272">
        <v>6.8000000000000005E-2</v>
      </c>
      <c r="R51" s="331">
        <v>6.8000000000000005E-2</v>
      </c>
      <c r="S51" s="330">
        <v>0.06</v>
      </c>
      <c r="T51" s="272">
        <v>6.8000000000000005E-2</v>
      </c>
      <c r="U51" s="272">
        <v>7.0000000000000007E-2</v>
      </c>
      <c r="V51" s="272">
        <v>0.06</v>
      </c>
      <c r="W51" s="331">
        <v>7.3999999999999996E-2</v>
      </c>
      <c r="X51" s="330">
        <v>7.5999999999999998E-2</v>
      </c>
      <c r="Y51" s="272">
        <v>6.8000000000000005E-2</v>
      </c>
      <c r="Z51" s="272">
        <v>7.1999999999999995E-2</v>
      </c>
      <c r="AA51" s="272">
        <v>6.8000000000000005E-2</v>
      </c>
      <c r="AB51" s="331">
        <v>7.0000000000000007E-2</v>
      </c>
      <c r="AC51" s="388" t="s">
        <v>300</v>
      </c>
      <c r="AD51" s="389" t="s">
        <v>360</v>
      </c>
      <c r="AE51" s="289"/>
      <c r="AF51" s="289"/>
      <c r="AG51" s="289"/>
    </row>
    <row r="52" spans="1:35" ht="9.9499999999999993" customHeight="1" x14ac:dyDescent="0.15">
      <c r="B52" s="333"/>
      <c r="C52" s="261"/>
      <c r="D52" s="261"/>
      <c r="E52" s="87" t="s">
        <v>361</v>
      </c>
      <c r="F52" s="322"/>
      <c r="G52" s="323"/>
      <c r="H52" s="390">
        <v>5.6000000000000001E-2</v>
      </c>
      <c r="I52" s="391">
        <v>0.05</v>
      </c>
      <c r="J52" s="391">
        <v>4.5999999999999999E-2</v>
      </c>
      <c r="K52" s="391">
        <v>4.8000000000000001E-2</v>
      </c>
      <c r="L52" s="391">
        <v>0.04</v>
      </c>
      <c r="M52" s="392">
        <v>3.7999999999999999E-2</v>
      </c>
      <c r="N52" s="390">
        <v>0.05</v>
      </c>
      <c r="O52" s="391">
        <v>0.04</v>
      </c>
      <c r="P52" s="391">
        <v>0.04</v>
      </c>
      <c r="Q52" s="391">
        <v>4.8000000000000001E-2</v>
      </c>
      <c r="R52" s="392">
        <v>4.2000000000000003E-2</v>
      </c>
      <c r="S52" s="390">
        <v>4.3999999999999997E-2</v>
      </c>
      <c r="T52" s="391">
        <v>0.04</v>
      </c>
      <c r="U52" s="391">
        <v>0.04</v>
      </c>
      <c r="V52" s="391">
        <v>3.7999999999999999E-2</v>
      </c>
      <c r="W52" s="392">
        <v>4.2000000000000003E-2</v>
      </c>
      <c r="X52" s="390">
        <v>4.3999999999999997E-2</v>
      </c>
      <c r="Y52" s="391">
        <v>4.2000000000000003E-2</v>
      </c>
      <c r="Z52" s="391">
        <v>4.3999999999999997E-2</v>
      </c>
      <c r="AA52" s="391">
        <v>0.04</v>
      </c>
      <c r="AB52" s="393">
        <v>0.04</v>
      </c>
      <c r="AC52" s="357" t="s">
        <v>362</v>
      </c>
      <c r="AD52" s="394" t="s">
        <v>363</v>
      </c>
      <c r="AE52" s="289"/>
      <c r="AF52" s="289"/>
      <c r="AG52" s="289"/>
    </row>
    <row r="53" spans="1:35" ht="9.9499999999999993" customHeight="1" x14ac:dyDescent="0.15">
      <c r="B53" s="86" t="s">
        <v>364</v>
      </c>
      <c r="C53" s="395" t="s">
        <v>365</v>
      </c>
      <c r="D53" s="290" t="s">
        <v>366</v>
      </c>
      <c r="E53" s="87" t="s">
        <v>367</v>
      </c>
      <c r="F53" s="322"/>
      <c r="G53" s="323"/>
      <c r="H53" s="396" t="s">
        <v>368</v>
      </c>
      <c r="I53" s="285"/>
      <c r="J53" s="285"/>
      <c r="K53" s="285"/>
      <c r="L53" s="285"/>
      <c r="M53" s="285"/>
      <c r="N53" s="285"/>
      <c r="O53" s="285"/>
      <c r="P53" s="285"/>
      <c r="Q53" s="285"/>
      <c r="R53" s="285"/>
      <c r="S53" s="285"/>
      <c r="T53" s="285"/>
      <c r="U53" s="285"/>
      <c r="V53" s="285"/>
      <c r="W53" s="285"/>
      <c r="X53" s="285"/>
      <c r="Y53" s="285"/>
      <c r="Z53" s="285"/>
      <c r="AA53" s="285"/>
      <c r="AB53" s="397"/>
      <c r="AC53" s="357" t="s">
        <v>285</v>
      </c>
      <c r="AD53" s="88" t="s">
        <v>286</v>
      </c>
      <c r="AE53" s="289"/>
      <c r="AF53" s="289"/>
      <c r="AG53" s="289"/>
    </row>
    <row r="54" spans="1:35" ht="9.9499999999999993" customHeight="1" x14ac:dyDescent="0.15">
      <c r="B54" s="350" t="s">
        <v>369</v>
      </c>
      <c r="C54" s="350" t="s">
        <v>343</v>
      </c>
      <c r="D54" s="261"/>
      <c r="E54" s="87" t="s">
        <v>370</v>
      </c>
      <c r="F54" s="322"/>
      <c r="G54" s="323"/>
      <c r="H54" s="283" t="s">
        <v>110</v>
      </c>
      <c r="I54" s="285"/>
      <c r="J54" s="285"/>
      <c r="K54" s="285"/>
      <c r="L54" s="285"/>
      <c r="M54" s="285"/>
      <c r="N54" s="285"/>
      <c r="O54" s="285"/>
      <c r="P54" s="285"/>
      <c r="Q54" s="285"/>
      <c r="R54" s="285"/>
      <c r="S54" s="285"/>
      <c r="T54" s="285"/>
      <c r="U54" s="285"/>
      <c r="V54" s="285"/>
      <c r="W54" s="285"/>
      <c r="X54" s="285"/>
      <c r="Y54" s="285"/>
      <c r="Z54" s="285"/>
      <c r="AA54" s="285"/>
      <c r="AB54" s="397"/>
      <c r="AC54" s="357" t="s">
        <v>371</v>
      </c>
      <c r="AD54" s="88" t="s">
        <v>110</v>
      </c>
      <c r="AE54" s="289"/>
      <c r="AF54" s="289"/>
      <c r="AG54" s="289"/>
    </row>
    <row r="55" spans="1:35" ht="9.9499999999999993" customHeight="1" x14ac:dyDescent="0.15">
      <c r="B55" s="81" t="s">
        <v>372</v>
      </c>
      <c r="AG55" s="289"/>
    </row>
    <row r="56" spans="1:35" ht="9.9499999999999993" customHeight="1" x14ac:dyDescent="0.15">
      <c r="B56" s="81" t="s">
        <v>373</v>
      </c>
    </row>
    <row r="57" spans="1:35" ht="9.9499999999999993" customHeight="1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</row>
    <row r="58" spans="1:35" ht="9.9499999999999993" customHeight="1" x14ac:dyDescent="0.15">
      <c r="A58" s="1"/>
      <c r="B58" s="237" t="s">
        <v>374</v>
      </c>
      <c r="C58" s="238"/>
      <c r="D58" s="239"/>
      <c r="E58" s="238" t="s">
        <v>375</v>
      </c>
      <c r="F58" s="238"/>
      <c r="G58" s="238"/>
      <c r="H58" s="238"/>
      <c r="I58" s="238"/>
      <c r="J58" s="238"/>
      <c r="K58" s="238"/>
      <c r="L58" s="238"/>
      <c r="M58" s="238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</row>
    <row r="59" spans="1:35" ht="9.9499999999999993" customHeight="1" x14ac:dyDescent="0.15">
      <c r="A59" s="1"/>
      <c r="B59" s="572" t="s">
        <v>217</v>
      </c>
      <c r="G59" s="240" t="s">
        <v>218</v>
      </c>
      <c r="H59" s="579"/>
      <c r="I59" s="398"/>
      <c r="J59" s="398"/>
      <c r="K59" s="398"/>
      <c r="L59" s="398"/>
      <c r="M59" s="399"/>
      <c r="AA59" s="1"/>
      <c r="AB59" s="1"/>
      <c r="AC59" s="1"/>
      <c r="AD59" s="1"/>
      <c r="AE59" s="1"/>
      <c r="AF59" s="1"/>
      <c r="AG59" s="1"/>
      <c r="AH59" s="1"/>
      <c r="AI59" s="1"/>
    </row>
    <row r="60" spans="1:35" ht="9.9499999999999993" customHeight="1" x14ac:dyDescent="0.15">
      <c r="A60" s="1"/>
      <c r="B60" s="580"/>
      <c r="C60" s="581"/>
      <c r="D60" s="581"/>
      <c r="E60" s="400"/>
      <c r="F60" s="401"/>
      <c r="G60" s="245"/>
      <c r="H60" s="582" t="s">
        <v>220</v>
      </c>
      <c r="I60" s="402"/>
      <c r="J60" s="402"/>
      <c r="K60" s="402"/>
      <c r="L60" s="403"/>
      <c r="M60" s="404"/>
      <c r="P60" s="1"/>
      <c r="Q60" s="240" t="s">
        <v>221</v>
      </c>
      <c r="R60" s="249"/>
      <c r="S60" s="250"/>
      <c r="T60" s="250"/>
      <c r="U60" s="250"/>
      <c r="V60" s="250"/>
      <c r="W60" s="250"/>
      <c r="AA60" s="1"/>
      <c r="AB60" s="1"/>
      <c r="AC60" s="1"/>
      <c r="AD60" s="1"/>
      <c r="AE60" s="1"/>
      <c r="AF60" s="1"/>
      <c r="AG60" s="1"/>
      <c r="AH60" s="1"/>
      <c r="AI60" s="1"/>
    </row>
    <row r="61" spans="1:35" ht="9.9499999999999993" customHeight="1" x14ac:dyDescent="0.15">
      <c r="A61" s="1"/>
      <c r="B61" s="251" t="s">
        <v>222</v>
      </c>
      <c r="C61" s="252" t="s">
        <v>223</v>
      </c>
      <c r="D61" s="252" t="s">
        <v>224</v>
      </c>
      <c r="E61" s="253" t="s">
        <v>225</v>
      </c>
      <c r="F61" s="254"/>
      <c r="G61" s="405" t="s">
        <v>226</v>
      </c>
      <c r="H61" s="256" t="s">
        <v>376</v>
      </c>
      <c r="I61" s="256" t="s">
        <v>377</v>
      </c>
      <c r="J61" s="256" t="s">
        <v>378</v>
      </c>
      <c r="K61" s="256" t="s">
        <v>379</v>
      </c>
      <c r="L61" s="256" t="s">
        <v>380</v>
      </c>
      <c r="M61" s="256" t="s">
        <v>381</v>
      </c>
      <c r="P61" s="1"/>
      <c r="Q61" s="240" t="s">
        <v>233</v>
      </c>
      <c r="R61" s="256">
        <v>43578</v>
      </c>
      <c r="S61" s="256">
        <v>43579</v>
      </c>
      <c r="T61" s="256" t="s">
        <v>378</v>
      </c>
      <c r="U61" s="256" t="s">
        <v>379</v>
      </c>
      <c r="V61" s="256" t="s">
        <v>382</v>
      </c>
      <c r="W61" s="256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</row>
    <row r="62" spans="1:35" ht="9.9499999999999993" customHeight="1" x14ac:dyDescent="0.15">
      <c r="A62" s="1"/>
      <c r="B62" s="257"/>
      <c r="C62" s="258"/>
      <c r="D62" s="258"/>
      <c r="E62" s="406"/>
      <c r="F62" s="250"/>
      <c r="G62" s="258"/>
      <c r="H62" s="260" t="s">
        <v>234</v>
      </c>
      <c r="I62" s="260" t="s">
        <v>235</v>
      </c>
      <c r="J62" s="260" t="s">
        <v>236</v>
      </c>
      <c r="K62" s="260" t="s">
        <v>237</v>
      </c>
      <c r="L62" s="260" t="s">
        <v>238</v>
      </c>
      <c r="M62" s="260" t="s">
        <v>239</v>
      </c>
      <c r="P62" s="1"/>
      <c r="R62" s="261" t="s">
        <v>383</v>
      </c>
      <c r="S62" s="262" t="s">
        <v>384</v>
      </c>
      <c r="T62" s="262" t="s">
        <v>385</v>
      </c>
      <c r="U62" s="262" t="s">
        <v>386</v>
      </c>
      <c r="V62" s="262" t="s">
        <v>387</v>
      </c>
      <c r="W62" s="262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</row>
    <row r="63" spans="1:35" ht="9.9499999999999993" customHeight="1" x14ac:dyDescent="0.15">
      <c r="A63" s="1"/>
      <c r="B63" s="263" t="s">
        <v>388</v>
      </c>
      <c r="C63" s="264" t="s">
        <v>389</v>
      </c>
      <c r="D63" s="265" t="s">
        <v>390</v>
      </c>
      <c r="E63" s="266" t="s">
        <v>391</v>
      </c>
      <c r="F63" s="267"/>
      <c r="G63" s="268" t="s">
        <v>249</v>
      </c>
      <c r="H63" s="269">
        <v>252.7</v>
      </c>
      <c r="I63" s="269">
        <v>310.5</v>
      </c>
      <c r="J63" s="269">
        <v>239.5</v>
      </c>
      <c r="K63" s="269">
        <v>172.2</v>
      </c>
      <c r="L63" s="269">
        <v>238.1</v>
      </c>
      <c r="M63" s="270" t="s">
        <v>392</v>
      </c>
      <c r="Q63" s="271" t="s">
        <v>250</v>
      </c>
      <c r="R63" s="272">
        <v>0.04</v>
      </c>
      <c r="S63" s="272">
        <v>3.5999999999999997E-2</v>
      </c>
      <c r="T63" s="272">
        <v>3.7999999999999999E-2</v>
      </c>
      <c r="U63" s="272">
        <v>3.5999999999999997E-2</v>
      </c>
      <c r="V63" s="272">
        <v>3.5999999999999997E-2</v>
      </c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</row>
    <row r="64" spans="1:35" ht="9.9499999999999993" customHeight="1" x14ac:dyDescent="0.15">
      <c r="A64" s="1"/>
      <c r="B64" s="257"/>
      <c r="C64" s="258"/>
      <c r="D64" s="273"/>
      <c r="E64" s="274"/>
      <c r="F64" s="275"/>
      <c r="G64" s="276" t="s">
        <v>251</v>
      </c>
      <c r="H64" s="277">
        <v>960</v>
      </c>
      <c r="I64" s="277">
        <v>950</v>
      </c>
      <c r="J64" s="277">
        <v>950</v>
      </c>
      <c r="K64" s="277">
        <v>950</v>
      </c>
      <c r="L64" s="277">
        <v>950</v>
      </c>
      <c r="M64" s="270" t="s">
        <v>392</v>
      </c>
      <c r="Q64" s="271" t="s">
        <v>252</v>
      </c>
      <c r="R64" s="272">
        <v>3.5999999999999997E-2</v>
      </c>
      <c r="S64" s="272">
        <v>3.7999999999999999E-2</v>
      </c>
      <c r="T64" s="272">
        <v>3.7999999999999999E-2</v>
      </c>
      <c r="U64" s="272">
        <v>3.4000000000000002E-2</v>
      </c>
      <c r="V64" s="272">
        <v>3.7999999999999999E-2</v>
      </c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</row>
    <row r="65" spans="1:35" ht="9.9499999999999993" customHeight="1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O65" s="1"/>
      <c r="P65" s="1"/>
      <c r="Q65" s="407" t="s">
        <v>253</v>
      </c>
      <c r="R65" s="408">
        <v>0.04</v>
      </c>
      <c r="S65" s="409">
        <v>0.04</v>
      </c>
      <c r="T65" s="410">
        <v>3.7999999999999999E-2</v>
      </c>
      <c r="U65" s="409">
        <v>3.5999999999999997E-2</v>
      </c>
      <c r="V65" s="410">
        <v>3.7999999999999999E-2</v>
      </c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</row>
    <row r="66" spans="1:35" ht="9.9499999999999993" customHeight="1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O66" s="1"/>
      <c r="P66" s="1"/>
      <c r="Q66" s="407" t="s">
        <v>254</v>
      </c>
      <c r="R66" s="408">
        <v>0.04</v>
      </c>
      <c r="S66" s="409">
        <v>3.7999999999999999E-2</v>
      </c>
      <c r="T66" s="410">
        <v>3.7999999999999999E-2</v>
      </c>
      <c r="U66" s="409">
        <v>3.7999999999999999E-2</v>
      </c>
      <c r="V66" s="410">
        <v>0.04</v>
      </c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</row>
    <row r="67" spans="1:35" ht="9.9499999999999993" customHeight="1" x14ac:dyDescent="0.15">
      <c r="A67" s="1"/>
      <c r="B67" s="240" t="s">
        <v>393</v>
      </c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</row>
    <row r="68" spans="1:35" ht="9.9499999999999993" customHeight="1" x14ac:dyDescent="0.15">
      <c r="A68" s="1"/>
      <c r="B68" s="489" t="s">
        <v>394</v>
      </c>
      <c r="C68" s="489" t="s">
        <v>256</v>
      </c>
      <c r="D68" s="489" t="s">
        <v>346</v>
      </c>
      <c r="E68" s="411" t="s">
        <v>258</v>
      </c>
      <c r="F68" s="412"/>
      <c r="G68" s="413"/>
      <c r="H68" s="414" t="s">
        <v>259</v>
      </c>
      <c r="I68" s="415"/>
      <c r="J68" s="415"/>
      <c r="K68" s="415"/>
      <c r="L68" s="415"/>
      <c r="M68" s="416"/>
      <c r="N68" s="416"/>
      <c r="O68" s="416"/>
      <c r="P68" s="416"/>
      <c r="Q68" s="416"/>
      <c r="R68" s="416"/>
      <c r="S68" s="416"/>
      <c r="T68" s="416"/>
      <c r="U68" s="416"/>
      <c r="V68" s="416"/>
      <c r="W68" s="416"/>
      <c r="X68" s="416"/>
      <c r="Y68" s="416"/>
      <c r="Z68" s="416"/>
      <c r="AA68" s="416"/>
      <c r="AB68" s="417"/>
      <c r="AC68" s="411" t="s">
        <v>260</v>
      </c>
      <c r="AD68" s="418"/>
      <c r="AE68" s="1"/>
      <c r="AF68" s="1"/>
      <c r="AG68" s="1"/>
      <c r="AH68" s="1"/>
      <c r="AI68" s="1"/>
    </row>
    <row r="69" spans="1:35" ht="9.9499999999999993" customHeight="1" x14ac:dyDescent="0.15">
      <c r="A69" s="1"/>
      <c r="B69" s="492"/>
      <c r="C69" s="492"/>
      <c r="D69" s="492"/>
      <c r="E69" s="419"/>
      <c r="F69" s="420"/>
      <c r="G69" s="292"/>
      <c r="H69" s="411" t="s">
        <v>261</v>
      </c>
      <c r="I69" s="421"/>
      <c r="J69" s="421"/>
      <c r="K69" s="421"/>
      <c r="L69" s="421"/>
      <c r="M69" s="421"/>
      <c r="N69" s="414" t="s">
        <v>262</v>
      </c>
      <c r="O69" s="416"/>
      <c r="P69" s="416"/>
      <c r="Q69" s="416"/>
      <c r="R69" s="417"/>
      <c r="S69" s="583" t="s">
        <v>395</v>
      </c>
      <c r="T69" s="416"/>
      <c r="U69" s="416"/>
      <c r="V69" s="416"/>
      <c r="W69" s="416"/>
      <c r="X69" s="414" t="s">
        <v>264</v>
      </c>
      <c r="Y69" s="416"/>
      <c r="Z69" s="416"/>
      <c r="AA69" s="416"/>
      <c r="AB69" s="417"/>
      <c r="AC69" s="422"/>
      <c r="AD69" s="361"/>
      <c r="AE69" s="1"/>
      <c r="AF69" s="1"/>
      <c r="AG69" s="1"/>
      <c r="AH69" s="1"/>
      <c r="AI69" s="1"/>
    </row>
    <row r="70" spans="1:35" ht="9.9499999999999993" customHeight="1" x14ac:dyDescent="0.15">
      <c r="A70" s="1"/>
      <c r="B70" s="492"/>
      <c r="C70" s="492"/>
      <c r="D70" s="492"/>
      <c r="E70" s="419"/>
      <c r="F70" s="420"/>
      <c r="G70" s="292"/>
      <c r="H70" s="240" t="s">
        <v>218</v>
      </c>
      <c r="N70" s="411"/>
      <c r="O70" s="421"/>
      <c r="P70" s="421"/>
      <c r="Q70" s="421"/>
      <c r="R70" s="418"/>
      <c r="S70" s="584"/>
      <c r="T70" s="421"/>
      <c r="U70" s="421"/>
      <c r="V70" s="421"/>
      <c r="W70" s="421"/>
      <c r="X70" s="584"/>
      <c r="Y70" s="421"/>
      <c r="Z70" s="421"/>
      <c r="AA70" s="421"/>
      <c r="AB70" s="418"/>
      <c r="AC70" s="422"/>
      <c r="AD70" s="361"/>
      <c r="AE70" s="1"/>
      <c r="AF70" s="1"/>
      <c r="AG70" s="1"/>
      <c r="AH70" s="1"/>
      <c r="AI70" s="1"/>
    </row>
    <row r="71" spans="1:35" ht="9.9499999999999993" customHeight="1" x14ac:dyDescent="0.15">
      <c r="A71" s="1"/>
      <c r="B71" s="494"/>
      <c r="C71" s="494"/>
      <c r="D71" s="494"/>
      <c r="E71" s="423"/>
      <c r="F71" s="424"/>
      <c r="G71" s="425"/>
      <c r="H71" s="426"/>
      <c r="I71" s="427" t="s">
        <v>220</v>
      </c>
      <c r="J71" s="427"/>
      <c r="K71" s="427"/>
      <c r="L71" s="427"/>
      <c r="M71" s="428"/>
      <c r="N71" s="429"/>
      <c r="O71" s="430"/>
      <c r="P71" s="430"/>
      <c r="Q71" s="430"/>
      <c r="R71" s="431"/>
      <c r="S71" s="430" t="s">
        <v>265</v>
      </c>
      <c r="T71" s="430"/>
      <c r="U71" s="430"/>
      <c r="V71" s="430"/>
      <c r="W71" s="430"/>
      <c r="X71" s="430"/>
      <c r="Y71" s="430"/>
      <c r="Z71" s="430"/>
      <c r="AA71" s="430"/>
      <c r="AB71" s="431"/>
      <c r="AC71" s="429"/>
      <c r="AD71" s="431"/>
      <c r="AE71" s="1"/>
      <c r="AF71" s="1"/>
      <c r="AG71" s="1"/>
      <c r="AH71" s="1"/>
      <c r="AI71" s="1"/>
    </row>
    <row r="72" spans="1:35" ht="9.9499999999999993" customHeight="1" x14ac:dyDescent="0.15">
      <c r="A72" s="1"/>
      <c r="B72" s="489" t="s">
        <v>266</v>
      </c>
      <c r="C72" s="489" t="s">
        <v>267</v>
      </c>
      <c r="D72" s="489" t="s">
        <v>268</v>
      </c>
      <c r="E72" s="411" t="s">
        <v>269</v>
      </c>
      <c r="F72" s="412"/>
      <c r="G72" s="413"/>
      <c r="H72" s="432" t="s">
        <v>396</v>
      </c>
      <c r="I72" s="432" t="s">
        <v>397</v>
      </c>
      <c r="J72" s="432" t="s">
        <v>398</v>
      </c>
      <c r="K72" s="432" t="s">
        <v>399</v>
      </c>
      <c r="L72" s="433" t="s">
        <v>400</v>
      </c>
      <c r="M72" s="432" t="s">
        <v>401</v>
      </c>
      <c r="N72" s="432" t="s">
        <v>402</v>
      </c>
      <c r="O72" s="432" t="s">
        <v>403</v>
      </c>
      <c r="P72" s="432" t="s">
        <v>404</v>
      </c>
      <c r="Q72" s="433" t="s">
        <v>405</v>
      </c>
      <c r="R72" s="432" t="s">
        <v>406</v>
      </c>
      <c r="S72" s="432" t="s">
        <v>407</v>
      </c>
      <c r="T72" s="432" t="s">
        <v>408</v>
      </c>
      <c r="U72" s="432" t="s">
        <v>409</v>
      </c>
      <c r="V72" s="433" t="s">
        <v>410</v>
      </c>
      <c r="W72" s="432" t="s">
        <v>411</v>
      </c>
      <c r="X72" s="432" t="s">
        <v>412</v>
      </c>
      <c r="Y72" s="432" t="s">
        <v>413</v>
      </c>
      <c r="Z72" s="432" t="s">
        <v>414</v>
      </c>
      <c r="AA72" s="433" t="s">
        <v>415</v>
      </c>
      <c r="AB72" s="433" t="s">
        <v>416</v>
      </c>
      <c r="AC72" s="434" t="s">
        <v>285</v>
      </c>
      <c r="AD72" s="434" t="s">
        <v>286</v>
      </c>
      <c r="AE72" s="1"/>
      <c r="AF72" s="1"/>
      <c r="AG72" s="1"/>
      <c r="AH72" s="1"/>
      <c r="AI72" s="1"/>
    </row>
    <row r="73" spans="1:35" ht="9.9499999999999993" customHeight="1" x14ac:dyDescent="0.15">
      <c r="A73" s="1"/>
      <c r="B73" s="492" t="s">
        <v>417</v>
      </c>
      <c r="C73" s="492"/>
      <c r="D73" s="492"/>
      <c r="E73" s="423"/>
      <c r="F73" s="424"/>
      <c r="G73" s="425"/>
      <c r="H73" s="435" t="s">
        <v>234</v>
      </c>
      <c r="I73" s="435" t="s">
        <v>235</v>
      </c>
      <c r="J73" s="435" t="s">
        <v>236</v>
      </c>
      <c r="K73" s="435" t="s">
        <v>237</v>
      </c>
      <c r="L73" s="436" t="s">
        <v>238</v>
      </c>
      <c r="M73" s="414" t="s">
        <v>239</v>
      </c>
      <c r="N73" s="407" t="s">
        <v>234</v>
      </c>
      <c r="O73" s="407" t="s">
        <v>235</v>
      </c>
      <c r="P73" s="407" t="s">
        <v>236</v>
      </c>
      <c r="Q73" s="407" t="s">
        <v>237</v>
      </c>
      <c r="R73" s="414" t="s">
        <v>238</v>
      </c>
      <c r="S73" s="407" t="s">
        <v>234</v>
      </c>
      <c r="T73" s="407" t="s">
        <v>235</v>
      </c>
      <c r="U73" s="407" t="s">
        <v>236</v>
      </c>
      <c r="V73" s="407" t="s">
        <v>237</v>
      </c>
      <c r="W73" s="407" t="s">
        <v>238</v>
      </c>
      <c r="X73" s="407" t="s">
        <v>234</v>
      </c>
      <c r="Y73" s="407" t="s">
        <v>235</v>
      </c>
      <c r="Z73" s="407" t="s">
        <v>236</v>
      </c>
      <c r="AA73" s="407" t="s">
        <v>237</v>
      </c>
      <c r="AB73" s="407" t="s">
        <v>238</v>
      </c>
      <c r="AC73" s="437"/>
      <c r="AD73" s="437"/>
      <c r="AE73" s="1"/>
      <c r="AF73" s="1"/>
      <c r="AG73" s="1"/>
      <c r="AH73" s="1"/>
      <c r="AI73" s="1"/>
    </row>
    <row r="74" spans="1:35" ht="9.9499999999999993" customHeight="1" x14ac:dyDescent="0.15">
      <c r="A74" s="1"/>
      <c r="B74" s="492"/>
      <c r="C74" s="492"/>
      <c r="D74" s="492"/>
      <c r="E74" s="438" t="s">
        <v>288</v>
      </c>
      <c r="F74" s="439"/>
      <c r="G74" s="440"/>
      <c r="H74" s="436" t="s">
        <v>289</v>
      </c>
      <c r="I74" s="415"/>
      <c r="J74" s="415"/>
      <c r="K74" s="415"/>
      <c r="L74" s="415"/>
      <c r="M74" s="416"/>
      <c r="N74" s="414" t="s">
        <v>289</v>
      </c>
      <c r="O74" s="416"/>
      <c r="P74" s="416"/>
      <c r="Q74" s="416"/>
      <c r="R74" s="416"/>
      <c r="S74" s="414" t="s">
        <v>289</v>
      </c>
      <c r="T74" s="416"/>
      <c r="U74" s="416"/>
      <c r="V74" s="416"/>
      <c r="W74" s="417"/>
      <c r="X74" s="414" t="s">
        <v>289</v>
      </c>
      <c r="Y74" s="416"/>
      <c r="Z74" s="416"/>
      <c r="AA74" s="416"/>
      <c r="AB74" s="417"/>
      <c r="AC74" s="441"/>
      <c r="AD74" s="441"/>
      <c r="AE74" s="1"/>
      <c r="AF74" s="1"/>
      <c r="AG74" s="1"/>
      <c r="AH74" s="1"/>
      <c r="AI74" s="1"/>
    </row>
    <row r="75" spans="1:35" ht="9.9499999999999993" customHeight="1" x14ac:dyDescent="0.15">
      <c r="A75" s="1"/>
      <c r="B75" s="492"/>
      <c r="C75" s="492"/>
      <c r="D75" s="492"/>
      <c r="E75" s="438" t="s">
        <v>291</v>
      </c>
      <c r="F75" s="439"/>
      <c r="G75" s="440"/>
      <c r="H75" s="442">
        <v>0.04</v>
      </c>
      <c r="I75" s="442">
        <v>4.5999999999999999E-2</v>
      </c>
      <c r="J75" s="442">
        <v>4.2000000000000003E-2</v>
      </c>
      <c r="K75" s="442">
        <v>0.04</v>
      </c>
      <c r="L75" s="443">
        <v>0.04</v>
      </c>
      <c r="M75" s="408">
        <v>3.7999999999999999E-2</v>
      </c>
      <c r="N75" s="444">
        <v>4.8000000000000001E-2</v>
      </c>
      <c r="O75" s="444">
        <v>0.04</v>
      </c>
      <c r="P75" s="444">
        <v>4.3999999999999997E-2</v>
      </c>
      <c r="Q75" s="444">
        <v>4.2000000000000003E-2</v>
      </c>
      <c r="R75" s="408">
        <v>4.2000000000000003E-2</v>
      </c>
      <c r="S75" s="444">
        <v>0.04</v>
      </c>
      <c r="T75" s="444">
        <v>4.2000000000000003E-2</v>
      </c>
      <c r="U75" s="444">
        <v>0.04</v>
      </c>
      <c r="V75" s="444">
        <v>0.04</v>
      </c>
      <c r="W75" s="444">
        <v>3.7999999999999999E-2</v>
      </c>
      <c r="X75" s="444">
        <v>3.7999999999999999E-2</v>
      </c>
      <c r="Y75" s="444">
        <v>0.04</v>
      </c>
      <c r="Z75" s="444">
        <v>0.04</v>
      </c>
      <c r="AA75" s="444">
        <v>0.04</v>
      </c>
      <c r="AB75" s="444">
        <v>0.04</v>
      </c>
      <c r="AC75" s="407" t="s">
        <v>291</v>
      </c>
      <c r="AD75" s="445" t="s">
        <v>292</v>
      </c>
      <c r="AE75" s="1"/>
      <c r="AF75" s="1"/>
      <c r="AG75" s="1"/>
      <c r="AH75" s="1"/>
      <c r="AI75" s="1"/>
    </row>
    <row r="76" spans="1:35" ht="9.9499999999999993" customHeight="1" x14ac:dyDescent="0.15">
      <c r="A76" s="1"/>
      <c r="B76" s="492"/>
      <c r="C76" s="492"/>
      <c r="D76" s="492"/>
      <c r="E76" s="438" t="s">
        <v>294</v>
      </c>
      <c r="F76" s="439"/>
      <c r="G76" s="440"/>
      <c r="H76" s="442">
        <v>6.8000000000000005E-2</v>
      </c>
      <c r="I76" s="442">
        <v>6.8000000000000005E-2</v>
      </c>
      <c r="J76" s="442">
        <v>7.1999999999999995E-2</v>
      </c>
      <c r="K76" s="442">
        <v>6.4000000000000001E-2</v>
      </c>
      <c r="L76" s="443">
        <v>6.4000000000000001E-2</v>
      </c>
      <c r="M76" s="408">
        <v>6.4000000000000001E-2</v>
      </c>
      <c r="N76" s="444">
        <v>6.6000000000000003E-2</v>
      </c>
      <c r="O76" s="444">
        <v>6.6000000000000003E-2</v>
      </c>
      <c r="P76" s="444">
        <v>6.8000000000000005E-2</v>
      </c>
      <c r="Q76" s="444">
        <v>6.8000000000000005E-2</v>
      </c>
      <c r="R76" s="408">
        <v>7.1999999999999995E-2</v>
      </c>
      <c r="S76" s="444">
        <v>7.0000000000000007E-2</v>
      </c>
      <c r="T76" s="444">
        <v>6.6000000000000003E-2</v>
      </c>
      <c r="U76" s="444">
        <v>6.8000000000000005E-2</v>
      </c>
      <c r="V76" s="444">
        <v>6.8000000000000005E-2</v>
      </c>
      <c r="W76" s="444">
        <v>6.2E-2</v>
      </c>
      <c r="X76" s="444">
        <v>6.4000000000000001E-2</v>
      </c>
      <c r="Y76" s="444">
        <v>6.4000000000000001E-2</v>
      </c>
      <c r="Z76" s="444">
        <v>6.6000000000000003E-2</v>
      </c>
      <c r="AA76" s="444">
        <v>6.8000000000000005E-2</v>
      </c>
      <c r="AB76" s="444">
        <v>6.6000000000000003E-2</v>
      </c>
      <c r="AC76" s="407" t="s">
        <v>294</v>
      </c>
      <c r="AD76" s="445" t="s">
        <v>295</v>
      </c>
      <c r="AE76" s="1"/>
      <c r="AF76" s="1"/>
      <c r="AG76" s="1"/>
      <c r="AH76" s="1"/>
      <c r="AI76" s="1"/>
    </row>
    <row r="77" spans="1:35" ht="9.9499999999999993" customHeight="1" x14ac:dyDescent="0.15">
      <c r="A77" s="1"/>
      <c r="B77" s="492"/>
      <c r="C77" s="492"/>
      <c r="D77" s="492"/>
      <c r="E77" s="438" t="s">
        <v>297</v>
      </c>
      <c r="F77" s="439"/>
      <c r="G77" s="440"/>
      <c r="H77" s="442">
        <v>0.04</v>
      </c>
      <c r="I77" s="442">
        <v>4.8000000000000001E-2</v>
      </c>
      <c r="J77" s="442">
        <v>4.2000000000000003E-2</v>
      </c>
      <c r="K77" s="442">
        <v>0.04</v>
      </c>
      <c r="L77" s="443">
        <v>4.3999999999999997E-2</v>
      </c>
      <c r="M77" s="408">
        <v>3.7999999999999999E-2</v>
      </c>
      <c r="N77" s="444">
        <v>4.3999999999999997E-2</v>
      </c>
      <c r="O77" s="444">
        <v>0.04</v>
      </c>
      <c r="P77" s="444">
        <v>4.2000000000000003E-2</v>
      </c>
      <c r="Q77" s="444">
        <v>4.8000000000000001E-2</v>
      </c>
      <c r="R77" s="408">
        <v>4.5999999999999999E-2</v>
      </c>
      <c r="S77" s="444">
        <v>4.2000000000000003E-2</v>
      </c>
      <c r="T77" s="444">
        <v>4.5999999999999999E-2</v>
      </c>
      <c r="U77" s="444">
        <v>4.5999999999999999E-2</v>
      </c>
      <c r="V77" s="444">
        <v>4.5999999999999999E-2</v>
      </c>
      <c r="W77" s="444">
        <v>0.04</v>
      </c>
      <c r="X77" s="444">
        <v>4.3999999999999997E-2</v>
      </c>
      <c r="Y77" s="444">
        <v>0.04</v>
      </c>
      <c r="Z77" s="444">
        <v>0.04</v>
      </c>
      <c r="AA77" s="444">
        <v>0.05</v>
      </c>
      <c r="AB77" s="444">
        <v>4.2000000000000003E-2</v>
      </c>
      <c r="AC77" s="407" t="s">
        <v>297</v>
      </c>
      <c r="AD77" s="445" t="s">
        <v>298</v>
      </c>
      <c r="AE77" s="1"/>
      <c r="AF77" s="1"/>
      <c r="AG77" s="1"/>
      <c r="AH77" s="1"/>
      <c r="AI77" s="1"/>
    </row>
    <row r="78" spans="1:35" ht="9.9499999999999993" customHeight="1" x14ac:dyDescent="0.15">
      <c r="A78" s="1"/>
      <c r="B78" s="494"/>
      <c r="C78" s="494"/>
      <c r="D78" s="494"/>
      <c r="E78" s="438" t="s">
        <v>300</v>
      </c>
      <c r="F78" s="439"/>
      <c r="G78" s="440"/>
      <c r="H78" s="442">
        <v>3.4000000000000002E-2</v>
      </c>
      <c r="I78" s="442">
        <v>4.2000000000000003E-2</v>
      </c>
      <c r="J78" s="442">
        <v>3.7999999999999999E-2</v>
      </c>
      <c r="K78" s="442">
        <v>0.03</v>
      </c>
      <c r="L78" s="443">
        <v>3.7999999999999999E-2</v>
      </c>
      <c r="M78" s="408">
        <v>3.2000000000000001E-2</v>
      </c>
      <c r="N78" s="444">
        <v>3.7999999999999999E-2</v>
      </c>
      <c r="O78" s="444">
        <v>3.5999999999999997E-2</v>
      </c>
      <c r="P78" s="444">
        <v>3.4000000000000002E-2</v>
      </c>
      <c r="Q78" s="444">
        <v>3.5999999999999997E-2</v>
      </c>
      <c r="R78" s="408">
        <v>3.4000000000000002E-2</v>
      </c>
      <c r="S78" s="444">
        <v>3.4000000000000002E-2</v>
      </c>
      <c r="T78" s="444">
        <v>3.2000000000000001E-2</v>
      </c>
      <c r="U78" s="444">
        <v>0.04</v>
      </c>
      <c r="V78" s="444">
        <v>3.4000000000000002E-2</v>
      </c>
      <c r="W78" s="444">
        <v>0.03</v>
      </c>
      <c r="X78" s="444">
        <v>3.4000000000000002E-2</v>
      </c>
      <c r="Y78" s="444">
        <v>3.2000000000000001E-2</v>
      </c>
      <c r="Z78" s="444">
        <v>3.2000000000000001E-2</v>
      </c>
      <c r="AA78" s="444">
        <v>3.5999999999999997E-2</v>
      </c>
      <c r="AB78" s="444">
        <v>3.5999999999999997E-2</v>
      </c>
      <c r="AC78" s="407" t="s">
        <v>300</v>
      </c>
      <c r="AD78" s="445" t="s">
        <v>301</v>
      </c>
      <c r="AE78" s="1"/>
      <c r="AF78" s="1"/>
      <c r="AG78" s="1"/>
      <c r="AH78" s="1"/>
      <c r="AI78" s="1"/>
    </row>
    <row r="79" spans="1:35" ht="9.9499999999999993" customHeight="1" x14ac:dyDescent="0.15">
      <c r="A79" s="1"/>
      <c r="B79" s="446" t="s">
        <v>302</v>
      </c>
      <c r="C79" s="447" t="s">
        <v>418</v>
      </c>
      <c r="D79" s="489" t="s">
        <v>419</v>
      </c>
      <c r="E79" s="438" t="s">
        <v>420</v>
      </c>
      <c r="F79" s="439"/>
      <c r="G79" s="440"/>
      <c r="H79" s="448" t="s">
        <v>421</v>
      </c>
      <c r="I79" s="448" t="s">
        <v>306</v>
      </c>
      <c r="J79" s="448" t="s">
        <v>306</v>
      </c>
      <c r="K79" s="448" t="s">
        <v>306</v>
      </c>
      <c r="L79" s="449" t="s">
        <v>306</v>
      </c>
      <c r="M79" s="414" t="s">
        <v>306</v>
      </c>
      <c r="N79" s="414" t="s">
        <v>422</v>
      </c>
      <c r="O79" s="416"/>
      <c r="P79" s="416"/>
      <c r="Q79" s="416"/>
      <c r="R79" s="416"/>
      <c r="S79" s="416"/>
      <c r="T79" s="416"/>
      <c r="U79" s="416"/>
      <c r="V79" s="416"/>
      <c r="W79" s="416"/>
      <c r="X79" s="416"/>
      <c r="Y79" s="416"/>
      <c r="Z79" s="416"/>
      <c r="AA79" s="416"/>
      <c r="AB79" s="417"/>
      <c r="AC79" s="450" t="s">
        <v>285</v>
      </c>
      <c r="AD79" s="445" t="s">
        <v>286</v>
      </c>
      <c r="AE79" s="1"/>
      <c r="AF79" s="1"/>
      <c r="AG79" s="1"/>
      <c r="AH79" s="1"/>
      <c r="AI79" s="1"/>
    </row>
    <row r="80" spans="1:35" ht="9.9499999999999993" customHeight="1" x14ac:dyDescent="0.15">
      <c r="A80" s="1"/>
      <c r="B80" s="451" t="s">
        <v>308</v>
      </c>
      <c r="C80" s="452" t="s">
        <v>309</v>
      </c>
      <c r="D80" s="492"/>
      <c r="E80" s="453" t="s">
        <v>314</v>
      </c>
      <c r="F80" s="439"/>
      <c r="G80" s="440"/>
      <c r="H80" s="454" t="s">
        <v>423</v>
      </c>
      <c r="I80" s="415"/>
      <c r="J80" s="415"/>
      <c r="K80" s="415"/>
      <c r="L80" s="415"/>
      <c r="M80" s="416"/>
      <c r="N80" s="455" t="s">
        <v>424</v>
      </c>
      <c r="O80" s="416"/>
      <c r="P80" s="416"/>
      <c r="Q80" s="416"/>
      <c r="R80" s="416"/>
      <c r="S80" s="416"/>
      <c r="T80" s="416"/>
      <c r="U80" s="416"/>
      <c r="V80" s="416"/>
      <c r="W80" s="416"/>
      <c r="X80" s="416"/>
      <c r="Y80" s="416"/>
      <c r="Z80" s="416"/>
      <c r="AA80" s="416"/>
      <c r="AB80" s="417"/>
      <c r="AC80" s="456" t="s">
        <v>314</v>
      </c>
      <c r="AD80" s="457" t="s">
        <v>315</v>
      </c>
      <c r="AE80" s="1"/>
      <c r="AF80" s="1"/>
      <c r="AG80" s="1"/>
      <c r="AH80" s="1"/>
      <c r="AI80" s="1"/>
    </row>
    <row r="81" spans="1:35" ht="9.9499999999999993" customHeight="1" x14ac:dyDescent="0.15">
      <c r="A81" s="1"/>
      <c r="B81" s="458"/>
      <c r="C81" s="459"/>
      <c r="D81" s="494"/>
      <c r="E81" s="453" t="s">
        <v>318</v>
      </c>
      <c r="F81" s="439"/>
      <c r="G81" s="440"/>
      <c r="H81" s="454" t="s">
        <v>425</v>
      </c>
      <c r="I81" s="415"/>
      <c r="J81" s="415"/>
      <c r="K81" s="415"/>
      <c r="L81" s="415"/>
      <c r="M81" s="416"/>
      <c r="N81" s="455" t="s">
        <v>426</v>
      </c>
      <c r="O81" s="416"/>
      <c r="P81" s="416"/>
      <c r="Q81" s="416"/>
      <c r="R81" s="416"/>
      <c r="S81" s="416"/>
      <c r="T81" s="416"/>
      <c r="U81" s="416"/>
      <c r="V81" s="416"/>
      <c r="W81" s="416"/>
      <c r="X81" s="416"/>
      <c r="Y81" s="416"/>
      <c r="Z81" s="416"/>
      <c r="AA81" s="416"/>
      <c r="AB81" s="417"/>
      <c r="AC81" s="457" t="s">
        <v>318</v>
      </c>
      <c r="AD81" s="457" t="s">
        <v>319</v>
      </c>
      <c r="AE81" s="1"/>
      <c r="AF81" s="1"/>
      <c r="AG81" s="1"/>
      <c r="AH81" s="1"/>
      <c r="AI81" s="1"/>
    </row>
    <row r="82" spans="1:35" ht="9.9499999999999993" customHeight="1" x14ac:dyDescent="0.15">
      <c r="A82" s="1"/>
      <c r="B82" s="460" t="s">
        <v>320</v>
      </c>
      <c r="C82" s="461" t="s">
        <v>427</v>
      </c>
      <c r="D82" s="462" t="s">
        <v>428</v>
      </c>
      <c r="E82" s="438" t="s">
        <v>323</v>
      </c>
      <c r="F82" s="439"/>
      <c r="G82" s="440"/>
      <c r="H82" s="463" t="s">
        <v>394</v>
      </c>
      <c r="I82" s="435" t="s">
        <v>394</v>
      </c>
      <c r="J82" s="435" t="s">
        <v>394</v>
      </c>
      <c r="K82" s="463" t="s">
        <v>429</v>
      </c>
      <c r="L82" s="436" t="s">
        <v>394</v>
      </c>
      <c r="M82" s="414" t="s">
        <v>394</v>
      </c>
      <c r="N82" s="414" t="s">
        <v>430</v>
      </c>
      <c r="O82" s="416"/>
      <c r="P82" s="416"/>
      <c r="Q82" s="416"/>
      <c r="R82" s="416"/>
      <c r="S82" s="416"/>
      <c r="T82" s="416"/>
      <c r="U82" s="416"/>
      <c r="V82" s="416"/>
      <c r="W82" s="416"/>
      <c r="X82" s="416"/>
      <c r="Y82" s="416"/>
      <c r="Z82" s="416"/>
      <c r="AA82" s="416"/>
      <c r="AB82" s="417"/>
      <c r="AC82" s="450" t="s">
        <v>285</v>
      </c>
      <c r="AD82" s="445" t="s">
        <v>286</v>
      </c>
      <c r="AE82" s="1"/>
      <c r="AF82" s="1"/>
      <c r="AG82" s="1"/>
      <c r="AH82" s="1"/>
      <c r="AI82" s="1"/>
    </row>
    <row r="83" spans="1:35" ht="9.9499999999999993" customHeight="1" x14ac:dyDescent="0.15">
      <c r="A83" s="1"/>
      <c r="B83" s="464" t="s">
        <v>326</v>
      </c>
      <c r="C83" s="465" t="s">
        <v>327</v>
      </c>
      <c r="D83" s="466"/>
      <c r="E83" s="467" t="s">
        <v>431</v>
      </c>
      <c r="F83" s="412"/>
      <c r="G83" s="413"/>
      <c r="H83" s="411" t="s">
        <v>110</v>
      </c>
      <c r="I83" s="468"/>
      <c r="J83" s="468"/>
      <c r="K83" s="468"/>
      <c r="L83" s="468"/>
      <c r="M83" s="421"/>
      <c r="N83" s="411" t="s">
        <v>110</v>
      </c>
      <c r="O83" s="421"/>
      <c r="P83" s="421"/>
      <c r="Q83" s="421"/>
      <c r="R83" s="421"/>
      <c r="S83" s="421"/>
      <c r="T83" s="421"/>
      <c r="U83" s="421"/>
      <c r="V83" s="421"/>
      <c r="W83" s="421"/>
      <c r="X83" s="421"/>
      <c r="Y83" s="421"/>
      <c r="Z83" s="421"/>
      <c r="AA83" s="421"/>
      <c r="AB83" s="418"/>
      <c r="AC83" s="434" t="s">
        <v>431</v>
      </c>
      <c r="AD83" s="434" t="s">
        <v>110</v>
      </c>
      <c r="AE83" s="1"/>
      <c r="AF83" s="1"/>
      <c r="AG83" s="1"/>
      <c r="AH83" s="1"/>
      <c r="AI83" s="1"/>
    </row>
    <row r="84" spans="1:35" ht="9.9499999999999993" customHeight="1" x14ac:dyDescent="0.15">
      <c r="A84" s="1"/>
      <c r="B84" s="492"/>
      <c r="C84" s="447" t="s">
        <v>432</v>
      </c>
      <c r="D84" s="466"/>
      <c r="E84" s="423"/>
      <c r="F84" s="424"/>
      <c r="G84" s="425"/>
      <c r="H84" s="429"/>
      <c r="I84" s="469"/>
      <c r="J84" s="469"/>
      <c r="K84" s="469"/>
      <c r="L84" s="469"/>
      <c r="M84" s="430"/>
      <c r="N84" s="429"/>
      <c r="O84" s="430"/>
      <c r="P84" s="430"/>
      <c r="Q84" s="430"/>
      <c r="R84" s="430"/>
      <c r="S84" s="430"/>
      <c r="T84" s="430"/>
      <c r="U84" s="430"/>
      <c r="V84" s="430"/>
      <c r="W84" s="430"/>
      <c r="X84" s="430"/>
      <c r="Y84" s="430"/>
      <c r="Z84" s="430"/>
      <c r="AA84" s="430"/>
      <c r="AB84" s="431"/>
      <c r="AC84" s="441"/>
      <c r="AD84" s="441"/>
      <c r="AE84" s="1"/>
      <c r="AF84" s="1"/>
      <c r="AG84" s="1"/>
      <c r="AH84" s="1"/>
      <c r="AI84" s="1"/>
    </row>
    <row r="85" spans="1:35" ht="9.9499999999999993" customHeight="1" x14ac:dyDescent="0.15">
      <c r="A85" s="1"/>
      <c r="B85" s="494"/>
      <c r="C85" s="585" t="s">
        <v>331</v>
      </c>
      <c r="D85" s="470"/>
      <c r="E85" s="471" t="s">
        <v>332</v>
      </c>
      <c r="F85" s="439"/>
      <c r="G85" s="440"/>
      <c r="H85" s="414" t="s">
        <v>110</v>
      </c>
      <c r="I85" s="415"/>
      <c r="J85" s="415"/>
      <c r="K85" s="415"/>
      <c r="L85" s="415"/>
      <c r="M85" s="416"/>
      <c r="N85" s="414" t="s">
        <v>110</v>
      </c>
      <c r="O85" s="416"/>
      <c r="P85" s="416"/>
      <c r="Q85" s="416"/>
      <c r="R85" s="416"/>
      <c r="S85" s="416"/>
      <c r="T85" s="416"/>
      <c r="U85" s="416"/>
      <c r="V85" s="416"/>
      <c r="W85" s="416"/>
      <c r="X85" s="416"/>
      <c r="Y85" s="416"/>
      <c r="Z85" s="416"/>
      <c r="AA85" s="416"/>
      <c r="AB85" s="417"/>
      <c r="AC85" s="407" t="s">
        <v>332</v>
      </c>
      <c r="AD85" s="407" t="s">
        <v>110</v>
      </c>
      <c r="AE85" s="1"/>
      <c r="AF85" s="1"/>
      <c r="AG85" s="1"/>
      <c r="AH85" s="1"/>
      <c r="AI85" s="1"/>
    </row>
    <row r="86" spans="1:35" ht="9.9499999999999993" customHeight="1" x14ac:dyDescent="0.15">
      <c r="A86" s="1"/>
      <c r="B86" s="79" t="s">
        <v>333</v>
      </c>
      <c r="C86" s="578"/>
      <c r="D86" s="369"/>
      <c r="E86" s="370"/>
      <c r="F86" s="250"/>
      <c r="G86" s="250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</row>
    <row r="87" spans="1:35" ht="9.9499999999999993" customHeight="1" x14ac:dyDescent="0.15">
      <c r="A87" s="1"/>
      <c r="B87" s="79" t="s">
        <v>334</v>
      </c>
      <c r="C87" s="578"/>
      <c r="D87" s="369"/>
      <c r="E87" s="370"/>
      <c r="F87" s="250"/>
      <c r="G87" s="250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</row>
    <row r="88" spans="1:35" ht="9.9499999999999993" customHeight="1" x14ac:dyDescent="0.15">
      <c r="A88" s="1"/>
      <c r="B88" s="79" t="s">
        <v>335</v>
      </c>
      <c r="C88" s="578"/>
      <c r="D88" s="369"/>
      <c r="E88" s="370"/>
      <c r="F88" s="250"/>
      <c r="G88" s="250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</row>
    <row r="89" spans="1:35" ht="9.9499999999999993" customHeight="1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</row>
    <row r="90" spans="1:35" ht="9.9499999999999993" customHeight="1" x14ac:dyDescent="0.15">
      <c r="A90" s="1"/>
      <c r="B90" s="1"/>
      <c r="C90" s="1"/>
      <c r="D90" s="1"/>
      <c r="E90" s="1"/>
      <c r="F90" s="1" t="s">
        <v>336</v>
      </c>
      <c r="G90" s="1"/>
      <c r="H90" s="1"/>
      <c r="I90" s="1"/>
      <c r="J90" s="1" t="s">
        <v>337</v>
      </c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</row>
    <row r="91" spans="1:35" ht="9.9499999999999993" customHeight="1" x14ac:dyDescent="0.15">
      <c r="A91" s="1"/>
      <c r="B91" s="472" t="s">
        <v>338</v>
      </c>
      <c r="C91" s="473" t="s">
        <v>339</v>
      </c>
      <c r="D91" s="434" t="s">
        <v>433</v>
      </c>
      <c r="E91" s="474" t="s">
        <v>341</v>
      </c>
      <c r="F91" s="455" t="s">
        <v>434</v>
      </c>
      <c r="G91" s="440"/>
      <c r="I91" s="435"/>
      <c r="J91" s="475" t="s">
        <v>341</v>
      </c>
      <c r="K91" s="439"/>
      <c r="L91" s="440"/>
      <c r="M91" s="476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</row>
    <row r="92" spans="1:35" ht="9.9499999999999993" customHeight="1" x14ac:dyDescent="0.15">
      <c r="A92" s="1"/>
      <c r="B92" s="477" t="s">
        <v>308</v>
      </c>
      <c r="C92" s="478" t="s">
        <v>343</v>
      </c>
      <c r="D92" s="437" t="s">
        <v>435</v>
      </c>
      <c r="E92" s="474" t="s">
        <v>291</v>
      </c>
      <c r="F92" s="479">
        <v>10.8</v>
      </c>
      <c r="G92" s="480"/>
      <c r="I92" s="435"/>
      <c r="J92" s="475" t="s">
        <v>291</v>
      </c>
      <c r="K92" s="439"/>
      <c r="L92" s="440"/>
      <c r="M92" s="476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</row>
    <row r="93" spans="1:35" ht="9.9499999999999993" customHeight="1" x14ac:dyDescent="0.15">
      <c r="A93" s="1"/>
      <c r="B93" s="437"/>
      <c r="C93" s="437"/>
      <c r="D93" s="437"/>
      <c r="E93" s="481" t="s">
        <v>294</v>
      </c>
      <c r="F93" s="482">
        <v>56.9</v>
      </c>
      <c r="G93" s="483"/>
      <c r="I93" s="435"/>
      <c r="J93" s="484" t="s">
        <v>294</v>
      </c>
      <c r="K93" s="415"/>
      <c r="L93" s="485"/>
      <c r="M93" s="476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</row>
    <row r="94" spans="1:35" ht="9.9499999999999993" customHeight="1" x14ac:dyDescent="0.15">
      <c r="A94" s="1"/>
      <c r="B94" s="437"/>
      <c r="C94" s="437"/>
      <c r="D94" s="437"/>
      <c r="E94" s="481" t="s">
        <v>297</v>
      </c>
      <c r="F94" s="482">
        <v>27.8</v>
      </c>
      <c r="G94" s="483"/>
      <c r="I94" s="489"/>
      <c r="J94" s="486" t="s">
        <v>297</v>
      </c>
      <c r="K94" s="468"/>
      <c r="L94" s="487"/>
      <c r="M94" s="488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</row>
    <row r="95" spans="1:35" ht="9.9499999999999993" customHeight="1" x14ac:dyDescent="0.15">
      <c r="A95" s="1"/>
      <c r="B95" s="437"/>
      <c r="C95" s="437"/>
      <c r="D95" s="437"/>
      <c r="E95" s="481" t="s">
        <v>300</v>
      </c>
      <c r="F95" s="482">
        <v>4.5999999999999996</v>
      </c>
      <c r="G95" s="483"/>
      <c r="I95" s="489"/>
      <c r="J95" s="486" t="s">
        <v>300</v>
      </c>
      <c r="K95" s="468"/>
      <c r="L95" s="487"/>
      <c r="M95" s="488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</row>
    <row r="96" spans="1:35" ht="9.9499999999999993" customHeight="1" x14ac:dyDescent="0.15">
      <c r="A96" s="1"/>
      <c r="B96" s="240" t="s">
        <v>345</v>
      </c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</row>
    <row r="97" spans="1:35" ht="9.9499999999999993" customHeight="1" x14ac:dyDescent="0.15">
      <c r="A97" s="1"/>
      <c r="B97" s="648" t="s">
        <v>394</v>
      </c>
      <c r="C97" s="648" t="s">
        <v>256</v>
      </c>
      <c r="D97" s="648" t="s">
        <v>436</v>
      </c>
      <c r="E97" s="411" t="s">
        <v>258</v>
      </c>
      <c r="F97" s="421"/>
      <c r="G97" s="490"/>
      <c r="H97" s="414" t="s">
        <v>259</v>
      </c>
      <c r="I97" s="416"/>
      <c r="J97" s="416"/>
      <c r="K97" s="416"/>
      <c r="L97" s="416"/>
      <c r="M97" s="416"/>
      <c r="N97" s="416"/>
      <c r="O97" s="416"/>
      <c r="P97" s="416"/>
      <c r="Q97" s="416"/>
      <c r="R97" s="416"/>
      <c r="S97" s="416"/>
      <c r="T97" s="416"/>
      <c r="U97" s="416"/>
      <c r="V97" s="416"/>
      <c r="W97" s="416"/>
      <c r="X97" s="416"/>
      <c r="Y97" s="416"/>
      <c r="Z97" s="416"/>
      <c r="AA97" s="416"/>
      <c r="AB97" s="417"/>
      <c r="AC97" s="491" t="s">
        <v>260</v>
      </c>
      <c r="AD97" s="418"/>
      <c r="AE97" s="1"/>
      <c r="AF97" s="1"/>
      <c r="AG97" s="1"/>
      <c r="AH97" s="1"/>
      <c r="AI97" s="1"/>
    </row>
    <row r="98" spans="1:35" ht="9.9499999999999993" customHeight="1" x14ac:dyDescent="0.15">
      <c r="A98" s="1"/>
      <c r="B98" s="649"/>
      <c r="C98" s="649"/>
      <c r="D98" s="649"/>
      <c r="E98" s="422"/>
      <c r="F98" s="493"/>
      <c r="G98" s="8"/>
      <c r="H98" s="411" t="s">
        <v>261</v>
      </c>
      <c r="I98" s="421"/>
      <c r="J98" s="421"/>
      <c r="K98" s="421"/>
      <c r="L98" s="421"/>
      <c r="M98" s="421"/>
      <c r="N98" s="414" t="s">
        <v>262</v>
      </c>
      <c r="O98" s="416"/>
      <c r="P98" s="416"/>
      <c r="Q98" s="416"/>
      <c r="R98" s="416"/>
      <c r="S98" s="414" t="s">
        <v>437</v>
      </c>
      <c r="T98" s="416"/>
      <c r="U98" s="416"/>
      <c r="V98" s="416"/>
      <c r="W98" s="416"/>
      <c r="X98" s="414" t="s">
        <v>264</v>
      </c>
      <c r="Y98" s="416"/>
      <c r="Z98" s="416"/>
      <c r="AA98" s="416"/>
      <c r="AB98" s="417"/>
      <c r="AC98" s="422"/>
      <c r="AD98" s="361"/>
      <c r="AE98" s="1"/>
      <c r="AF98" s="1"/>
      <c r="AG98" s="1"/>
      <c r="AH98" s="1"/>
      <c r="AI98" s="1"/>
    </row>
    <row r="99" spans="1:35" ht="9.9499999999999993" customHeight="1" x14ac:dyDescent="0.15">
      <c r="A99" s="1"/>
      <c r="B99" s="649"/>
      <c r="C99" s="649"/>
      <c r="D99" s="649"/>
      <c r="E99" s="422"/>
      <c r="F99" s="493"/>
      <c r="G99" s="8"/>
      <c r="H99" s="240" t="s">
        <v>218</v>
      </c>
      <c r="N99" s="411"/>
      <c r="O99" s="421"/>
      <c r="P99" s="421"/>
      <c r="Q99" s="421"/>
      <c r="R99" s="421"/>
      <c r="S99" s="584"/>
      <c r="T99" s="421"/>
      <c r="U99" s="421"/>
      <c r="V99" s="421"/>
      <c r="W99" s="421"/>
      <c r="X99" s="584"/>
      <c r="Y99" s="421"/>
      <c r="Z99" s="421"/>
      <c r="AA99" s="421"/>
      <c r="AB99" s="418"/>
      <c r="AC99" s="422"/>
      <c r="AD99" s="361"/>
      <c r="AE99" s="1"/>
      <c r="AF99" s="1"/>
      <c r="AG99" s="1"/>
      <c r="AH99" s="1"/>
      <c r="AI99" s="1"/>
    </row>
    <row r="100" spans="1:35" ht="9.9499999999999993" customHeight="1" x14ac:dyDescent="0.15">
      <c r="A100" s="1"/>
      <c r="B100" s="650"/>
      <c r="C100" s="650"/>
      <c r="D100" s="650"/>
      <c r="E100" s="429"/>
      <c r="F100" s="430"/>
      <c r="G100" s="7"/>
      <c r="H100" s="426"/>
      <c r="I100" s="427" t="s">
        <v>220</v>
      </c>
      <c r="J100" s="427"/>
      <c r="K100" s="427"/>
      <c r="L100" s="427"/>
      <c r="M100" s="428"/>
      <c r="N100" s="429"/>
      <c r="O100" s="430"/>
      <c r="P100" s="430"/>
      <c r="Q100" s="430"/>
      <c r="R100" s="430"/>
      <c r="S100" s="430" t="s">
        <v>265</v>
      </c>
      <c r="T100" s="430"/>
      <c r="U100" s="430"/>
      <c r="V100" s="430"/>
      <c r="W100" s="430"/>
      <c r="X100" s="430"/>
      <c r="Y100" s="430"/>
      <c r="Z100" s="430"/>
      <c r="AA100" s="430"/>
      <c r="AB100" s="431"/>
      <c r="AC100" s="429"/>
      <c r="AD100" s="431"/>
      <c r="AE100" s="1"/>
      <c r="AF100" s="1"/>
      <c r="AG100" s="1"/>
      <c r="AH100" s="1"/>
      <c r="AI100" s="1"/>
    </row>
    <row r="101" spans="1:35" ht="9.9499999999999993" customHeight="1" x14ac:dyDescent="0.15">
      <c r="A101" s="1"/>
      <c r="B101" s="3" t="s">
        <v>438</v>
      </c>
      <c r="C101" s="495" t="s">
        <v>439</v>
      </c>
      <c r="D101" s="434" t="s">
        <v>440</v>
      </c>
      <c r="E101" s="411" t="s">
        <v>233</v>
      </c>
      <c r="F101" s="421"/>
      <c r="G101" s="490"/>
      <c r="H101" s="496" t="s">
        <v>396</v>
      </c>
      <c r="I101" s="496" t="s">
        <v>397</v>
      </c>
      <c r="J101" s="496" t="s">
        <v>398</v>
      </c>
      <c r="K101" s="496" t="s">
        <v>399</v>
      </c>
      <c r="L101" s="497" t="s">
        <v>400</v>
      </c>
      <c r="M101" s="497" t="s">
        <v>401</v>
      </c>
      <c r="N101" s="496" t="s">
        <v>402</v>
      </c>
      <c r="O101" s="496" t="s">
        <v>403</v>
      </c>
      <c r="P101" s="496" t="s">
        <v>404</v>
      </c>
      <c r="Q101" s="496" t="s">
        <v>405</v>
      </c>
      <c r="R101" s="497" t="s">
        <v>406</v>
      </c>
      <c r="S101" s="496" t="s">
        <v>407</v>
      </c>
      <c r="T101" s="496" t="s">
        <v>408</v>
      </c>
      <c r="U101" s="496" t="s">
        <v>409</v>
      </c>
      <c r="V101" s="496" t="s">
        <v>410</v>
      </c>
      <c r="W101" s="496" t="s">
        <v>411</v>
      </c>
      <c r="X101" s="496" t="s">
        <v>412</v>
      </c>
      <c r="Y101" s="496" t="s">
        <v>413</v>
      </c>
      <c r="Z101" s="496" t="s">
        <v>414</v>
      </c>
      <c r="AA101" s="496" t="s">
        <v>415</v>
      </c>
      <c r="AB101" s="496" t="s">
        <v>416</v>
      </c>
      <c r="AC101" s="3" t="s">
        <v>285</v>
      </c>
      <c r="AD101" s="3" t="s">
        <v>286</v>
      </c>
      <c r="AE101" s="1"/>
      <c r="AF101" s="1"/>
      <c r="AG101" s="1"/>
      <c r="AH101" s="1"/>
      <c r="AI101" s="1"/>
    </row>
    <row r="102" spans="1:35" ht="9.9499999999999993" customHeight="1" x14ac:dyDescent="0.15">
      <c r="A102" s="1"/>
      <c r="B102" s="4" t="s">
        <v>441</v>
      </c>
      <c r="C102" s="498"/>
      <c r="D102" s="498" t="s">
        <v>354</v>
      </c>
      <c r="E102" s="429"/>
      <c r="F102" s="430"/>
      <c r="G102" s="7"/>
      <c r="H102" s="407" t="s">
        <v>234</v>
      </c>
      <c r="I102" s="407" t="s">
        <v>235</v>
      </c>
      <c r="J102" s="407" t="s">
        <v>236</v>
      </c>
      <c r="K102" s="407" t="s">
        <v>237</v>
      </c>
      <c r="L102" s="414" t="s">
        <v>238</v>
      </c>
      <c r="M102" s="414" t="s">
        <v>239</v>
      </c>
      <c r="N102" s="407" t="s">
        <v>234</v>
      </c>
      <c r="O102" s="407" t="s">
        <v>235</v>
      </c>
      <c r="P102" s="407" t="s">
        <v>236</v>
      </c>
      <c r="Q102" s="407" t="s">
        <v>237</v>
      </c>
      <c r="R102" s="414" t="s">
        <v>238</v>
      </c>
      <c r="S102" s="407" t="s">
        <v>234</v>
      </c>
      <c r="T102" s="407" t="s">
        <v>235</v>
      </c>
      <c r="U102" s="407" t="s">
        <v>236</v>
      </c>
      <c r="V102" s="407" t="s">
        <v>237</v>
      </c>
      <c r="W102" s="407" t="s">
        <v>238</v>
      </c>
      <c r="X102" s="407" t="s">
        <v>234</v>
      </c>
      <c r="Y102" s="407" t="s">
        <v>235</v>
      </c>
      <c r="Z102" s="407" t="s">
        <v>236</v>
      </c>
      <c r="AA102" s="407" t="s">
        <v>237</v>
      </c>
      <c r="AB102" s="407" t="s">
        <v>238</v>
      </c>
      <c r="AC102" s="4"/>
      <c r="AD102" s="4"/>
      <c r="AE102" s="1"/>
      <c r="AF102" s="1"/>
      <c r="AG102" s="1"/>
      <c r="AH102" s="1"/>
      <c r="AI102" s="1"/>
    </row>
    <row r="103" spans="1:35" ht="9.9499999999999993" customHeight="1" x14ac:dyDescent="0.15">
      <c r="A103" s="1"/>
      <c r="B103" s="437"/>
      <c r="C103" s="498"/>
      <c r="E103" s="414" t="s">
        <v>288</v>
      </c>
      <c r="F103" s="416"/>
      <c r="G103" s="499"/>
      <c r="H103" s="414" t="s">
        <v>355</v>
      </c>
      <c r="I103" s="416"/>
      <c r="J103" s="416"/>
      <c r="K103" s="416"/>
      <c r="L103" s="416"/>
      <c r="M103" s="416"/>
      <c r="N103" s="414" t="s">
        <v>355</v>
      </c>
      <c r="O103" s="416"/>
      <c r="P103" s="416"/>
      <c r="Q103" s="416"/>
      <c r="R103" s="416"/>
      <c r="S103" s="414" t="s">
        <v>355</v>
      </c>
      <c r="T103" s="416"/>
      <c r="U103" s="416"/>
      <c r="V103" s="416"/>
      <c r="W103" s="417"/>
      <c r="X103" s="414" t="s">
        <v>355</v>
      </c>
      <c r="Y103" s="416"/>
      <c r="Z103" s="416"/>
      <c r="AA103" s="416"/>
      <c r="AB103" s="417"/>
      <c r="AC103" s="5"/>
      <c r="AD103" s="5"/>
      <c r="AE103" s="1"/>
      <c r="AF103" s="1"/>
      <c r="AG103" s="1"/>
      <c r="AH103" s="1"/>
      <c r="AI103" s="1"/>
    </row>
    <row r="104" spans="1:35" ht="9.9499999999999993" customHeight="1" x14ac:dyDescent="0.15">
      <c r="A104" s="1"/>
      <c r="B104" s="437"/>
      <c r="C104" s="498"/>
      <c r="D104" s="498"/>
      <c r="E104" s="414" t="s">
        <v>291</v>
      </c>
      <c r="F104" s="416"/>
      <c r="G104" s="499"/>
      <c r="H104" s="444">
        <v>7.0000000000000007E-2</v>
      </c>
      <c r="I104" s="444">
        <v>7.3999999999999996E-2</v>
      </c>
      <c r="J104" s="444">
        <v>7.5999999999999998E-2</v>
      </c>
      <c r="K104" s="444">
        <v>6.8000000000000005E-2</v>
      </c>
      <c r="L104" s="408">
        <v>7.0000000000000007E-2</v>
      </c>
      <c r="M104" s="408">
        <v>6.6000000000000003E-2</v>
      </c>
      <c r="N104" s="444">
        <v>7.0000000000000007E-2</v>
      </c>
      <c r="O104" s="444">
        <v>6.8000000000000005E-2</v>
      </c>
      <c r="P104" s="444">
        <v>7.1999999999999995E-2</v>
      </c>
      <c r="Q104" s="444">
        <v>6.8000000000000005E-2</v>
      </c>
      <c r="R104" s="408">
        <v>7.5999999999999998E-2</v>
      </c>
      <c r="S104" s="444">
        <v>7.3999999999999996E-2</v>
      </c>
      <c r="T104" s="444">
        <v>7.5999999999999998E-2</v>
      </c>
      <c r="U104" s="444">
        <v>7.5999999999999998E-2</v>
      </c>
      <c r="V104" s="444">
        <v>7.3999999999999996E-2</v>
      </c>
      <c r="W104" s="444">
        <v>7.0000000000000007E-2</v>
      </c>
      <c r="X104" s="444">
        <v>7.0000000000000007E-2</v>
      </c>
      <c r="Y104" s="444">
        <v>7.0000000000000007E-2</v>
      </c>
      <c r="Z104" s="444">
        <v>7.0000000000000007E-2</v>
      </c>
      <c r="AA104" s="444">
        <v>7.8E-2</v>
      </c>
      <c r="AB104" s="444">
        <v>7.1999999999999995E-2</v>
      </c>
      <c r="AC104" s="2" t="s">
        <v>291</v>
      </c>
      <c r="AD104" s="2" t="s">
        <v>357</v>
      </c>
      <c r="AE104" s="1"/>
      <c r="AF104" s="1"/>
      <c r="AG104" s="1"/>
      <c r="AH104" s="1"/>
      <c r="AI104" s="1"/>
    </row>
    <row r="105" spans="1:35" ht="9.9499999999999993" customHeight="1" x14ac:dyDescent="0.15">
      <c r="A105" s="1"/>
      <c r="B105" s="437"/>
      <c r="C105" s="498"/>
      <c r="D105" s="498"/>
      <c r="E105" s="414" t="s">
        <v>294</v>
      </c>
      <c r="F105" s="416"/>
      <c r="G105" s="499"/>
      <c r="H105" s="444">
        <v>5.6000000000000001E-2</v>
      </c>
      <c r="I105" s="444">
        <v>5.6000000000000001E-2</v>
      </c>
      <c r="J105" s="444">
        <v>5.6000000000000001E-2</v>
      </c>
      <c r="K105" s="444">
        <v>4.5999999999999999E-2</v>
      </c>
      <c r="L105" s="408">
        <v>0.05</v>
      </c>
      <c r="M105" s="408">
        <v>5.1999999999999998E-2</v>
      </c>
      <c r="N105" s="444">
        <v>0.05</v>
      </c>
      <c r="O105" s="444">
        <v>0.05</v>
      </c>
      <c r="P105" s="444">
        <v>5.8000000000000003E-2</v>
      </c>
      <c r="Q105" s="444">
        <v>5.6000000000000001E-2</v>
      </c>
      <c r="R105" s="408">
        <v>5.1999999999999998E-2</v>
      </c>
      <c r="S105" s="444">
        <v>5.1999999999999998E-2</v>
      </c>
      <c r="T105" s="444">
        <v>5.3999999999999999E-2</v>
      </c>
      <c r="U105" s="444">
        <v>5.8000000000000003E-2</v>
      </c>
      <c r="V105" s="444">
        <v>0.06</v>
      </c>
      <c r="W105" s="444">
        <v>4.8000000000000001E-2</v>
      </c>
      <c r="X105" s="444">
        <v>5.1999999999999998E-2</v>
      </c>
      <c r="Y105" s="444">
        <v>5.1999999999999998E-2</v>
      </c>
      <c r="Z105" s="444">
        <v>5.3999999999999999E-2</v>
      </c>
      <c r="AA105" s="444">
        <v>5.6000000000000001E-2</v>
      </c>
      <c r="AB105" s="444">
        <v>0.05</v>
      </c>
      <c r="AC105" s="2" t="s">
        <v>294</v>
      </c>
      <c r="AD105" s="2" t="s">
        <v>358</v>
      </c>
      <c r="AE105" s="1"/>
      <c r="AF105" s="1"/>
      <c r="AG105" s="1"/>
      <c r="AH105" s="1"/>
      <c r="AI105" s="1"/>
    </row>
    <row r="106" spans="1:35" ht="9.9499999999999993" customHeight="1" x14ac:dyDescent="0.15">
      <c r="A106" s="1"/>
      <c r="B106" s="434"/>
      <c r="C106" s="498"/>
      <c r="D106" s="498"/>
      <c r="E106" s="414" t="s">
        <v>297</v>
      </c>
      <c r="F106" s="416"/>
      <c r="G106" s="499"/>
      <c r="H106" s="444">
        <v>5.6000000000000001E-2</v>
      </c>
      <c r="I106" s="444">
        <v>0.06</v>
      </c>
      <c r="J106" s="444">
        <v>6.2E-2</v>
      </c>
      <c r="K106" s="444">
        <v>4.8000000000000001E-2</v>
      </c>
      <c r="L106" s="408">
        <v>5.8000000000000003E-2</v>
      </c>
      <c r="M106" s="408">
        <v>5.3999999999999999E-2</v>
      </c>
      <c r="N106" s="444">
        <v>5.6000000000000001E-2</v>
      </c>
      <c r="O106" s="444">
        <v>5.6000000000000001E-2</v>
      </c>
      <c r="P106" s="444">
        <v>5.8000000000000003E-2</v>
      </c>
      <c r="Q106" s="444">
        <v>5.3999999999999999E-2</v>
      </c>
      <c r="R106" s="408">
        <v>5.6000000000000001E-2</v>
      </c>
      <c r="S106" s="444">
        <v>5.1999999999999998E-2</v>
      </c>
      <c r="T106" s="444">
        <v>5.8000000000000003E-2</v>
      </c>
      <c r="U106" s="444">
        <v>0.06</v>
      </c>
      <c r="V106" s="444">
        <v>0.06</v>
      </c>
      <c r="W106" s="444">
        <v>5.1999999999999998E-2</v>
      </c>
      <c r="X106" s="444">
        <v>5.6000000000000001E-2</v>
      </c>
      <c r="Y106" s="444">
        <v>5.6000000000000001E-2</v>
      </c>
      <c r="Z106" s="444">
        <v>0.05</v>
      </c>
      <c r="AA106" s="444">
        <v>0.06</v>
      </c>
      <c r="AB106" s="444">
        <v>5.8000000000000003E-2</v>
      </c>
      <c r="AC106" s="2" t="s">
        <v>297</v>
      </c>
      <c r="AD106" s="2" t="s">
        <v>359</v>
      </c>
      <c r="AE106" s="1"/>
      <c r="AF106" s="1"/>
      <c r="AG106" s="1"/>
      <c r="AH106" s="1"/>
      <c r="AI106" s="1"/>
    </row>
    <row r="107" spans="1:35" ht="9.9499999999999993" customHeight="1" x14ac:dyDescent="0.15">
      <c r="A107" s="1"/>
      <c r="B107" s="437"/>
      <c r="C107" s="498"/>
      <c r="D107" s="498"/>
      <c r="E107" s="414" t="s">
        <v>300</v>
      </c>
      <c r="F107" s="416"/>
      <c r="G107" s="499"/>
      <c r="H107" s="444">
        <v>7.1999999999999995E-2</v>
      </c>
      <c r="I107" s="444">
        <v>7.0000000000000007E-2</v>
      </c>
      <c r="J107" s="444">
        <v>7.0000000000000007E-2</v>
      </c>
      <c r="K107" s="444">
        <v>7.0000000000000007E-2</v>
      </c>
      <c r="L107" s="408">
        <v>6.6000000000000003E-2</v>
      </c>
      <c r="M107" s="408">
        <v>6.6000000000000003E-2</v>
      </c>
      <c r="N107" s="444">
        <v>0.06</v>
      </c>
      <c r="O107" s="444">
        <v>6.6000000000000003E-2</v>
      </c>
      <c r="P107" s="444">
        <v>7.0000000000000007E-2</v>
      </c>
      <c r="Q107" s="444">
        <v>7.0000000000000007E-2</v>
      </c>
      <c r="R107" s="408">
        <v>7.0000000000000007E-2</v>
      </c>
      <c r="S107" s="444">
        <v>7.0000000000000007E-2</v>
      </c>
      <c r="T107" s="444">
        <v>6.6000000000000003E-2</v>
      </c>
      <c r="U107" s="444">
        <v>7.3999999999999996E-2</v>
      </c>
      <c r="V107" s="444">
        <v>7.0000000000000007E-2</v>
      </c>
      <c r="W107" s="444">
        <v>6.6000000000000003E-2</v>
      </c>
      <c r="X107" s="444">
        <v>6.8000000000000005E-2</v>
      </c>
      <c r="Y107" s="444">
        <v>6.8000000000000005E-2</v>
      </c>
      <c r="Z107" s="444">
        <v>6.8000000000000005E-2</v>
      </c>
      <c r="AA107" s="444">
        <v>7.0000000000000007E-2</v>
      </c>
      <c r="AB107" s="444">
        <v>6.8000000000000005E-2</v>
      </c>
      <c r="AC107" s="2" t="s">
        <v>300</v>
      </c>
      <c r="AD107" s="2" t="s">
        <v>360</v>
      </c>
      <c r="AE107" s="1"/>
      <c r="AF107" s="1"/>
      <c r="AG107" s="1"/>
      <c r="AH107" s="1"/>
      <c r="AI107" s="1"/>
    </row>
    <row r="108" spans="1:35" ht="9.9499999999999993" customHeight="1" x14ac:dyDescent="0.15">
      <c r="A108" s="1"/>
      <c r="B108" s="437"/>
      <c r="C108" s="500"/>
      <c r="D108" s="500"/>
      <c r="E108" s="414" t="s">
        <v>362</v>
      </c>
      <c r="F108" s="416"/>
      <c r="G108" s="499"/>
      <c r="H108" s="444">
        <v>4.5999999999999999E-2</v>
      </c>
      <c r="I108" s="444">
        <v>0.05</v>
      </c>
      <c r="J108" s="444">
        <v>4.2000000000000003E-2</v>
      </c>
      <c r="K108" s="444">
        <v>0.04</v>
      </c>
      <c r="L108" s="408">
        <v>4.2000000000000003E-2</v>
      </c>
      <c r="M108" s="408">
        <v>4.2000000000000003E-2</v>
      </c>
      <c r="N108" s="444">
        <v>0.04</v>
      </c>
      <c r="O108" s="444">
        <v>4.2000000000000003E-2</v>
      </c>
      <c r="P108" s="444">
        <v>4.2000000000000003E-2</v>
      </c>
      <c r="Q108" s="444">
        <v>4.3999999999999997E-2</v>
      </c>
      <c r="R108" s="408">
        <v>4.3999999999999997E-2</v>
      </c>
      <c r="S108" s="444">
        <v>0.04</v>
      </c>
      <c r="T108" s="444">
        <v>4.8000000000000001E-2</v>
      </c>
      <c r="U108" s="444">
        <v>4.3999999999999997E-2</v>
      </c>
      <c r="V108" s="444">
        <v>4.8000000000000001E-2</v>
      </c>
      <c r="W108" s="444">
        <v>3.7999999999999999E-2</v>
      </c>
      <c r="X108" s="444">
        <v>4.2000000000000003E-2</v>
      </c>
      <c r="Y108" s="444">
        <v>0.04</v>
      </c>
      <c r="Z108" s="444">
        <v>0.04</v>
      </c>
      <c r="AA108" s="444">
        <v>4.2000000000000003E-2</v>
      </c>
      <c r="AB108" s="444">
        <v>4.3999999999999997E-2</v>
      </c>
      <c r="AC108" s="2" t="s">
        <v>362</v>
      </c>
      <c r="AD108" s="2" t="s">
        <v>363</v>
      </c>
      <c r="AE108" s="1"/>
      <c r="AF108" s="1"/>
      <c r="AG108" s="1"/>
      <c r="AH108" s="1"/>
      <c r="AI108" s="1"/>
    </row>
    <row r="109" spans="1:35" ht="9.9499999999999993" customHeight="1" x14ac:dyDescent="0.15">
      <c r="A109" s="1"/>
      <c r="B109" s="473" t="s">
        <v>364</v>
      </c>
      <c r="C109" s="473" t="s">
        <v>365</v>
      </c>
      <c r="D109" s="434" t="s">
        <v>442</v>
      </c>
      <c r="E109" s="414" t="s">
        <v>341</v>
      </c>
      <c r="F109" s="416"/>
      <c r="G109" s="499"/>
      <c r="H109" s="414" t="s">
        <v>443</v>
      </c>
      <c r="I109" s="416"/>
      <c r="J109" s="416"/>
      <c r="K109" s="416"/>
      <c r="L109" s="416"/>
      <c r="M109" s="416"/>
      <c r="N109" s="416"/>
      <c r="O109" s="416"/>
      <c r="P109" s="416"/>
      <c r="Q109" s="416"/>
      <c r="R109" s="416"/>
      <c r="S109" s="416"/>
      <c r="T109" s="416"/>
      <c r="U109" s="416"/>
      <c r="V109" s="416"/>
      <c r="W109" s="416"/>
      <c r="X109" s="416"/>
      <c r="Y109" s="416"/>
      <c r="Z109" s="416"/>
      <c r="AA109" s="416"/>
      <c r="AB109" s="417"/>
      <c r="AC109" s="2" t="s">
        <v>285</v>
      </c>
      <c r="AD109" s="2" t="s">
        <v>286</v>
      </c>
      <c r="AE109" s="1"/>
      <c r="AF109" s="1"/>
      <c r="AG109" s="1"/>
      <c r="AH109" s="1"/>
      <c r="AI109" s="1"/>
    </row>
    <row r="110" spans="1:35" ht="9.9499999999999993" customHeight="1" x14ac:dyDescent="0.15">
      <c r="A110" s="1"/>
      <c r="B110" s="501" t="s">
        <v>369</v>
      </c>
      <c r="C110" s="502" t="s">
        <v>343</v>
      </c>
      <c r="D110" s="500"/>
      <c r="E110" s="414" t="s">
        <v>371</v>
      </c>
      <c r="F110" s="416"/>
      <c r="G110" s="499"/>
      <c r="H110" s="414" t="s">
        <v>110</v>
      </c>
      <c r="I110" s="416"/>
      <c r="J110" s="416"/>
      <c r="K110" s="416"/>
      <c r="L110" s="416"/>
      <c r="M110" s="416"/>
      <c r="N110" s="416"/>
      <c r="O110" s="416"/>
      <c r="P110" s="416"/>
      <c r="Q110" s="416"/>
      <c r="R110" s="416"/>
      <c r="S110" s="416"/>
      <c r="T110" s="416"/>
      <c r="U110" s="416"/>
      <c r="V110" s="416"/>
      <c r="W110" s="416"/>
      <c r="X110" s="416"/>
      <c r="Y110" s="416"/>
      <c r="Z110" s="416"/>
      <c r="AA110" s="416"/>
      <c r="AB110" s="417"/>
      <c r="AC110" s="2" t="s">
        <v>371</v>
      </c>
      <c r="AD110" s="2" t="s">
        <v>110</v>
      </c>
      <c r="AE110" s="1"/>
      <c r="AF110" s="1"/>
      <c r="AG110" s="1"/>
      <c r="AH110" s="1"/>
      <c r="AI110" s="1"/>
    </row>
    <row r="111" spans="1:35" ht="9.9499999999999993" customHeight="1" x14ac:dyDescent="0.15">
      <c r="A111" s="1"/>
      <c r="B111" s="240" t="s">
        <v>372</v>
      </c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</row>
    <row r="112" spans="1:35" ht="9.9499999999999993" customHeight="1" x14ac:dyDescent="0.15">
      <c r="A112" s="1"/>
      <c r="B112" s="240" t="s">
        <v>373</v>
      </c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</row>
    <row r="113" spans="1:35" ht="9.9499999999999993" customHeight="1" x14ac:dyDescent="0.15">
      <c r="A113" s="503"/>
      <c r="B113" s="503"/>
      <c r="C113" s="503"/>
      <c r="D113" s="503"/>
      <c r="E113" s="503"/>
      <c r="F113" s="503"/>
      <c r="G113" s="503"/>
      <c r="H113" s="503"/>
      <c r="I113" s="503"/>
      <c r="J113" s="503"/>
      <c r="K113" s="503"/>
      <c r="L113" s="503"/>
      <c r="M113" s="503"/>
      <c r="N113" s="503"/>
      <c r="O113" s="503"/>
      <c r="P113" s="503"/>
      <c r="Q113" s="503"/>
      <c r="R113" s="503"/>
      <c r="S113" s="503"/>
      <c r="T113" s="503"/>
      <c r="U113" s="503"/>
      <c r="V113" s="503"/>
      <c r="W113" s="503"/>
      <c r="X113" s="503"/>
      <c r="Y113" s="503"/>
      <c r="Z113" s="503"/>
      <c r="AA113" s="503"/>
      <c r="AB113" s="503"/>
      <c r="AC113" s="503"/>
      <c r="AD113" s="503"/>
      <c r="AE113" s="503"/>
      <c r="AF113" s="503"/>
      <c r="AG113" s="503"/>
      <c r="AH113" s="503"/>
      <c r="AI113" s="503"/>
    </row>
    <row r="114" spans="1:35" ht="9.9499999999999993" customHeight="1" x14ac:dyDescent="0.15">
      <c r="A114" s="1"/>
      <c r="B114" s="237" t="s">
        <v>444</v>
      </c>
      <c r="C114" s="238"/>
      <c r="D114" s="239" t="s">
        <v>216</v>
      </c>
      <c r="E114" s="238"/>
      <c r="F114" s="238"/>
      <c r="G114" s="238"/>
      <c r="H114" s="238"/>
      <c r="I114" s="238"/>
      <c r="J114" s="238"/>
      <c r="K114" s="238"/>
      <c r="L114" s="238"/>
      <c r="M114" s="238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</row>
    <row r="115" spans="1:35" ht="9.9499999999999993" customHeight="1" x14ac:dyDescent="0.15">
      <c r="A115" s="1"/>
      <c r="B115" s="572" t="s">
        <v>217</v>
      </c>
      <c r="H115" s="579" t="s">
        <v>218</v>
      </c>
      <c r="I115" s="398"/>
      <c r="J115" s="398"/>
      <c r="K115" s="398"/>
      <c r="L115" s="398"/>
      <c r="M115" s="399"/>
      <c r="AA115" s="1"/>
      <c r="AB115" s="1"/>
      <c r="AC115" s="1"/>
      <c r="AD115" s="1"/>
      <c r="AE115" s="1"/>
      <c r="AF115" s="1"/>
      <c r="AG115" s="1"/>
      <c r="AH115" s="1"/>
      <c r="AI115" s="1"/>
    </row>
    <row r="116" spans="1:35" ht="9.9499999999999993" customHeight="1" x14ac:dyDescent="0.15">
      <c r="A116" s="1"/>
      <c r="B116" s="580"/>
      <c r="C116" s="581"/>
      <c r="D116" s="581"/>
      <c r="E116" s="400"/>
      <c r="F116" s="401"/>
      <c r="G116" s="245" t="s">
        <v>445</v>
      </c>
      <c r="H116" s="582"/>
      <c r="I116" s="402" t="s">
        <v>220</v>
      </c>
      <c r="J116" s="402"/>
      <c r="K116" s="402"/>
      <c r="L116" s="403"/>
      <c r="M116" s="404"/>
      <c r="P116" s="1"/>
      <c r="Q116" s="240" t="s">
        <v>221</v>
      </c>
      <c r="R116" s="249"/>
      <c r="S116" s="250"/>
      <c r="T116" s="250"/>
      <c r="U116" s="250"/>
      <c r="V116" s="250"/>
      <c r="W116" s="250"/>
      <c r="AA116" s="1"/>
      <c r="AB116" s="1"/>
      <c r="AC116" s="1"/>
      <c r="AD116" s="1"/>
      <c r="AE116" s="1"/>
      <c r="AF116" s="1"/>
      <c r="AG116" s="1"/>
      <c r="AH116" s="1"/>
      <c r="AI116" s="1"/>
    </row>
    <row r="117" spans="1:35" ht="9.9499999999999993" customHeight="1" x14ac:dyDescent="0.15">
      <c r="A117" s="1"/>
      <c r="B117" s="251" t="s">
        <v>446</v>
      </c>
      <c r="C117" s="252" t="s">
        <v>223</v>
      </c>
      <c r="D117" s="252" t="s">
        <v>447</v>
      </c>
      <c r="E117" s="253" t="s">
        <v>225</v>
      </c>
      <c r="F117" s="254"/>
      <c r="G117" s="405" t="s">
        <v>226</v>
      </c>
      <c r="H117" s="256" t="s">
        <v>448</v>
      </c>
      <c r="I117" s="256" t="s">
        <v>449</v>
      </c>
      <c r="J117" s="256" t="s">
        <v>450</v>
      </c>
      <c r="K117" s="256" t="s">
        <v>451</v>
      </c>
      <c r="L117" s="256" t="s">
        <v>452</v>
      </c>
      <c r="M117" s="256" t="s">
        <v>453</v>
      </c>
      <c r="P117" s="1"/>
      <c r="Q117" s="240" t="s">
        <v>233</v>
      </c>
      <c r="R117" s="256" t="s">
        <v>448</v>
      </c>
      <c r="S117" s="256" t="s">
        <v>454</v>
      </c>
      <c r="T117" s="256" t="s">
        <v>450</v>
      </c>
      <c r="U117" s="256" t="s">
        <v>451</v>
      </c>
      <c r="V117" s="256" t="s">
        <v>452</v>
      </c>
      <c r="W117" s="256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</row>
    <row r="118" spans="1:35" ht="9.9499999999999993" customHeight="1" x14ac:dyDescent="0.15">
      <c r="A118" s="1"/>
      <c r="B118" s="257"/>
      <c r="C118" s="258"/>
      <c r="D118" s="258"/>
      <c r="E118" s="406"/>
      <c r="F118" s="250"/>
      <c r="G118" s="258"/>
      <c r="H118" s="260"/>
      <c r="I118" s="260" t="s">
        <v>235</v>
      </c>
      <c r="J118" s="260" t="s">
        <v>236</v>
      </c>
      <c r="K118" s="260" t="s">
        <v>237</v>
      </c>
      <c r="L118" s="260" t="s">
        <v>238</v>
      </c>
      <c r="M118" s="260" t="s">
        <v>239</v>
      </c>
      <c r="P118" s="1"/>
      <c r="R118" s="261"/>
      <c r="S118" s="262" t="s">
        <v>384</v>
      </c>
      <c r="T118" s="262" t="s">
        <v>385</v>
      </c>
      <c r="U118" s="262" t="s">
        <v>386</v>
      </c>
      <c r="V118" s="262" t="s">
        <v>387</v>
      </c>
      <c r="W118" s="262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</row>
    <row r="119" spans="1:35" ht="9.9499999999999993" customHeight="1" x14ac:dyDescent="0.15">
      <c r="A119" s="1"/>
      <c r="B119" s="263" t="s">
        <v>455</v>
      </c>
      <c r="C119" s="264" t="s">
        <v>456</v>
      </c>
      <c r="D119" s="265" t="s">
        <v>457</v>
      </c>
      <c r="E119" s="266" t="s">
        <v>458</v>
      </c>
      <c r="F119" s="267"/>
      <c r="G119" s="268" t="s">
        <v>459</v>
      </c>
      <c r="H119" s="269">
        <v>480.9</v>
      </c>
      <c r="I119" s="269">
        <v>417.3</v>
      </c>
      <c r="J119" s="269">
        <v>981.6</v>
      </c>
      <c r="K119" s="269">
        <v>600.4</v>
      </c>
      <c r="L119" s="269">
        <v>703.6</v>
      </c>
      <c r="M119" s="270" t="s">
        <v>460</v>
      </c>
      <c r="Q119" s="271" t="s">
        <v>250</v>
      </c>
      <c r="R119" s="272">
        <v>4.2000000000000003E-2</v>
      </c>
      <c r="S119" s="272">
        <v>4.2000000000000003E-2</v>
      </c>
      <c r="T119" s="272">
        <v>4.5999999999999999E-2</v>
      </c>
      <c r="U119" s="272">
        <v>4.5999999999999999E-2</v>
      </c>
      <c r="V119" s="272">
        <v>4.5999999999999999E-2</v>
      </c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</row>
    <row r="120" spans="1:35" ht="9.9499999999999993" customHeight="1" x14ac:dyDescent="0.15">
      <c r="A120" s="1"/>
      <c r="B120" s="257"/>
      <c r="C120" s="258"/>
      <c r="D120" s="273"/>
      <c r="E120" s="274" t="s">
        <v>461</v>
      </c>
      <c r="F120" s="275"/>
      <c r="G120" s="276" t="s">
        <v>462</v>
      </c>
      <c r="H120" s="277">
        <v>950</v>
      </c>
      <c r="I120" s="277">
        <v>960</v>
      </c>
      <c r="J120" s="277">
        <v>980</v>
      </c>
      <c r="K120" s="277">
        <v>970</v>
      </c>
      <c r="L120" s="277">
        <v>950</v>
      </c>
      <c r="M120" s="270" t="s">
        <v>460</v>
      </c>
      <c r="Q120" s="271" t="s">
        <v>252</v>
      </c>
      <c r="R120" s="272">
        <v>4.3999999999999997E-2</v>
      </c>
      <c r="S120" s="272">
        <v>0.05</v>
      </c>
      <c r="T120" s="272">
        <v>4.8000000000000001E-2</v>
      </c>
      <c r="U120" s="272">
        <v>0.05</v>
      </c>
      <c r="V120" s="272">
        <v>4.3999999999999997E-2</v>
      </c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</row>
    <row r="121" spans="1:35" ht="9.9499999999999993" customHeight="1" x14ac:dyDescent="0.15">
      <c r="A121" s="503"/>
      <c r="Q121" s="271" t="s">
        <v>253</v>
      </c>
      <c r="R121" s="272">
        <v>5.1999999999999998E-2</v>
      </c>
      <c r="S121" s="272">
        <v>4.5999999999999999E-2</v>
      </c>
      <c r="T121" s="272">
        <v>5.1999999999999998E-2</v>
      </c>
      <c r="U121" s="272">
        <v>0.05</v>
      </c>
      <c r="V121" s="272">
        <v>4.8000000000000001E-2</v>
      </c>
      <c r="X121" s="503"/>
      <c r="Y121" s="503"/>
      <c r="Z121" s="503"/>
      <c r="AA121" s="503"/>
      <c r="AB121" s="503"/>
      <c r="AC121" s="503"/>
      <c r="AD121" s="503"/>
      <c r="AE121" s="503"/>
      <c r="AF121" s="503"/>
      <c r="AG121" s="503"/>
      <c r="AH121" s="503"/>
      <c r="AI121" s="503"/>
    </row>
    <row r="122" spans="1:35" ht="9.9499999999999993" customHeight="1" x14ac:dyDescent="0.15">
      <c r="A122" s="503"/>
      <c r="Q122" s="271" t="s">
        <v>254</v>
      </c>
      <c r="R122" s="272">
        <v>5.1999999999999998E-2</v>
      </c>
      <c r="S122" s="272">
        <v>0.05</v>
      </c>
      <c r="T122" s="272">
        <v>4.3999999999999997E-2</v>
      </c>
      <c r="U122" s="272">
        <v>4.5999999999999999E-2</v>
      </c>
      <c r="V122" s="272">
        <v>5.1999999999999998E-2</v>
      </c>
      <c r="X122" s="503"/>
      <c r="Y122" s="503"/>
      <c r="Z122" s="503"/>
      <c r="AA122" s="503"/>
      <c r="AB122" s="503"/>
      <c r="AC122" s="503"/>
      <c r="AD122" s="503"/>
      <c r="AE122" s="503"/>
      <c r="AF122" s="503"/>
      <c r="AG122" s="503"/>
      <c r="AH122" s="503"/>
      <c r="AI122" s="503"/>
    </row>
    <row r="123" spans="1:35" ht="9.9499999999999993" customHeight="1" x14ac:dyDescent="0.15">
      <c r="A123" s="503"/>
      <c r="B123" s="493" t="s">
        <v>255</v>
      </c>
      <c r="H123" s="503"/>
      <c r="I123" s="503"/>
      <c r="J123" s="503"/>
      <c r="K123" s="503"/>
      <c r="L123" s="503"/>
      <c r="M123" s="503"/>
      <c r="N123" s="503"/>
      <c r="O123" s="503"/>
      <c r="P123" s="503"/>
      <c r="Q123" s="503"/>
      <c r="R123" s="503"/>
      <c r="S123" s="503"/>
      <c r="T123" s="503"/>
      <c r="U123" s="503"/>
      <c r="V123" s="503"/>
      <c r="W123" s="503"/>
      <c r="X123" s="503"/>
      <c r="Y123" s="503"/>
      <c r="Z123" s="503"/>
      <c r="AA123" s="503"/>
      <c r="AB123" s="503"/>
      <c r="AC123" s="503"/>
      <c r="AD123" s="503"/>
      <c r="AE123" s="503"/>
      <c r="AF123" s="503"/>
      <c r="AG123" s="503"/>
      <c r="AH123" s="503"/>
      <c r="AI123" s="503"/>
    </row>
    <row r="124" spans="1:35" ht="9.9499999999999993" customHeight="1" x14ac:dyDescent="0.15">
      <c r="A124" s="503"/>
      <c r="B124" s="642"/>
      <c r="C124" s="278" t="s">
        <v>256</v>
      </c>
      <c r="D124" s="279" t="s">
        <v>257</v>
      </c>
      <c r="E124" s="280" t="s">
        <v>258</v>
      </c>
      <c r="F124" s="281"/>
      <c r="G124" s="282"/>
      <c r="H124" s="283" t="s">
        <v>259</v>
      </c>
      <c r="I124" s="284"/>
      <c r="J124" s="284"/>
      <c r="K124" s="284"/>
      <c r="L124" s="284"/>
      <c r="M124" s="285"/>
      <c r="N124" s="285"/>
      <c r="O124" s="285"/>
      <c r="P124" s="285"/>
      <c r="Q124" s="285"/>
      <c r="R124" s="285"/>
      <c r="S124" s="285"/>
      <c r="T124" s="285"/>
      <c r="U124" s="285"/>
      <c r="V124" s="285"/>
      <c r="W124" s="285"/>
      <c r="X124" s="285"/>
      <c r="Y124" s="285"/>
      <c r="Z124" s="285"/>
      <c r="AA124" s="285"/>
      <c r="AB124" s="286"/>
      <c r="AC124" s="287" t="s">
        <v>260</v>
      </c>
      <c r="AD124" s="288"/>
      <c r="AE124" s="289"/>
      <c r="AF124" s="289"/>
      <c r="AG124" s="503"/>
      <c r="AH124" s="503"/>
      <c r="AI124" s="503"/>
    </row>
    <row r="125" spans="1:35" ht="9.9499999999999993" customHeight="1" x14ac:dyDescent="0.15">
      <c r="A125" s="503"/>
      <c r="B125" s="643"/>
      <c r="C125" s="290"/>
      <c r="D125" s="290"/>
      <c r="E125" s="291"/>
      <c r="F125" s="250"/>
      <c r="G125" s="292"/>
      <c r="H125" s="293" t="s">
        <v>261</v>
      </c>
      <c r="I125" s="294"/>
      <c r="J125" s="294"/>
      <c r="K125" s="294"/>
      <c r="L125" s="294"/>
      <c r="M125" s="295"/>
      <c r="N125" s="283" t="s">
        <v>262</v>
      </c>
      <c r="O125" s="285"/>
      <c r="P125" s="285"/>
      <c r="Q125" s="285"/>
      <c r="R125" s="286"/>
      <c r="S125" s="283" t="s">
        <v>437</v>
      </c>
      <c r="T125" s="285"/>
      <c r="U125" s="285"/>
      <c r="V125" s="285"/>
      <c r="W125" s="286"/>
      <c r="X125" s="283" t="s">
        <v>264</v>
      </c>
      <c r="Y125" s="285"/>
      <c r="Z125" s="285"/>
      <c r="AA125" s="285"/>
      <c r="AB125" s="286"/>
      <c r="AC125" s="79"/>
      <c r="AD125" s="296"/>
      <c r="AE125" s="289"/>
      <c r="AF125" s="289"/>
      <c r="AG125" s="503"/>
      <c r="AH125" s="503"/>
      <c r="AI125" s="503"/>
    </row>
    <row r="126" spans="1:35" ht="9.9499999999999993" customHeight="1" x14ac:dyDescent="0.15">
      <c r="A126" s="503"/>
      <c r="B126" s="643"/>
      <c r="C126" s="290"/>
      <c r="D126" s="290"/>
      <c r="E126" s="291"/>
      <c r="F126" s="250"/>
      <c r="G126" s="292"/>
      <c r="H126" s="297" t="s">
        <v>218</v>
      </c>
      <c r="I126" s="297"/>
      <c r="J126" s="297"/>
      <c r="K126" s="297"/>
      <c r="L126" s="297"/>
      <c r="M126" s="298"/>
      <c r="N126" s="293"/>
      <c r="O126" s="294"/>
      <c r="P126" s="294"/>
      <c r="Q126" s="294"/>
      <c r="R126" s="295"/>
      <c r="S126" s="293"/>
      <c r="T126" s="294"/>
      <c r="U126" s="294"/>
      <c r="V126" s="294"/>
      <c r="W126" s="295"/>
      <c r="X126" s="293"/>
      <c r="Y126" s="294"/>
      <c r="Z126" s="294"/>
      <c r="AA126" s="294"/>
      <c r="AB126" s="295"/>
      <c r="AC126" s="79"/>
      <c r="AD126" s="296"/>
      <c r="AE126" s="289"/>
      <c r="AF126" s="289"/>
      <c r="AG126" s="503"/>
      <c r="AH126" s="503"/>
      <c r="AI126" s="503"/>
    </row>
    <row r="127" spans="1:35" ht="9.9499999999999993" customHeight="1" x14ac:dyDescent="0.15">
      <c r="A127" s="503"/>
      <c r="B127" s="644"/>
      <c r="C127" s="261"/>
      <c r="D127" s="261"/>
      <c r="E127" s="299"/>
      <c r="F127" s="300"/>
      <c r="G127" s="301"/>
      <c r="H127" s="302"/>
      <c r="I127" s="303" t="s">
        <v>220</v>
      </c>
      <c r="J127" s="303"/>
      <c r="K127" s="303"/>
      <c r="L127" s="303"/>
      <c r="M127" s="304"/>
      <c r="N127" s="305"/>
      <c r="O127" s="305"/>
      <c r="P127" s="305"/>
      <c r="Q127" s="305"/>
      <c r="R127" s="306"/>
      <c r="S127" s="305" t="s">
        <v>265</v>
      </c>
      <c r="T127" s="305"/>
      <c r="U127" s="305"/>
      <c r="V127" s="305"/>
      <c r="W127" s="306"/>
      <c r="X127" s="305"/>
      <c r="Y127" s="305"/>
      <c r="Z127" s="305"/>
      <c r="AA127" s="305"/>
      <c r="AB127" s="306"/>
      <c r="AC127" s="305"/>
      <c r="AD127" s="307"/>
      <c r="AE127" s="289"/>
      <c r="AF127" s="289"/>
      <c r="AG127" s="503"/>
      <c r="AH127" s="503"/>
      <c r="AI127" s="503"/>
    </row>
    <row r="128" spans="1:35" ht="9.9499999999999993" customHeight="1" x14ac:dyDescent="0.15">
      <c r="A128" s="503"/>
      <c r="B128" s="308" t="s">
        <v>463</v>
      </c>
      <c r="C128" s="278" t="s">
        <v>439</v>
      </c>
      <c r="D128" s="86" t="s">
        <v>268</v>
      </c>
      <c r="E128" s="280" t="s">
        <v>226</v>
      </c>
      <c r="F128" s="281"/>
      <c r="G128" s="282"/>
      <c r="H128" s="256" t="s">
        <v>448</v>
      </c>
      <c r="I128" s="256" t="s">
        <v>449</v>
      </c>
      <c r="J128" s="256" t="s">
        <v>450</v>
      </c>
      <c r="K128" s="256" t="s">
        <v>451</v>
      </c>
      <c r="L128" s="256" t="s">
        <v>452</v>
      </c>
      <c r="M128" s="309" t="s">
        <v>453</v>
      </c>
      <c r="N128" s="310" t="s">
        <v>464</v>
      </c>
      <c r="O128" s="311" t="s">
        <v>465</v>
      </c>
      <c r="P128" s="504" t="s">
        <v>466</v>
      </c>
      <c r="Q128" s="504" t="s">
        <v>467</v>
      </c>
      <c r="R128" s="505" t="s">
        <v>468</v>
      </c>
      <c r="S128" s="313" t="s">
        <v>469</v>
      </c>
      <c r="T128" s="313" t="s">
        <v>470</v>
      </c>
      <c r="U128" s="313" t="s">
        <v>471</v>
      </c>
      <c r="V128" s="313" t="s">
        <v>472</v>
      </c>
      <c r="W128" s="314" t="s">
        <v>473</v>
      </c>
      <c r="X128" s="313" t="s">
        <v>474</v>
      </c>
      <c r="Y128" s="313" t="s">
        <v>475</v>
      </c>
      <c r="Z128" s="313" t="s">
        <v>476</v>
      </c>
      <c r="AA128" s="313" t="s">
        <v>477</v>
      </c>
      <c r="AB128" s="314" t="s">
        <v>478</v>
      </c>
      <c r="AC128" s="315" t="s">
        <v>285</v>
      </c>
      <c r="AD128" s="316" t="s">
        <v>286</v>
      </c>
      <c r="AE128" s="289"/>
      <c r="AF128" s="289"/>
      <c r="AG128" s="289"/>
      <c r="AH128" s="503"/>
      <c r="AI128" s="503"/>
    </row>
    <row r="129" spans="1:35" ht="9.9499999999999993" customHeight="1" x14ac:dyDescent="0.15">
      <c r="A129" s="503"/>
      <c r="B129" s="317" t="s">
        <v>287</v>
      </c>
      <c r="C129" s="290"/>
      <c r="D129" s="290"/>
      <c r="E129" s="299"/>
      <c r="F129" s="300"/>
      <c r="G129" s="301"/>
      <c r="H129" s="318" t="s">
        <v>479</v>
      </c>
      <c r="I129" s="319" t="s">
        <v>235</v>
      </c>
      <c r="J129" s="319" t="s">
        <v>236</v>
      </c>
      <c r="K129" s="319" t="s">
        <v>237</v>
      </c>
      <c r="L129" s="319" t="s">
        <v>238</v>
      </c>
      <c r="M129" s="320" t="s">
        <v>239</v>
      </c>
      <c r="N129" s="318" t="s">
        <v>479</v>
      </c>
      <c r="O129" s="319" t="s">
        <v>235</v>
      </c>
      <c r="P129" s="319" t="s">
        <v>236</v>
      </c>
      <c r="Q129" s="319" t="s">
        <v>237</v>
      </c>
      <c r="R129" s="320" t="s">
        <v>238</v>
      </c>
      <c r="S129" s="318" t="s">
        <v>479</v>
      </c>
      <c r="T129" s="319" t="s">
        <v>235</v>
      </c>
      <c r="U129" s="319" t="s">
        <v>236</v>
      </c>
      <c r="V129" s="319" t="s">
        <v>237</v>
      </c>
      <c r="W129" s="320" t="s">
        <v>238</v>
      </c>
      <c r="X129" s="318" t="s">
        <v>479</v>
      </c>
      <c r="Y129" s="319" t="s">
        <v>235</v>
      </c>
      <c r="Z129" s="319" t="s">
        <v>236</v>
      </c>
      <c r="AA129" s="319" t="s">
        <v>237</v>
      </c>
      <c r="AB129" s="320" t="s">
        <v>238</v>
      </c>
      <c r="AC129" s="296"/>
      <c r="AD129" s="321"/>
      <c r="AE129" s="289"/>
      <c r="AF129" s="289"/>
      <c r="AG129" s="289"/>
      <c r="AH129" s="503"/>
      <c r="AI129" s="503"/>
    </row>
    <row r="130" spans="1:35" ht="9.9499999999999993" customHeight="1" x14ac:dyDescent="0.15">
      <c r="A130" s="503"/>
      <c r="B130" s="317"/>
      <c r="C130" s="290"/>
      <c r="D130" s="290"/>
      <c r="E130" s="87" t="s">
        <v>288</v>
      </c>
      <c r="F130" s="322"/>
      <c r="G130" s="323"/>
      <c r="H130" s="283" t="s">
        <v>289</v>
      </c>
      <c r="I130" s="284"/>
      <c r="J130" s="284"/>
      <c r="K130" s="284"/>
      <c r="L130" s="284"/>
      <c r="M130" s="286"/>
      <c r="N130" s="283" t="s">
        <v>289</v>
      </c>
      <c r="O130" s="285"/>
      <c r="P130" s="285"/>
      <c r="Q130" s="285"/>
      <c r="R130" s="286"/>
      <c r="S130" s="283" t="s">
        <v>289</v>
      </c>
      <c r="T130" s="285"/>
      <c r="U130" s="285"/>
      <c r="V130" s="285"/>
      <c r="W130" s="286"/>
      <c r="X130" s="283" t="s">
        <v>289</v>
      </c>
      <c r="Y130" s="285"/>
      <c r="Z130" s="285"/>
      <c r="AA130" s="285"/>
      <c r="AB130" s="286"/>
      <c r="AC130" s="307"/>
      <c r="AD130" s="324"/>
      <c r="AE130" s="289"/>
      <c r="AF130" s="289"/>
      <c r="AG130" s="289"/>
      <c r="AH130" s="503"/>
      <c r="AI130" s="503"/>
    </row>
    <row r="131" spans="1:35" ht="9.9499999999999993" customHeight="1" x14ac:dyDescent="0.15">
      <c r="A131" s="503"/>
      <c r="B131" s="317"/>
      <c r="C131" s="290"/>
      <c r="D131" s="290"/>
      <c r="E131" s="87" t="s">
        <v>480</v>
      </c>
      <c r="F131" s="322"/>
      <c r="G131" s="323"/>
      <c r="H131" s="325">
        <v>0.05</v>
      </c>
      <c r="I131" s="326">
        <v>4.5999999999999999E-2</v>
      </c>
      <c r="J131" s="326">
        <v>4.3999999999999997E-2</v>
      </c>
      <c r="K131" s="326">
        <v>4.2000000000000003E-2</v>
      </c>
      <c r="L131" s="326">
        <v>4.5999999999999999E-2</v>
      </c>
      <c r="M131" s="327">
        <v>4.3999999999999997E-2</v>
      </c>
      <c r="N131" s="325">
        <v>0.05</v>
      </c>
      <c r="O131" s="326">
        <v>4.5999999999999999E-2</v>
      </c>
      <c r="P131" s="326">
        <v>0.04</v>
      </c>
      <c r="Q131" s="326">
        <v>4.3999999999999997E-2</v>
      </c>
      <c r="R131" s="327">
        <v>0.05</v>
      </c>
      <c r="S131" s="325">
        <v>4.3999999999999997E-2</v>
      </c>
      <c r="T131" s="326">
        <v>4.8000000000000001E-2</v>
      </c>
      <c r="U131" s="326">
        <v>0.05</v>
      </c>
      <c r="V131" s="326">
        <v>5.3999999999999999E-2</v>
      </c>
      <c r="W131" s="327">
        <v>4.3999999999999997E-2</v>
      </c>
      <c r="X131" s="325">
        <v>4.8000000000000001E-2</v>
      </c>
      <c r="Y131" s="326">
        <v>4.8000000000000001E-2</v>
      </c>
      <c r="Z131" s="326">
        <v>4.5999999999999999E-2</v>
      </c>
      <c r="AA131" s="326">
        <v>4.2000000000000003E-2</v>
      </c>
      <c r="AB131" s="327">
        <v>4.5999999999999999E-2</v>
      </c>
      <c r="AC131" s="328" t="s">
        <v>291</v>
      </c>
      <c r="AD131" s="329" t="s">
        <v>292</v>
      </c>
      <c r="AE131" s="289"/>
      <c r="AF131" s="289"/>
      <c r="AG131" s="289"/>
      <c r="AH131" s="503"/>
      <c r="AI131" s="503"/>
    </row>
    <row r="132" spans="1:35" ht="9.9499999999999993" customHeight="1" x14ac:dyDescent="0.15">
      <c r="A132" s="503"/>
      <c r="B132" s="317"/>
      <c r="C132" s="290"/>
      <c r="D132" s="290"/>
      <c r="E132" s="87" t="s">
        <v>481</v>
      </c>
      <c r="F132" s="322"/>
      <c r="G132" s="323"/>
      <c r="H132" s="330">
        <v>8.7999999999999995E-2</v>
      </c>
      <c r="I132" s="272">
        <v>7.1999999999999995E-2</v>
      </c>
      <c r="J132" s="272">
        <v>8.4000000000000005E-2</v>
      </c>
      <c r="K132" s="272">
        <v>6.6000000000000003E-2</v>
      </c>
      <c r="L132" s="272">
        <v>8.5999999999999993E-2</v>
      </c>
      <c r="M132" s="331">
        <v>8.5999999999999993E-2</v>
      </c>
      <c r="N132" s="330">
        <v>0.08</v>
      </c>
      <c r="O132" s="272">
        <v>6.6000000000000003E-2</v>
      </c>
      <c r="P132" s="272">
        <v>0.08</v>
      </c>
      <c r="Q132" s="272">
        <v>8.4000000000000005E-2</v>
      </c>
      <c r="R132" s="331">
        <v>7.3999999999999996E-2</v>
      </c>
      <c r="S132" s="330">
        <v>8.4000000000000005E-2</v>
      </c>
      <c r="T132" s="272">
        <v>9.1999999999999998E-2</v>
      </c>
      <c r="U132" s="272">
        <v>6.8000000000000005E-2</v>
      </c>
      <c r="V132" s="272">
        <v>0.09</v>
      </c>
      <c r="W132" s="331">
        <v>7.8E-2</v>
      </c>
      <c r="X132" s="330">
        <v>7.0000000000000007E-2</v>
      </c>
      <c r="Y132" s="272">
        <v>8.2000000000000003E-2</v>
      </c>
      <c r="Z132" s="272">
        <v>7.3999999999999996E-2</v>
      </c>
      <c r="AA132" s="272">
        <v>7.0000000000000007E-2</v>
      </c>
      <c r="AB132" s="331">
        <v>8.4000000000000005E-2</v>
      </c>
      <c r="AC132" s="332" t="s">
        <v>294</v>
      </c>
      <c r="AD132" s="329" t="s">
        <v>295</v>
      </c>
      <c r="AE132" s="289"/>
      <c r="AF132" s="289"/>
      <c r="AG132" s="289"/>
      <c r="AH132" s="503"/>
      <c r="AI132" s="503"/>
    </row>
    <row r="133" spans="1:35" ht="9.9499999999999993" customHeight="1" x14ac:dyDescent="0.15">
      <c r="A133" s="503"/>
      <c r="B133" s="317"/>
      <c r="C133" s="290"/>
      <c r="D133" s="290"/>
      <c r="E133" s="87" t="s">
        <v>482</v>
      </c>
      <c r="F133" s="322"/>
      <c r="G133" s="323"/>
      <c r="H133" s="330">
        <v>5.3999999999999999E-2</v>
      </c>
      <c r="I133" s="272">
        <v>0.05</v>
      </c>
      <c r="J133" s="272">
        <v>5.8000000000000003E-2</v>
      </c>
      <c r="K133" s="272">
        <v>4.3999999999999997E-2</v>
      </c>
      <c r="L133" s="272">
        <v>4.8000000000000001E-2</v>
      </c>
      <c r="M133" s="331">
        <v>5.3999999999999999E-2</v>
      </c>
      <c r="N133" s="330">
        <v>4.8000000000000001E-2</v>
      </c>
      <c r="O133" s="272">
        <v>5.8000000000000003E-2</v>
      </c>
      <c r="P133" s="272">
        <v>0.05</v>
      </c>
      <c r="Q133" s="272">
        <v>4.5999999999999999E-2</v>
      </c>
      <c r="R133" s="331">
        <v>4.5999999999999999E-2</v>
      </c>
      <c r="S133" s="330">
        <v>5.1999999999999998E-2</v>
      </c>
      <c r="T133" s="272">
        <v>6.2E-2</v>
      </c>
      <c r="U133" s="272">
        <v>0.05</v>
      </c>
      <c r="V133" s="272">
        <v>5.8000000000000003E-2</v>
      </c>
      <c r="W133" s="331">
        <v>5.3999999999999999E-2</v>
      </c>
      <c r="X133" s="330">
        <v>0.05</v>
      </c>
      <c r="Y133" s="272">
        <v>5.1999999999999998E-2</v>
      </c>
      <c r="Z133" s="272">
        <v>5.1999999999999998E-2</v>
      </c>
      <c r="AA133" s="272">
        <v>5.1999999999999998E-2</v>
      </c>
      <c r="AB133" s="331">
        <v>0.05</v>
      </c>
      <c r="AC133" s="332" t="s">
        <v>297</v>
      </c>
      <c r="AD133" s="329" t="s">
        <v>298</v>
      </c>
      <c r="AE133" s="289"/>
      <c r="AF133" s="289"/>
      <c r="AG133" s="289"/>
      <c r="AH133" s="503"/>
      <c r="AI133" s="503"/>
    </row>
    <row r="134" spans="1:35" ht="9.9499999999999993" customHeight="1" x14ac:dyDescent="0.15">
      <c r="A134" s="503"/>
      <c r="B134" s="333"/>
      <c r="C134" s="261"/>
      <c r="D134" s="261"/>
      <c r="E134" s="87" t="s">
        <v>483</v>
      </c>
      <c r="F134" s="322"/>
      <c r="G134" s="323"/>
      <c r="H134" s="330">
        <v>4.2000000000000003E-2</v>
      </c>
      <c r="I134" s="272">
        <v>4.2000000000000003E-2</v>
      </c>
      <c r="J134" s="272">
        <v>4.2000000000000003E-2</v>
      </c>
      <c r="K134" s="272">
        <v>0.04</v>
      </c>
      <c r="L134" s="272">
        <v>0.04</v>
      </c>
      <c r="M134" s="331">
        <v>4.3999999999999997E-2</v>
      </c>
      <c r="N134" s="330">
        <v>3.7999999999999999E-2</v>
      </c>
      <c r="O134" s="272">
        <v>4.5999999999999999E-2</v>
      </c>
      <c r="P134" s="272">
        <v>3.7999999999999999E-2</v>
      </c>
      <c r="Q134" s="272">
        <v>4.2000000000000003E-2</v>
      </c>
      <c r="R134" s="331">
        <v>3.4000000000000002E-2</v>
      </c>
      <c r="S134" s="330">
        <v>4.2000000000000003E-2</v>
      </c>
      <c r="T134" s="272">
        <v>4.8000000000000001E-2</v>
      </c>
      <c r="U134" s="272">
        <v>0.04</v>
      </c>
      <c r="V134" s="272">
        <v>4.3999999999999997E-2</v>
      </c>
      <c r="W134" s="331">
        <v>0.04</v>
      </c>
      <c r="X134" s="330">
        <v>0.04</v>
      </c>
      <c r="Y134" s="272">
        <v>0.04</v>
      </c>
      <c r="Z134" s="272">
        <v>3.7999999999999999E-2</v>
      </c>
      <c r="AA134" s="272">
        <v>4.3999999999999997E-2</v>
      </c>
      <c r="AB134" s="331">
        <v>0.04</v>
      </c>
      <c r="AC134" s="332" t="s">
        <v>300</v>
      </c>
      <c r="AD134" s="329" t="s">
        <v>301</v>
      </c>
      <c r="AE134" s="289"/>
      <c r="AF134" s="289"/>
      <c r="AG134" s="289"/>
      <c r="AH134" s="503"/>
      <c r="AI134" s="503"/>
    </row>
    <row r="135" spans="1:35" ht="9.9499999999999993" customHeight="1" x14ac:dyDescent="0.15">
      <c r="A135" s="503"/>
      <c r="B135" s="334" t="s">
        <v>302</v>
      </c>
      <c r="C135" s="335" t="s">
        <v>303</v>
      </c>
      <c r="D135" s="336" t="s">
        <v>484</v>
      </c>
      <c r="E135" s="347" t="s">
        <v>485</v>
      </c>
      <c r="F135" s="506"/>
      <c r="G135" s="507"/>
      <c r="H135" s="508"/>
      <c r="I135" s="338" t="s">
        <v>306</v>
      </c>
      <c r="J135" s="338" t="s">
        <v>306</v>
      </c>
      <c r="K135" s="339" t="s">
        <v>306</v>
      </c>
      <c r="L135" s="339" t="s">
        <v>306</v>
      </c>
      <c r="M135" s="340" t="s">
        <v>306</v>
      </c>
      <c r="N135" s="283" t="s">
        <v>422</v>
      </c>
      <c r="O135" s="285"/>
      <c r="P135" s="285"/>
      <c r="Q135" s="285"/>
      <c r="R135" s="285"/>
      <c r="S135" s="285"/>
      <c r="T135" s="285"/>
      <c r="U135" s="285"/>
      <c r="V135" s="285"/>
      <c r="W135" s="285"/>
      <c r="X135" s="285"/>
      <c r="Y135" s="285"/>
      <c r="Z135" s="285"/>
      <c r="AA135" s="285"/>
      <c r="AB135" s="286"/>
      <c r="AC135" s="357" t="s">
        <v>285</v>
      </c>
      <c r="AD135" s="509" t="s">
        <v>286</v>
      </c>
      <c r="AE135" s="289"/>
      <c r="AF135" s="289"/>
      <c r="AG135" s="289"/>
      <c r="AH135" s="503"/>
      <c r="AI135" s="503"/>
    </row>
    <row r="136" spans="1:35" ht="9.9499999999999993" customHeight="1" x14ac:dyDescent="0.15">
      <c r="A136" s="503"/>
      <c r="B136" s="344" t="s">
        <v>308</v>
      </c>
      <c r="C136" s="345" t="s">
        <v>309</v>
      </c>
      <c r="D136" s="346" t="s">
        <v>486</v>
      </c>
      <c r="E136" s="347" t="s">
        <v>487</v>
      </c>
      <c r="F136" s="506"/>
      <c r="G136" s="507"/>
      <c r="H136" s="348" t="s">
        <v>488</v>
      </c>
      <c r="I136" s="284"/>
      <c r="J136" s="284"/>
      <c r="K136" s="284"/>
      <c r="L136" s="284"/>
      <c r="M136" s="286"/>
      <c r="N136" s="348" t="s">
        <v>489</v>
      </c>
      <c r="O136" s="285"/>
      <c r="P136" s="285"/>
      <c r="Q136" s="285"/>
      <c r="R136" s="285"/>
      <c r="S136" s="285"/>
      <c r="T136" s="285"/>
      <c r="U136" s="285"/>
      <c r="V136" s="285"/>
      <c r="W136" s="285"/>
      <c r="X136" s="285"/>
      <c r="Y136" s="285"/>
      <c r="Z136" s="285"/>
      <c r="AA136" s="285"/>
      <c r="AB136" s="286"/>
      <c r="AC136" s="342" t="s">
        <v>314</v>
      </c>
      <c r="AD136" s="349" t="s">
        <v>315</v>
      </c>
      <c r="AE136" s="289"/>
      <c r="AF136" s="289"/>
      <c r="AG136" s="289"/>
      <c r="AH136" s="503"/>
      <c r="AI136" s="503"/>
    </row>
    <row r="137" spans="1:35" ht="9.9499999999999993" customHeight="1" x14ac:dyDescent="0.15">
      <c r="A137" s="503"/>
      <c r="B137" s="350"/>
      <c r="C137" s="351"/>
      <c r="D137" s="261"/>
      <c r="E137" s="352" t="s">
        <v>490</v>
      </c>
      <c r="F137" s="510"/>
      <c r="G137" s="511"/>
      <c r="H137" s="348" t="s">
        <v>491</v>
      </c>
      <c r="I137" s="284"/>
      <c r="J137" s="284"/>
      <c r="K137" s="284"/>
      <c r="L137" s="284"/>
      <c r="M137" s="286"/>
      <c r="N137" s="348" t="s">
        <v>492</v>
      </c>
      <c r="O137" s="285"/>
      <c r="P137" s="285"/>
      <c r="Q137" s="285"/>
      <c r="R137" s="285"/>
      <c r="S137" s="285"/>
      <c r="T137" s="285"/>
      <c r="U137" s="285"/>
      <c r="V137" s="285"/>
      <c r="W137" s="285"/>
      <c r="X137" s="285"/>
      <c r="Y137" s="285"/>
      <c r="Z137" s="285"/>
      <c r="AA137" s="285"/>
      <c r="AB137" s="286"/>
      <c r="AC137" s="353" t="s">
        <v>318</v>
      </c>
      <c r="AD137" s="349" t="s">
        <v>319</v>
      </c>
      <c r="AE137" s="289"/>
      <c r="AF137" s="289"/>
      <c r="AG137" s="289"/>
      <c r="AH137" s="503"/>
      <c r="AI137" s="503"/>
    </row>
    <row r="138" spans="1:35" ht="9.9499999999999993" customHeight="1" x14ac:dyDescent="0.15">
      <c r="A138" s="503"/>
      <c r="B138" s="308" t="s">
        <v>320</v>
      </c>
      <c r="C138" s="354" t="s">
        <v>493</v>
      </c>
      <c r="D138" s="336" t="s">
        <v>322</v>
      </c>
      <c r="E138" s="355" t="s">
        <v>323</v>
      </c>
      <c r="F138" s="322"/>
      <c r="G138" s="323"/>
      <c r="H138" s="337"/>
      <c r="I138" s="270"/>
      <c r="J138" s="270"/>
      <c r="K138" s="645" t="s">
        <v>494</v>
      </c>
      <c r="L138" s="270"/>
      <c r="M138" s="356"/>
      <c r="N138" s="341" t="s">
        <v>495</v>
      </c>
      <c r="O138" s="285"/>
      <c r="P138" s="285"/>
      <c r="Q138" s="285"/>
      <c r="R138" s="285"/>
      <c r="S138" s="285"/>
      <c r="T138" s="285"/>
      <c r="U138" s="285"/>
      <c r="V138" s="285"/>
      <c r="W138" s="285"/>
      <c r="X138" s="285"/>
      <c r="Y138" s="285"/>
      <c r="Z138" s="285"/>
      <c r="AA138" s="285"/>
      <c r="AB138" s="286"/>
      <c r="AC138" s="357" t="s">
        <v>285</v>
      </c>
      <c r="AD138" s="329" t="s">
        <v>286</v>
      </c>
      <c r="AE138" s="289"/>
      <c r="AF138" s="289"/>
      <c r="AG138" s="289"/>
      <c r="AH138" s="503"/>
      <c r="AI138" s="503"/>
    </row>
    <row r="139" spans="1:35" ht="9.9499999999999993" customHeight="1" x14ac:dyDescent="0.15">
      <c r="A139" s="503"/>
      <c r="B139" s="317" t="s">
        <v>326</v>
      </c>
      <c r="C139" s="358" t="s">
        <v>327</v>
      </c>
      <c r="D139" s="346" t="s">
        <v>328</v>
      </c>
      <c r="E139" s="359" t="s">
        <v>329</v>
      </c>
      <c r="F139" s="281"/>
      <c r="G139" s="282"/>
      <c r="H139" s="293" t="s">
        <v>110</v>
      </c>
      <c r="I139" s="360"/>
      <c r="J139" s="360"/>
      <c r="K139" s="651"/>
      <c r="L139" s="360"/>
      <c r="M139" s="295"/>
      <c r="N139" s="249" t="s">
        <v>110</v>
      </c>
      <c r="O139" s="79"/>
      <c r="P139" s="79"/>
      <c r="Q139" s="79"/>
      <c r="R139" s="79"/>
      <c r="S139" s="79"/>
      <c r="T139" s="79"/>
      <c r="U139" s="79"/>
      <c r="V139" s="79"/>
      <c r="W139" s="79"/>
      <c r="X139" s="79"/>
      <c r="Y139" s="79"/>
      <c r="Z139" s="79"/>
      <c r="AA139" s="79"/>
      <c r="AB139" s="361"/>
      <c r="AC139" s="362" t="s">
        <v>329</v>
      </c>
      <c r="AD139" s="363" t="s">
        <v>110</v>
      </c>
      <c r="AE139" s="289"/>
      <c r="AF139" s="289"/>
      <c r="AG139" s="289"/>
      <c r="AH139" s="503"/>
      <c r="AI139" s="503"/>
    </row>
    <row r="140" spans="1:35" ht="9.9499999999999993" customHeight="1" x14ac:dyDescent="0.15">
      <c r="A140" s="503"/>
      <c r="B140" s="290"/>
      <c r="C140" s="516" t="s">
        <v>330</v>
      </c>
      <c r="D140" s="346"/>
      <c r="E140" s="299"/>
      <c r="F140" s="300"/>
      <c r="G140" s="301"/>
      <c r="H140" s="305"/>
      <c r="I140" s="364"/>
      <c r="J140" s="364"/>
      <c r="K140" s="652"/>
      <c r="L140" s="364"/>
      <c r="M140" s="306"/>
      <c r="N140" s="305"/>
      <c r="O140" s="305"/>
      <c r="P140" s="305"/>
      <c r="Q140" s="305"/>
      <c r="R140" s="305"/>
      <c r="S140" s="305"/>
      <c r="T140" s="305"/>
      <c r="U140" s="305"/>
      <c r="V140" s="305"/>
      <c r="W140" s="305"/>
      <c r="X140" s="305"/>
      <c r="Y140" s="305"/>
      <c r="Z140" s="305"/>
      <c r="AA140" s="305"/>
      <c r="AB140" s="306"/>
      <c r="AC140" s="307"/>
      <c r="AD140" s="324"/>
      <c r="AE140" s="289"/>
      <c r="AF140" s="289"/>
      <c r="AG140" s="289"/>
      <c r="AH140" s="503"/>
      <c r="AI140" s="503"/>
    </row>
    <row r="141" spans="1:35" ht="9.9499999999999993" customHeight="1" x14ac:dyDescent="0.15">
      <c r="A141" s="503"/>
      <c r="B141" s="261"/>
      <c r="C141" s="577" t="s">
        <v>331</v>
      </c>
      <c r="D141" s="365"/>
      <c r="E141" s="366" t="s">
        <v>332</v>
      </c>
      <c r="F141" s="322"/>
      <c r="G141" s="323"/>
      <c r="H141" s="283" t="s">
        <v>110</v>
      </c>
      <c r="I141" s="284"/>
      <c r="J141" s="284"/>
      <c r="K141" s="284"/>
      <c r="L141" s="284"/>
      <c r="M141" s="286"/>
      <c r="N141" s="283" t="s">
        <v>110</v>
      </c>
      <c r="O141" s="285"/>
      <c r="P141" s="285"/>
      <c r="Q141" s="285"/>
      <c r="R141" s="285"/>
      <c r="S141" s="285"/>
      <c r="T141" s="285"/>
      <c r="U141" s="285"/>
      <c r="V141" s="285"/>
      <c r="W141" s="285"/>
      <c r="X141" s="285"/>
      <c r="Y141" s="285"/>
      <c r="Z141" s="285"/>
      <c r="AA141" s="285"/>
      <c r="AB141" s="286"/>
      <c r="AC141" s="367" t="s">
        <v>332</v>
      </c>
      <c r="AD141" s="88" t="s">
        <v>110</v>
      </c>
      <c r="AE141" s="289"/>
      <c r="AF141" s="289"/>
      <c r="AG141" s="289"/>
      <c r="AH141" s="503"/>
      <c r="AI141" s="503"/>
    </row>
    <row r="142" spans="1:35" ht="9.9499999999999993" customHeight="1" x14ac:dyDescent="0.15">
      <c r="A142" s="503"/>
      <c r="B142" s="368" t="s">
        <v>333</v>
      </c>
      <c r="C142" s="578"/>
      <c r="D142" s="369"/>
      <c r="E142" s="370"/>
      <c r="F142" s="250"/>
      <c r="G142" s="250"/>
      <c r="H142" s="503"/>
      <c r="I142" s="503"/>
      <c r="J142" s="503"/>
      <c r="K142" s="503"/>
      <c r="L142" s="503"/>
      <c r="M142" s="503"/>
      <c r="N142" s="503"/>
      <c r="O142" s="503"/>
      <c r="P142" s="503"/>
      <c r="Q142" s="503"/>
      <c r="R142" s="503"/>
      <c r="S142" s="503"/>
      <c r="T142" s="503"/>
      <c r="U142" s="503"/>
      <c r="V142" s="503"/>
      <c r="W142" s="503"/>
      <c r="X142" s="503"/>
      <c r="Y142" s="503"/>
      <c r="Z142" s="503"/>
      <c r="AA142" s="503"/>
      <c r="AB142" s="503"/>
      <c r="AC142" s="503"/>
      <c r="AD142" s="503"/>
      <c r="AE142" s="503"/>
      <c r="AF142" s="503"/>
      <c r="AG142" s="503"/>
      <c r="AH142" s="503"/>
      <c r="AI142" s="503"/>
    </row>
    <row r="143" spans="1:35" ht="9.9499999999999993" customHeight="1" x14ac:dyDescent="0.15">
      <c r="A143" s="503"/>
      <c r="B143" s="368" t="s">
        <v>334</v>
      </c>
      <c r="C143" s="578"/>
      <c r="D143" s="369"/>
      <c r="E143" s="370"/>
      <c r="F143" s="250"/>
      <c r="G143" s="250"/>
      <c r="H143" s="503"/>
      <c r="I143" s="503"/>
      <c r="J143" s="503"/>
      <c r="K143" s="503"/>
      <c r="L143" s="503"/>
      <c r="M143" s="503"/>
      <c r="N143" s="503"/>
      <c r="O143" s="503"/>
      <c r="P143" s="503"/>
      <c r="Q143" s="503"/>
      <c r="R143" s="503"/>
      <c r="S143" s="503"/>
      <c r="T143" s="503"/>
      <c r="U143" s="503"/>
      <c r="V143" s="503"/>
      <c r="W143" s="503"/>
      <c r="X143" s="503"/>
      <c r="Y143" s="503"/>
      <c r="Z143" s="503"/>
      <c r="AA143" s="503"/>
      <c r="AB143" s="503"/>
      <c r="AC143" s="503"/>
      <c r="AD143" s="503"/>
      <c r="AE143" s="503"/>
      <c r="AF143" s="503"/>
      <c r="AG143" s="503"/>
      <c r="AH143" s="503"/>
      <c r="AI143" s="503"/>
    </row>
    <row r="144" spans="1:35" ht="9.9499999999999993" customHeight="1" x14ac:dyDescent="0.15">
      <c r="A144" s="503"/>
      <c r="B144" s="368" t="s">
        <v>335</v>
      </c>
      <c r="C144" s="578"/>
      <c r="D144" s="369"/>
      <c r="E144" s="370"/>
      <c r="F144" s="250"/>
      <c r="G144" s="250"/>
      <c r="H144" s="503"/>
      <c r="I144" s="503"/>
      <c r="J144" s="503"/>
      <c r="K144" s="503"/>
      <c r="L144" s="503"/>
      <c r="M144" s="503"/>
      <c r="N144" s="503"/>
      <c r="O144" s="503"/>
      <c r="P144" s="503"/>
      <c r="Q144" s="503"/>
      <c r="R144" s="503"/>
      <c r="S144" s="503"/>
      <c r="T144" s="503"/>
      <c r="U144" s="503"/>
      <c r="V144" s="503"/>
      <c r="W144" s="503"/>
      <c r="X144" s="503"/>
      <c r="Y144" s="503"/>
      <c r="Z144" s="503"/>
      <c r="AA144" s="503"/>
      <c r="AB144" s="503"/>
      <c r="AC144" s="503"/>
      <c r="AD144" s="503"/>
      <c r="AE144" s="503"/>
      <c r="AF144" s="503"/>
      <c r="AG144" s="503"/>
      <c r="AH144" s="503"/>
      <c r="AI144" s="503"/>
    </row>
    <row r="145" spans="1:35" ht="9.9499999999999993" customHeight="1" x14ac:dyDescent="0.15">
      <c r="A145" s="503"/>
      <c r="F145" s="8" t="s">
        <v>336</v>
      </c>
      <c r="G145" s="8"/>
      <c r="H145" s="8"/>
      <c r="I145" s="8"/>
      <c r="J145" s="8" t="s">
        <v>337</v>
      </c>
      <c r="L145" s="503"/>
      <c r="M145" s="503"/>
      <c r="N145" s="503"/>
      <c r="O145" s="503"/>
      <c r="P145" s="503"/>
      <c r="Q145" s="503"/>
      <c r="R145" s="503"/>
      <c r="S145" s="503"/>
      <c r="T145" s="503"/>
      <c r="U145" s="503"/>
      <c r="V145" s="503"/>
      <c r="W145" s="503"/>
      <c r="X145" s="503"/>
      <c r="Y145" s="503"/>
      <c r="Z145" s="503"/>
      <c r="AA145" s="503"/>
      <c r="AB145" s="503"/>
      <c r="AC145" s="503"/>
      <c r="AD145" s="503"/>
      <c r="AE145" s="503"/>
      <c r="AF145" s="503"/>
      <c r="AG145" s="503"/>
      <c r="AH145" s="503"/>
      <c r="AI145" s="503"/>
    </row>
    <row r="146" spans="1:35" ht="9.9499999999999993" customHeight="1" x14ac:dyDescent="0.15">
      <c r="A146" s="503"/>
      <c r="B146" s="372" t="s">
        <v>338</v>
      </c>
      <c r="C146" s="86" t="s">
        <v>339</v>
      </c>
      <c r="D146" s="86" t="s">
        <v>496</v>
      </c>
      <c r="E146" s="373" t="s">
        <v>341</v>
      </c>
      <c r="F146" s="374" t="s">
        <v>342</v>
      </c>
      <c r="G146" s="375"/>
      <c r="H146" s="493"/>
      <c r="I146" s="376" t="s">
        <v>341</v>
      </c>
      <c r="J146" s="377"/>
      <c r="K146" s="375"/>
      <c r="L146" s="503"/>
      <c r="M146" s="503"/>
      <c r="N146" s="503"/>
      <c r="O146" s="503"/>
      <c r="P146" s="503"/>
      <c r="Q146" s="503"/>
      <c r="R146" s="503"/>
      <c r="S146" s="503"/>
      <c r="T146" s="503"/>
      <c r="U146" s="503"/>
      <c r="V146" s="503"/>
      <c r="W146" s="503"/>
      <c r="X146" s="503"/>
      <c r="Y146" s="503"/>
      <c r="Z146" s="503"/>
      <c r="AA146" s="503"/>
      <c r="AB146" s="503"/>
      <c r="AC146" s="503"/>
      <c r="AD146" s="503"/>
      <c r="AE146" s="503"/>
      <c r="AF146" s="503"/>
      <c r="AG146" s="503"/>
      <c r="AH146" s="503"/>
      <c r="AI146" s="503"/>
    </row>
    <row r="147" spans="1:35" ht="9.9499999999999993" customHeight="1" x14ac:dyDescent="0.15">
      <c r="A147" s="503"/>
      <c r="B147" s="378" t="s">
        <v>308</v>
      </c>
      <c r="C147" s="379" t="s">
        <v>343</v>
      </c>
      <c r="D147" s="379" t="s">
        <v>344</v>
      </c>
      <c r="E147" s="380" t="s">
        <v>291</v>
      </c>
      <c r="F147" s="513">
        <v>10.8</v>
      </c>
      <c r="G147" s="382"/>
      <c r="H147" s="493"/>
      <c r="I147" s="271" t="s">
        <v>291</v>
      </c>
      <c r="J147" s="377"/>
      <c r="K147" s="375"/>
      <c r="L147" s="503"/>
      <c r="M147" s="503"/>
      <c r="N147" s="503"/>
      <c r="O147" s="503"/>
      <c r="P147" s="503"/>
      <c r="Q147" s="503"/>
      <c r="R147" s="503"/>
      <c r="S147" s="503"/>
      <c r="T147" s="503"/>
      <c r="U147" s="503"/>
      <c r="V147" s="503"/>
      <c r="W147" s="503"/>
      <c r="X147" s="503"/>
      <c r="Y147" s="503"/>
      <c r="Z147" s="503"/>
      <c r="AA147" s="503"/>
      <c r="AB147" s="503"/>
      <c r="AC147" s="503"/>
      <c r="AD147" s="503"/>
      <c r="AE147" s="503"/>
      <c r="AF147" s="503"/>
      <c r="AG147" s="503"/>
      <c r="AH147" s="503"/>
      <c r="AI147" s="503"/>
    </row>
    <row r="148" spans="1:35" ht="9.9499999999999993" customHeight="1" x14ac:dyDescent="0.15">
      <c r="A148" s="503"/>
      <c r="B148" s="321"/>
      <c r="C148" s="321"/>
      <c r="D148" s="321"/>
      <c r="E148" s="380" t="s">
        <v>294</v>
      </c>
      <c r="F148" s="513">
        <v>56.9</v>
      </c>
      <c r="G148" s="382"/>
      <c r="H148" s="493"/>
      <c r="I148" s="271" t="s">
        <v>294</v>
      </c>
      <c r="J148" s="383"/>
      <c r="K148" s="384"/>
      <c r="L148" s="503"/>
      <c r="M148" s="503"/>
      <c r="N148" s="503"/>
      <c r="O148" s="503"/>
      <c r="P148" s="503"/>
      <c r="Q148" s="503"/>
      <c r="R148" s="503"/>
      <c r="S148" s="503"/>
      <c r="T148" s="503"/>
      <c r="U148" s="503"/>
      <c r="V148" s="503"/>
      <c r="W148" s="503"/>
      <c r="X148" s="503"/>
      <c r="Y148" s="503"/>
      <c r="Z148" s="503"/>
      <c r="AA148" s="503"/>
      <c r="AB148" s="503"/>
      <c r="AC148" s="503"/>
      <c r="AD148" s="503"/>
      <c r="AE148" s="503"/>
      <c r="AF148" s="503"/>
      <c r="AG148" s="503"/>
      <c r="AH148" s="503"/>
      <c r="AI148" s="503"/>
    </row>
    <row r="149" spans="1:35" ht="9.9499999999999993" customHeight="1" x14ac:dyDescent="0.15">
      <c r="A149" s="503"/>
      <c r="B149" s="321"/>
      <c r="C149" s="321"/>
      <c r="D149" s="321"/>
      <c r="E149" s="380" t="s">
        <v>297</v>
      </c>
      <c r="F149" s="513">
        <v>27.8</v>
      </c>
      <c r="G149" s="382"/>
      <c r="H149" s="493"/>
      <c r="I149" s="271" t="s">
        <v>297</v>
      </c>
      <c r="J149" s="383"/>
      <c r="K149" s="384"/>
      <c r="L149" s="503"/>
      <c r="M149" s="503"/>
      <c r="N149" s="503"/>
      <c r="O149" s="503"/>
      <c r="P149" s="503"/>
      <c r="Q149" s="503"/>
      <c r="R149" s="503"/>
      <c r="S149" s="503"/>
      <c r="T149" s="503"/>
      <c r="U149" s="503"/>
      <c r="V149" s="503"/>
      <c r="W149" s="503"/>
      <c r="X149" s="503"/>
      <c r="Y149" s="503"/>
      <c r="Z149" s="503"/>
      <c r="AA149" s="503"/>
      <c r="AB149" s="503"/>
      <c r="AC149" s="503"/>
      <c r="AD149" s="503"/>
      <c r="AE149" s="503"/>
      <c r="AF149" s="503"/>
      <c r="AG149" s="503"/>
      <c r="AH149" s="503"/>
      <c r="AI149" s="503"/>
    </row>
    <row r="150" spans="1:35" ht="9.9499999999999993" customHeight="1" x14ac:dyDescent="0.15">
      <c r="A150" s="503"/>
      <c r="B150" s="324"/>
      <c r="C150" s="324"/>
      <c r="D150" s="324"/>
      <c r="E150" s="380" t="s">
        <v>300</v>
      </c>
      <c r="F150" s="513">
        <v>4.5999999999999996</v>
      </c>
      <c r="G150" s="382"/>
      <c r="H150" s="493"/>
      <c r="I150" s="271" t="s">
        <v>300</v>
      </c>
      <c r="J150" s="383"/>
      <c r="K150" s="384"/>
      <c r="L150" s="503"/>
      <c r="M150" s="503"/>
      <c r="N150" s="503"/>
      <c r="O150" s="503"/>
      <c r="P150" s="503"/>
      <c r="Q150" s="503"/>
      <c r="R150" s="503"/>
      <c r="S150" s="503"/>
      <c r="T150" s="503"/>
      <c r="U150" s="503"/>
      <c r="V150" s="503"/>
      <c r="W150" s="503"/>
      <c r="X150" s="503"/>
      <c r="Y150" s="503"/>
      <c r="Z150" s="503"/>
      <c r="AA150" s="503"/>
      <c r="AB150" s="503"/>
      <c r="AC150" s="503"/>
      <c r="AD150" s="503"/>
      <c r="AE150" s="503"/>
      <c r="AF150" s="503"/>
      <c r="AG150" s="503"/>
      <c r="AH150" s="503"/>
      <c r="AI150" s="503"/>
    </row>
    <row r="151" spans="1:35" ht="9.9499999999999993" customHeight="1" x14ac:dyDescent="0.15">
      <c r="A151" s="503"/>
      <c r="B151" s="10"/>
      <c r="C151" s="10"/>
      <c r="D151" s="10"/>
      <c r="E151" s="514"/>
      <c r="F151" s="514"/>
      <c r="G151" s="10"/>
      <c r="H151" s="503"/>
      <c r="I151" s="514"/>
      <c r="J151" s="10"/>
      <c r="K151" s="10"/>
      <c r="L151" s="503"/>
      <c r="M151" s="503"/>
      <c r="N151" s="503"/>
      <c r="O151" s="503"/>
      <c r="P151" s="503"/>
      <c r="Q151" s="503"/>
      <c r="R151" s="503"/>
      <c r="S151" s="503"/>
      <c r="T151" s="503"/>
      <c r="U151" s="503"/>
      <c r="V151" s="503"/>
      <c r="W151" s="503"/>
      <c r="X151" s="503"/>
      <c r="Y151" s="503"/>
      <c r="Z151" s="503"/>
      <c r="AA151" s="503"/>
      <c r="AB151" s="503"/>
      <c r="AC151" s="503"/>
      <c r="AD151" s="503"/>
      <c r="AE151" s="503"/>
      <c r="AF151" s="503"/>
      <c r="AG151" s="503"/>
      <c r="AH151" s="503"/>
      <c r="AI151" s="503"/>
    </row>
    <row r="152" spans="1:35" ht="9.9499999999999993" customHeight="1" x14ac:dyDescent="0.15">
      <c r="A152" s="503"/>
      <c r="B152" s="240" t="s">
        <v>345</v>
      </c>
      <c r="H152" s="503"/>
      <c r="I152" s="503"/>
      <c r="J152" s="503"/>
      <c r="K152" s="503"/>
      <c r="L152" s="503"/>
      <c r="M152" s="503"/>
      <c r="N152" s="503"/>
      <c r="O152" s="503"/>
      <c r="P152" s="503"/>
      <c r="Q152" s="503"/>
      <c r="R152" s="503"/>
      <c r="S152" s="503"/>
      <c r="T152" s="503"/>
      <c r="U152" s="503"/>
      <c r="V152" s="503"/>
      <c r="W152" s="503"/>
      <c r="X152" s="503"/>
      <c r="Y152" s="503"/>
      <c r="Z152" s="503"/>
      <c r="AA152" s="503"/>
      <c r="AB152" s="503"/>
      <c r="AC152" s="503"/>
      <c r="AD152" s="503"/>
      <c r="AE152" s="503"/>
      <c r="AF152" s="503"/>
      <c r="AG152" s="503"/>
      <c r="AH152" s="503"/>
      <c r="AI152" s="503"/>
    </row>
    <row r="153" spans="1:35" ht="9.9499999999999993" customHeight="1" x14ac:dyDescent="0.15">
      <c r="A153" s="503"/>
      <c r="B153" s="642"/>
      <c r="C153" s="278" t="s">
        <v>256</v>
      </c>
      <c r="D153" s="279" t="s">
        <v>497</v>
      </c>
      <c r="E153" s="280" t="s">
        <v>258</v>
      </c>
      <c r="F153" s="281"/>
      <c r="G153" s="282"/>
      <c r="H153" s="283" t="s">
        <v>259</v>
      </c>
      <c r="I153" s="284"/>
      <c r="J153" s="284"/>
      <c r="K153" s="284"/>
      <c r="L153" s="284"/>
      <c r="M153" s="285"/>
      <c r="N153" s="285"/>
      <c r="O153" s="285"/>
      <c r="P153" s="285"/>
      <c r="Q153" s="285"/>
      <c r="R153" s="285"/>
      <c r="S153" s="285"/>
      <c r="T153" s="285"/>
      <c r="U153" s="285"/>
      <c r="V153" s="285"/>
      <c r="W153" s="285"/>
      <c r="X153" s="285"/>
      <c r="Y153" s="285"/>
      <c r="Z153" s="285"/>
      <c r="AA153" s="285"/>
      <c r="AB153" s="286"/>
      <c r="AC153" s="287" t="s">
        <v>260</v>
      </c>
      <c r="AD153" s="288"/>
      <c r="AE153" s="289"/>
      <c r="AF153" s="503"/>
      <c r="AG153" s="503"/>
      <c r="AH153" s="503"/>
      <c r="AI153" s="503"/>
    </row>
    <row r="154" spans="1:35" ht="9.9499999999999993" customHeight="1" x14ac:dyDescent="0.15">
      <c r="A154" s="503"/>
      <c r="B154" s="643"/>
      <c r="C154" s="290"/>
      <c r="D154" s="290"/>
      <c r="E154" s="291"/>
      <c r="F154" s="250"/>
      <c r="G154" s="292"/>
      <c r="H154" s="293" t="s">
        <v>261</v>
      </c>
      <c r="I154" s="294"/>
      <c r="J154" s="294"/>
      <c r="K154" s="294"/>
      <c r="L154" s="294"/>
      <c r="M154" s="295"/>
      <c r="N154" s="283" t="s">
        <v>262</v>
      </c>
      <c r="O154" s="285"/>
      <c r="P154" s="285"/>
      <c r="Q154" s="285"/>
      <c r="R154" s="286"/>
      <c r="S154" s="283" t="s">
        <v>498</v>
      </c>
      <c r="T154" s="285"/>
      <c r="U154" s="285"/>
      <c r="V154" s="285"/>
      <c r="W154" s="286"/>
      <c r="X154" s="283" t="s">
        <v>264</v>
      </c>
      <c r="Y154" s="285"/>
      <c r="Z154" s="285"/>
      <c r="AA154" s="285"/>
      <c r="AB154" s="286"/>
      <c r="AC154" s="79"/>
      <c r="AD154" s="296"/>
      <c r="AE154" s="289"/>
      <c r="AF154" s="503"/>
      <c r="AG154" s="503"/>
      <c r="AH154" s="503"/>
      <c r="AI154" s="503"/>
    </row>
    <row r="155" spans="1:35" ht="9.9499999999999993" customHeight="1" x14ac:dyDescent="0.15">
      <c r="A155" s="503"/>
      <c r="B155" s="643"/>
      <c r="C155" s="290"/>
      <c r="D155" s="290"/>
      <c r="E155" s="291"/>
      <c r="F155" s="250"/>
      <c r="G155" s="292"/>
      <c r="H155" s="297" t="s">
        <v>218</v>
      </c>
      <c r="I155" s="297"/>
      <c r="J155" s="297"/>
      <c r="K155" s="297"/>
      <c r="L155" s="297"/>
      <c r="M155" s="298"/>
      <c r="N155" s="293"/>
      <c r="O155" s="294"/>
      <c r="P155" s="294"/>
      <c r="Q155" s="294"/>
      <c r="R155" s="295"/>
      <c r="S155" s="293"/>
      <c r="T155" s="294"/>
      <c r="U155" s="294"/>
      <c r="V155" s="294"/>
      <c r="W155" s="295"/>
      <c r="X155" s="293"/>
      <c r="Y155" s="294"/>
      <c r="Z155" s="294"/>
      <c r="AA155" s="294"/>
      <c r="AB155" s="295"/>
      <c r="AC155" s="79"/>
      <c r="AD155" s="296"/>
      <c r="AE155" s="289"/>
      <c r="AF155" s="503"/>
      <c r="AG155" s="503"/>
      <c r="AH155" s="503"/>
      <c r="AI155" s="503"/>
    </row>
    <row r="156" spans="1:35" ht="9.9499999999999993" customHeight="1" x14ac:dyDescent="0.15">
      <c r="A156" s="503"/>
      <c r="B156" s="644"/>
      <c r="C156" s="261"/>
      <c r="D156" s="261"/>
      <c r="E156" s="299"/>
      <c r="F156" s="300"/>
      <c r="G156" s="301"/>
      <c r="H156" s="302"/>
      <c r="I156" s="303" t="s">
        <v>220</v>
      </c>
      <c r="J156" s="303"/>
      <c r="K156" s="303"/>
      <c r="L156" s="303"/>
      <c r="M156" s="304"/>
      <c r="N156" s="305"/>
      <c r="O156" s="305"/>
      <c r="P156" s="305"/>
      <c r="Q156" s="305"/>
      <c r="R156" s="306"/>
      <c r="S156" s="305" t="s">
        <v>265</v>
      </c>
      <c r="T156" s="305"/>
      <c r="U156" s="305"/>
      <c r="V156" s="305"/>
      <c r="W156" s="306"/>
      <c r="X156" s="305"/>
      <c r="Y156" s="305"/>
      <c r="Z156" s="305"/>
      <c r="AA156" s="305"/>
      <c r="AB156" s="306"/>
      <c r="AC156" s="305"/>
      <c r="AD156" s="307"/>
      <c r="AE156" s="289"/>
      <c r="AF156" s="503"/>
      <c r="AG156" s="503"/>
      <c r="AH156" s="503"/>
      <c r="AI156" s="503"/>
    </row>
    <row r="157" spans="1:35" ht="9.9499999999999993" customHeight="1" x14ac:dyDescent="0.15">
      <c r="A157" s="503"/>
      <c r="B157" s="86" t="s">
        <v>499</v>
      </c>
      <c r="C157" s="278" t="s">
        <v>500</v>
      </c>
      <c r="D157" s="278" t="s">
        <v>501</v>
      </c>
      <c r="E157" s="280" t="s">
        <v>502</v>
      </c>
      <c r="F157" s="281"/>
      <c r="G157" s="282"/>
      <c r="H157" s="256" t="s">
        <v>503</v>
      </c>
      <c r="I157" s="256" t="s">
        <v>504</v>
      </c>
      <c r="J157" s="256" t="s">
        <v>505</v>
      </c>
      <c r="K157" s="256" t="s">
        <v>506</v>
      </c>
      <c r="L157" s="256" t="s">
        <v>507</v>
      </c>
      <c r="M157" s="309" t="s">
        <v>508</v>
      </c>
      <c r="N157" s="310" t="s">
        <v>464</v>
      </c>
      <c r="O157" s="311" t="s">
        <v>465</v>
      </c>
      <c r="P157" s="504" t="s">
        <v>509</v>
      </c>
      <c r="Q157" s="504" t="s">
        <v>467</v>
      </c>
      <c r="R157" s="505" t="s">
        <v>468</v>
      </c>
      <c r="S157" s="313" t="s">
        <v>510</v>
      </c>
      <c r="T157" s="313" t="s">
        <v>470</v>
      </c>
      <c r="U157" s="313" t="s">
        <v>471</v>
      </c>
      <c r="V157" s="313" t="s">
        <v>472</v>
      </c>
      <c r="W157" s="314" t="s">
        <v>473</v>
      </c>
      <c r="X157" s="313" t="s">
        <v>511</v>
      </c>
      <c r="Y157" s="313" t="s">
        <v>475</v>
      </c>
      <c r="Z157" s="313" t="s">
        <v>476</v>
      </c>
      <c r="AA157" s="313" t="s">
        <v>477</v>
      </c>
      <c r="AB157" s="314" t="s">
        <v>478</v>
      </c>
      <c r="AC157" s="387"/>
      <c r="AD157" s="86"/>
      <c r="AE157" s="503"/>
      <c r="AF157" s="503"/>
      <c r="AG157" s="503"/>
      <c r="AH157" s="503"/>
      <c r="AI157" s="503"/>
    </row>
    <row r="158" spans="1:35" ht="9.9499999999999993" customHeight="1" x14ac:dyDescent="0.15">
      <c r="A158" s="503"/>
      <c r="B158" s="379" t="s">
        <v>512</v>
      </c>
      <c r="C158" s="290"/>
      <c r="D158" s="290" t="s">
        <v>354</v>
      </c>
      <c r="E158" s="299"/>
      <c r="F158" s="300"/>
      <c r="G158" s="301"/>
      <c r="H158" s="318" t="s">
        <v>479</v>
      </c>
      <c r="I158" s="319" t="s">
        <v>235</v>
      </c>
      <c r="J158" s="319" t="s">
        <v>236</v>
      </c>
      <c r="K158" s="319" t="s">
        <v>237</v>
      </c>
      <c r="L158" s="319" t="s">
        <v>238</v>
      </c>
      <c r="M158" s="320" t="s">
        <v>239</v>
      </c>
      <c r="N158" s="318" t="s">
        <v>479</v>
      </c>
      <c r="O158" s="319" t="s">
        <v>235</v>
      </c>
      <c r="P158" s="319" t="s">
        <v>236</v>
      </c>
      <c r="Q158" s="319" t="s">
        <v>237</v>
      </c>
      <c r="R158" s="320" t="s">
        <v>238</v>
      </c>
      <c r="S158" s="318" t="s">
        <v>479</v>
      </c>
      <c r="T158" s="319" t="s">
        <v>235</v>
      </c>
      <c r="U158" s="319" t="s">
        <v>236</v>
      </c>
      <c r="V158" s="319" t="s">
        <v>237</v>
      </c>
      <c r="W158" s="320" t="s">
        <v>238</v>
      </c>
      <c r="X158" s="318" t="s">
        <v>479</v>
      </c>
      <c r="Y158" s="319" t="s">
        <v>235</v>
      </c>
      <c r="Z158" s="319" t="s">
        <v>236</v>
      </c>
      <c r="AA158" s="319" t="s">
        <v>237</v>
      </c>
      <c r="AB158" s="320" t="s">
        <v>238</v>
      </c>
      <c r="AC158" s="296"/>
      <c r="AD158" s="321"/>
      <c r="AE158" s="503"/>
      <c r="AF158" s="503"/>
      <c r="AG158" s="503"/>
      <c r="AH158" s="503"/>
      <c r="AI158" s="503"/>
    </row>
    <row r="159" spans="1:35" ht="9.9499999999999993" customHeight="1" x14ac:dyDescent="0.15">
      <c r="A159" s="503"/>
      <c r="B159" s="317"/>
      <c r="C159" s="290"/>
      <c r="D159" s="290"/>
      <c r="E159" s="87" t="s">
        <v>288</v>
      </c>
      <c r="F159" s="300"/>
      <c r="G159" s="301"/>
      <c r="H159" s="283" t="s">
        <v>355</v>
      </c>
      <c r="I159" s="284"/>
      <c r="J159" s="284"/>
      <c r="K159" s="284"/>
      <c r="L159" s="284"/>
      <c r="M159" s="286"/>
      <c r="N159" s="283" t="s">
        <v>355</v>
      </c>
      <c r="O159" s="285"/>
      <c r="P159" s="285"/>
      <c r="Q159" s="285"/>
      <c r="R159" s="286"/>
      <c r="S159" s="283" t="s">
        <v>355</v>
      </c>
      <c r="T159" s="285"/>
      <c r="U159" s="285"/>
      <c r="V159" s="285"/>
      <c r="W159" s="286"/>
      <c r="X159" s="283" t="s">
        <v>355</v>
      </c>
      <c r="Y159" s="285"/>
      <c r="Z159" s="285"/>
      <c r="AA159" s="285"/>
      <c r="AB159" s="286"/>
      <c r="AC159" s="307"/>
      <c r="AD159" s="324"/>
      <c r="AE159" s="503"/>
      <c r="AF159" s="503"/>
      <c r="AG159" s="503"/>
      <c r="AH159" s="503"/>
      <c r="AI159" s="503"/>
    </row>
    <row r="160" spans="1:35" ht="9.9499999999999993" customHeight="1" x14ac:dyDescent="0.15">
      <c r="A160" s="503"/>
      <c r="B160" s="317"/>
      <c r="C160" s="290"/>
      <c r="D160" s="290"/>
      <c r="E160" s="87" t="s">
        <v>480</v>
      </c>
      <c r="F160" s="322"/>
      <c r="G160" s="323"/>
      <c r="H160" s="325">
        <v>8.7999999999999995E-2</v>
      </c>
      <c r="I160" s="326">
        <v>8.2000000000000003E-2</v>
      </c>
      <c r="J160" s="326">
        <v>8.7999999999999995E-2</v>
      </c>
      <c r="K160" s="326">
        <v>8.7999999999999995E-2</v>
      </c>
      <c r="L160" s="326">
        <v>9.1999999999999998E-2</v>
      </c>
      <c r="M160" s="327">
        <v>9.4E-2</v>
      </c>
      <c r="N160" s="325">
        <v>0.08</v>
      </c>
      <c r="O160" s="326">
        <v>7.8E-2</v>
      </c>
      <c r="P160" s="326">
        <v>9.4E-2</v>
      </c>
      <c r="Q160" s="326">
        <v>9.1999999999999998E-2</v>
      </c>
      <c r="R160" s="327">
        <v>8.4000000000000005E-2</v>
      </c>
      <c r="S160" s="325">
        <v>9.4E-2</v>
      </c>
      <c r="T160" s="326">
        <v>0.10199999999999999</v>
      </c>
      <c r="U160" s="326">
        <v>8.5999999999999993E-2</v>
      </c>
      <c r="V160" s="326">
        <v>0.106</v>
      </c>
      <c r="W160" s="327">
        <v>8.2000000000000003E-2</v>
      </c>
      <c r="X160" s="325">
        <v>9.1999999999999998E-2</v>
      </c>
      <c r="Y160" s="326">
        <v>9.1999999999999998E-2</v>
      </c>
      <c r="Z160" s="326">
        <v>8.2000000000000003E-2</v>
      </c>
      <c r="AA160" s="326">
        <v>8.7999999999999995E-2</v>
      </c>
      <c r="AB160" s="327">
        <v>9.1999999999999998E-2</v>
      </c>
      <c r="AC160" s="328" t="s">
        <v>291</v>
      </c>
      <c r="AD160" s="329" t="s">
        <v>357</v>
      </c>
      <c r="AE160" s="503"/>
      <c r="AF160" s="503"/>
      <c r="AG160" s="503"/>
      <c r="AH160" s="503"/>
      <c r="AI160" s="503"/>
    </row>
    <row r="161" spans="1:35" ht="9.9499999999999993" customHeight="1" x14ac:dyDescent="0.15">
      <c r="A161" s="503"/>
      <c r="B161" s="317"/>
      <c r="C161" s="290"/>
      <c r="D161" s="290"/>
      <c r="E161" s="87" t="s">
        <v>481</v>
      </c>
      <c r="F161" s="322"/>
      <c r="G161" s="323"/>
      <c r="H161" s="330">
        <v>6.6000000000000003E-2</v>
      </c>
      <c r="I161" s="272">
        <v>7.0000000000000007E-2</v>
      </c>
      <c r="J161" s="272">
        <v>6.2E-2</v>
      </c>
      <c r="K161" s="272">
        <v>6.8000000000000005E-2</v>
      </c>
      <c r="L161" s="272">
        <v>6.4000000000000001E-2</v>
      </c>
      <c r="M161" s="331">
        <v>6.6000000000000003E-2</v>
      </c>
      <c r="N161" s="330">
        <v>0.06</v>
      </c>
      <c r="O161" s="272">
        <v>0.06</v>
      </c>
      <c r="P161" s="272">
        <v>6.8000000000000005E-2</v>
      </c>
      <c r="Q161" s="272">
        <v>6.4000000000000001E-2</v>
      </c>
      <c r="R161" s="331">
        <v>6.8000000000000005E-2</v>
      </c>
      <c r="S161" s="330">
        <v>0.06</v>
      </c>
      <c r="T161" s="272">
        <v>8.2000000000000003E-2</v>
      </c>
      <c r="U161" s="272">
        <v>6.2E-2</v>
      </c>
      <c r="V161" s="272">
        <v>7.3999999999999996E-2</v>
      </c>
      <c r="W161" s="331">
        <v>5.8000000000000003E-2</v>
      </c>
      <c r="X161" s="330">
        <v>5.8000000000000003E-2</v>
      </c>
      <c r="Y161" s="272">
        <v>7.1999999999999995E-2</v>
      </c>
      <c r="Z161" s="272">
        <v>0.06</v>
      </c>
      <c r="AA161" s="272">
        <v>6.6000000000000003E-2</v>
      </c>
      <c r="AB161" s="331">
        <v>6.2E-2</v>
      </c>
      <c r="AC161" s="332" t="s">
        <v>294</v>
      </c>
      <c r="AD161" s="329" t="s">
        <v>358</v>
      </c>
      <c r="AE161" s="503"/>
      <c r="AF161" s="503"/>
      <c r="AG161" s="503"/>
      <c r="AH161" s="503"/>
      <c r="AI161" s="503"/>
    </row>
    <row r="162" spans="1:35" ht="9.9499999999999993" customHeight="1" x14ac:dyDescent="0.15">
      <c r="A162" s="503"/>
      <c r="B162" s="317"/>
      <c r="C162" s="290"/>
      <c r="D162" s="290"/>
      <c r="E162" s="87" t="s">
        <v>482</v>
      </c>
      <c r="F162" s="322"/>
      <c r="G162" s="323"/>
      <c r="H162" s="330">
        <v>6.2E-2</v>
      </c>
      <c r="I162" s="272">
        <v>7.3999999999999996E-2</v>
      </c>
      <c r="J162" s="272">
        <v>6.8000000000000005E-2</v>
      </c>
      <c r="K162" s="272">
        <v>7.0000000000000007E-2</v>
      </c>
      <c r="L162" s="272">
        <v>6.8000000000000005E-2</v>
      </c>
      <c r="M162" s="331">
        <v>6.8000000000000005E-2</v>
      </c>
      <c r="N162" s="330">
        <v>6.4000000000000001E-2</v>
      </c>
      <c r="O162" s="272">
        <v>6.2E-2</v>
      </c>
      <c r="P162" s="272">
        <v>7.1999999999999995E-2</v>
      </c>
      <c r="Q162" s="272">
        <v>6.8000000000000005E-2</v>
      </c>
      <c r="R162" s="331">
        <v>7.0000000000000007E-2</v>
      </c>
      <c r="S162" s="330">
        <v>7.3999999999999996E-2</v>
      </c>
      <c r="T162" s="272">
        <v>7.3999999999999996E-2</v>
      </c>
      <c r="U162" s="272">
        <v>7.0000000000000007E-2</v>
      </c>
      <c r="V162" s="272">
        <v>8.2000000000000003E-2</v>
      </c>
      <c r="W162" s="331">
        <v>6.6000000000000003E-2</v>
      </c>
      <c r="X162" s="330">
        <v>6.6000000000000003E-2</v>
      </c>
      <c r="Y162" s="272">
        <v>6.6000000000000003E-2</v>
      </c>
      <c r="Z162" s="272">
        <v>6.6000000000000003E-2</v>
      </c>
      <c r="AA162" s="272">
        <v>6.4000000000000001E-2</v>
      </c>
      <c r="AB162" s="331">
        <v>6.8000000000000005E-2</v>
      </c>
      <c r="AC162" s="332" t="s">
        <v>297</v>
      </c>
      <c r="AD162" s="329" t="s">
        <v>359</v>
      </c>
      <c r="AE162" s="503"/>
      <c r="AF162" s="503"/>
      <c r="AG162" s="503"/>
      <c r="AH162" s="503"/>
      <c r="AI162" s="503"/>
    </row>
    <row r="163" spans="1:35" ht="9.9499999999999993" customHeight="1" x14ac:dyDescent="0.15">
      <c r="A163" s="503"/>
      <c r="B163" s="317"/>
      <c r="C163" s="290"/>
      <c r="D163" s="290"/>
      <c r="E163" s="87" t="s">
        <v>483</v>
      </c>
      <c r="F163" s="322"/>
      <c r="G163" s="323"/>
      <c r="H163" s="330">
        <v>8.4000000000000005E-2</v>
      </c>
      <c r="I163" s="272">
        <v>8.2000000000000003E-2</v>
      </c>
      <c r="J163" s="272">
        <v>8.2000000000000003E-2</v>
      </c>
      <c r="K163" s="272">
        <v>8.4000000000000005E-2</v>
      </c>
      <c r="L163" s="272">
        <v>0.08</v>
      </c>
      <c r="M163" s="331">
        <v>9.4E-2</v>
      </c>
      <c r="N163" s="330">
        <v>7.5999999999999998E-2</v>
      </c>
      <c r="O163" s="272">
        <v>7.5999999999999998E-2</v>
      </c>
      <c r="P163" s="272">
        <v>8.4000000000000005E-2</v>
      </c>
      <c r="Q163" s="272">
        <v>8.5999999999999993E-2</v>
      </c>
      <c r="R163" s="331">
        <v>7.5999999999999998E-2</v>
      </c>
      <c r="S163" s="330">
        <v>9.4E-2</v>
      </c>
      <c r="T163" s="272">
        <v>9.4E-2</v>
      </c>
      <c r="U163" s="272">
        <v>8.7999999999999995E-2</v>
      </c>
      <c r="V163" s="272">
        <v>9.1999999999999998E-2</v>
      </c>
      <c r="W163" s="331">
        <v>7.3999999999999996E-2</v>
      </c>
      <c r="X163" s="330">
        <v>8.5999999999999993E-2</v>
      </c>
      <c r="Y163" s="272">
        <v>8.2000000000000003E-2</v>
      </c>
      <c r="Z163" s="272">
        <v>7.8E-2</v>
      </c>
      <c r="AA163" s="272">
        <v>0.09</v>
      </c>
      <c r="AB163" s="331">
        <v>7.8E-2</v>
      </c>
      <c r="AC163" s="388" t="s">
        <v>300</v>
      </c>
      <c r="AD163" s="389" t="s">
        <v>360</v>
      </c>
      <c r="AE163" s="503"/>
      <c r="AF163" s="503"/>
      <c r="AG163" s="503"/>
      <c r="AH163" s="503"/>
      <c r="AI163" s="503"/>
    </row>
    <row r="164" spans="1:35" ht="9.9499999999999993" customHeight="1" x14ac:dyDescent="0.15">
      <c r="A164" s="503"/>
      <c r="B164" s="333"/>
      <c r="C164" s="261"/>
      <c r="D164" s="261"/>
      <c r="E164" s="87" t="s">
        <v>513</v>
      </c>
      <c r="F164" s="322"/>
      <c r="G164" s="323"/>
      <c r="H164" s="390">
        <v>4.8000000000000001E-2</v>
      </c>
      <c r="I164" s="391">
        <v>5.6000000000000001E-2</v>
      </c>
      <c r="J164" s="391">
        <v>5.3999999999999999E-2</v>
      </c>
      <c r="K164" s="391">
        <v>4.3999999999999997E-2</v>
      </c>
      <c r="L164" s="391">
        <v>0.05</v>
      </c>
      <c r="M164" s="392">
        <v>5.1999999999999998E-2</v>
      </c>
      <c r="N164" s="390">
        <v>4.5999999999999999E-2</v>
      </c>
      <c r="O164" s="391">
        <v>0.05</v>
      </c>
      <c r="P164" s="391">
        <v>4.5999999999999999E-2</v>
      </c>
      <c r="Q164" s="391">
        <v>4.3999999999999997E-2</v>
      </c>
      <c r="R164" s="392">
        <v>4.2000000000000003E-2</v>
      </c>
      <c r="S164" s="390">
        <v>5.3999999999999999E-2</v>
      </c>
      <c r="T164" s="391">
        <v>0.06</v>
      </c>
      <c r="U164" s="391">
        <v>5.3999999999999999E-2</v>
      </c>
      <c r="V164" s="391">
        <v>6.2E-2</v>
      </c>
      <c r="W164" s="392">
        <v>4.5999999999999999E-2</v>
      </c>
      <c r="X164" s="390">
        <v>0.06</v>
      </c>
      <c r="Y164" s="391">
        <v>4.8000000000000001E-2</v>
      </c>
      <c r="Z164" s="391">
        <v>0.05</v>
      </c>
      <c r="AA164" s="391">
        <v>5.6000000000000001E-2</v>
      </c>
      <c r="AB164" s="393">
        <v>4.5999999999999999E-2</v>
      </c>
      <c r="AC164" s="357" t="s">
        <v>362</v>
      </c>
      <c r="AD164" s="394" t="s">
        <v>363</v>
      </c>
      <c r="AE164" s="503"/>
      <c r="AF164" s="503"/>
      <c r="AG164" s="503"/>
      <c r="AH164" s="503"/>
      <c r="AI164" s="503"/>
    </row>
    <row r="165" spans="1:35" ht="9.9499999999999993" customHeight="1" x14ac:dyDescent="0.15">
      <c r="A165" s="503"/>
      <c r="B165" s="515" t="s">
        <v>514</v>
      </c>
      <c r="C165" s="395" t="s">
        <v>515</v>
      </c>
      <c r="D165" s="290" t="s">
        <v>366</v>
      </c>
      <c r="E165" s="87" t="s">
        <v>516</v>
      </c>
      <c r="F165" s="322"/>
      <c r="G165" s="323"/>
      <c r="H165" s="283" t="s">
        <v>517</v>
      </c>
      <c r="I165" s="285"/>
      <c r="J165" s="285"/>
      <c r="K165" s="285"/>
      <c r="L165" s="285"/>
      <c r="M165" s="285"/>
      <c r="N165" s="285"/>
      <c r="O165" s="285"/>
      <c r="P165" s="285"/>
      <c r="Q165" s="285"/>
      <c r="R165" s="285"/>
      <c r="S165" s="285"/>
      <c r="T165" s="285"/>
      <c r="U165" s="285"/>
      <c r="V165" s="285"/>
      <c r="W165" s="285"/>
      <c r="X165" s="285"/>
      <c r="Y165" s="285"/>
      <c r="Z165" s="285"/>
      <c r="AA165" s="285"/>
      <c r="AB165" s="397"/>
      <c r="AC165" s="357" t="s">
        <v>518</v>
      </c>
      <c r="AD165" s="88" t="s">
        <v>286</v>
      </c>
      <c r="AE165" s="503"/>
      <c r="AF165" s="503"/>
      <c r="AG165" s="503"/>
      <c r="AH165" s="503"/>
      <c r="AI165" s="503"/>
    </row>
    <row r="166" spans="1:35" ht="9.9499999999999993" customHeight="1" x14ac:dyDescent="0.15">
      <c r="A166" s="503"/>
      <c r="B166" s="350" t="s">
        <v>369</v>
      </c>
      <c r="C166" s="350" t="s">
        <v>343</v>
      </c>
      <c r="D166" s="261"/>
      <c r="E166" s="87" t="s">
        <v>519</v>
      </c>
      <c r="F166" s="322"/>
      <c r="G166" s="323"/>
      <c r="H166" s="283" t="s">
        <v>110</v>
      </c>
      <c r="I166" s="285"/>
      <c r="J166" s="285"/>
      <c r="K166" s="285"/>
      <c r="L166" s="285"/>
      <c r="M166" s="285"/>
      <c r="N166" s="285"/>
      <c r="O166" s="285"/>
      <c r="P166" s="285"/>
      <c r="Q166" s="285"/>
      <c r="R166" s="285"/>
      <c r="S166" s="285"/>
      <c r="T166" s="285"/>
      <c r="U166" s="285"/>
      <c r="V166" s="285"/>
      <c r="W166" s="285"/>
      <c r="X166" s="285"/>
      <c r="Y166" s="285"/>
      <c r="Z166" s="285"/>
      <c r="AA166" s="285"/>
      <c r="AB166" s="397"/>
      <c r="AC166" s="357" t="s">
        <v>371</v>
      </c>
      <c r="AD166" s="88" t="s">
        <v>110</v>
      </c>
      <c r="AE166" s="503"/>
      <c r="AF166" s="503"/>
      <c r="AG166" s="503"/>
      <c r="AH166" s="503"/>
      <c r="AI166" s="503"/>
    </row>
    <row r="167" spans="1:35" ht="9.9499999999999993" customHeight="1" x14ac:dyDescent="0.15">
      <c r="A167" s="503"/>
      <c r="B167" s="81" t="s">
        <v>372</v>
      </c>
      <c r="H167" s="503"/>
      <c r="I167" s="503"/>
      <c r="J167" s="503"/>
      <c r="K167" s="503"/>
      <c r="L167" s="503"/>
      <c r="M167" s="503"/>
      <c r="N167" s="503"/>
      <c r="O167" s="503"/>
      <c r="P167" s="503"/>
      <c r="Q167" s="503"/>
      <c r="R167" s="503"/>
      <c r="S167" s="503"/>
      <c r="T167" s="503"/>
      <c r="U167" s="503"/>
      <c r="V167" s="503"/>
      <c r="W167" s="503"/>
      <c r="X167" s="503"/>
      <c r="Y167" s="503"/>
      <c r="Z167" s="503"/>
      <c r="AA167" s="503"/>
      <c r="AB167" s="503"/>
      <c r="AC167" s="503"/>
      <c r="AD167" s="503"/>
      <c r="AE167" s="503"/>
      <c r="AF167" s="503"/>
      <c r="AG167" s="503"/>
      <c r="AH167" s="503"/>
      <c r="AI167" s="503"/>
    </row>
    <row r="168" spans="1:35" ht="9.9499999999999993" customHeight="1" x14ac:dyDescent="0.15">
      <c r="A168" s="503"/>
      <c r="B168" s="81" t="s">
        <v>373</v>
      </c>
      <c r="H168" s="503"/>
      <c r="I168" s="503"/>
      <c r="J168" s="503"/>
      <c r="K168" s="503"/>
      <c r="L168" s="503"/>
      <c r="M168" s="503"/>
      <c r="N168" s="503"/>
      <c r="O168" s="503"/>
      <c r="P168" s="503"/>
      <c r="Q168" s="503"/>
      <c r="R168" s="503"/>
      <c r="S168" s="503"/>
      <c r="T168" s="503"/>
      <c r="U168" s="503"/>
      <c r="V168" s="503"/>
      <c r="W168" s="503"/>
      <c r="X168" s="503"/>
      <c r="Y168" s="503"/>
      <c r="Z168" s="503"/>
      <c r="AA168" s="503"/>
      <c r="AB168" s="503"/>
      <c r="AC168" s="503"/>
      <c r="AD168" s="503"/>
      <c r="AE168" s="503"/>
      <c r="AF168" s="503"/>
      <c r="AG168" s="503"/>
      <c r="AH168" s="503"/>
      <c r="AI168" s="503"/>
    </row>
    <row r="169" spans="1:35" ht="9.9499999999999993" customHeight="1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</row>
    <row r="170" spans="1:35" ht="9.9499999999999993" customHeight="1" x14ac:dyDescent="0.15">
      <c r="A170" s="1"/>
      <c r="B170" s="237" t="s">
        <v>520</v>
      </c>
      <c r="C170" s="238"/>
      <c r="D170" s="239" t="s">
        <v>216</v>
      </c>
      <c r="E170" s="238"/>
      <c r="F170" s="238"/>
      <c r="G170" s="238"/>
      <c r="H170" s="238"/>
      <c r="I170" s="238"/>
      <c r="J170" s="238"/>
      <c r="K170" s="238"/>
      <c r="L170" s="238"/>
      <c r="M170" s="238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</row>
    <row r="171" spans="1:35" ht="9.9499999999999993" customHeight="1" x14ac:dyDescent="0.15">
      <c r="A171" s="1"/>
      <c r="B171" s="572" t="s">
        <v>217</v>
      </c>
      <c r="H171" s="579"/>
      <c r="I171" s="398"/>
      <c r="J171" s="398"/>
      <c r="K171" s="398"/>
      <c r="L171" s="398"/>
      <c r="M171" s="399"/>
      <c r="AA171" s="1"/>
      <c r="AB171" s="1"/>
      <c r="AC171" s="1"/>
      <c r="AD171" s="1"/>
      <c r="AE171" s="1"/>
      <c r="AF171" s="1"/>
      <c r="AG171" s="1"/>
      <c r="AH171" s="1"/>
      <c r="AI171" s="1"/>
    </row>
    <row r="172" spans="1:35" ht="9.9499999999999993" customHeight="1" x14ac:dyDescent="0.15">
      <c r="A172" s="1"/>
      <c r="B172" s="580"/>
      <c r="C172" s="581"/>
      <c r="D172" s="581"/>
      <c r="E172" s="400"/>
      <c r="F172" s="401"/>
      <c r="G172" s="245" t="s">
        <v>219</v>
      </c>
      <c r="H172" s="582" t="s">
        <v>521</v>
      </c>
      <c r="I172" s="402"/>
      <c r="J172" s="402"/>
      <c r="K172" s="402"/>
      <c r="L172" s="403"/>
      <c r="M172" s="404"/>
      <c r="P172" s="1"/>
      <c r="Q172" s="240" t="s">
        <v>522</v>
      </c>
      <c r="R172" s="249"/>
      <c r="S172" s="250"/>
      <c r="T172" s="250"/>
      <c r="U172" s="250"/>
      <c r="V172" s="250"/>
      <c r="W172" s="250"/>
      <c r="AA172" s="1"/>
      <c r="AB172" s="1"/>
      <c r="AC172" s="1"/>
      <c r="AD172" s="1"/>
      <c r="AE172" s="1"/>
      <c r="AF172" s="1"/>
      <c r="AG172" s="1"/>
      <c r="AH172" s="1"/>
      <c r="AI172" s="1"/>
    </row>
    <row r="173" spans="1:35" ht="9.9499999999999993" customHeight="1" x14ac:dyDescent="0.15">
      <c r="A173" s="1"/>
      <c r="B173" s="251" t="s">
        <v>222</v>
      </c>
      <c r="C173" s="252" t="s">
        <v>523</v>
      </c>
      <c r="D173" s="252" t="s">
        <v>524</v>
      </c>
      <c r="E173" s="253" t="s">
        <v>225</v>
      </c>
      <c r="F173" s="254"/>
      <c r="G173" s="405" t="s">
        <v>502</v>
      </c>
      <c r="H173" s="256" t="s">
        <v>525</v>
      </c>
      <c r="I173" s="256" t="s">
        <v>526</v>
      </c>
      <c r="J173" s="256" t="s">
        <v>527</v>
      </c>
      <c r="K173" s="256" t="s">
        <v>528</v>
      </c>
      <c r="L173" s="256" t="s">
        <v>529</v>
      </c>
      <c r="M173" s="256" t="s">
        <v>530</v>
      </c>
      <c r="P173" s="1"/>
      <c r="Q173" s="240" t="s">
        <v>233</v>
      </c>
      <c r="R173" s="256" t="s">
        <v>531</v>
      </c>
      <c r="S173" s="256"/>
      <c r="T173" s="256" t="s">
        <v>527</v>
      </c>
      <c r="U173" s="256" t="s">
        <v>528</v>
      </c>
      <c r="V173" s="256" t="s">
        <v>532</v>
      </c>
      <c r="W173" s="256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</row>
    <row r="174" spans="1:35" ht="9.9499999999999993" customHeight="1" x14ac:dyDescent="0.15">
      <c r="A174" s="1"/>
      <c r="B174" s="257"/>
      <c r="C174" s="258"/>
      <c r="D174" s="258"/>
      <c r="E174" s="406"/>
      <c r="F174" s="250"/>
      <c r="G174" s="258"/>
      <c r="H174" s="260" t="s">
        <v>234</v>
      </c>
      <c r="I174" s="260" t="s">
        <v>235</v>
      </c>
      <c r="J174" s="260" t="s">
        <v>236</v>
      </c>
      <c r="K174" s="260" t="s">
        <v>237</v>
      </c>
      <c r="L174" s="260" t="s">
        <v>238</v>
      </c>
      <c r="M174" s="260" t="s">
        <v>239</v>
      </c>
      <c r="P174" s="1"/>
      <c r="R174" s="261" t="s">
        <v>533</v>
      </c>
      <c r="S174" s="262" t="s">
        <v>534</v>
      </c>
      <c r="T174" s="262" t="s">
        <v>535</v>
      </c>
      <c r="U174" s="262" t="s">
        <v>536</v>
      </c>
      <c r="V174" s="262" t="s">
        <v>537</v>
      </c>
      <c r="W174" s="262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</row>
    <row r="175" spans="1:35" ht="9.9499999999999993" customHeight="1" x14ac:dyDescent="0.15">
      <c r="A175" s="1"/>
      <c r="B175" s="263" t="s">
        <v>538</v>
      </c>
      <c r="C175" s="264" t="s">
        <v>539</v>
      </c>
      <c r="D175" s="265" t="s">
        <v>457</v>
      </c>
      <c r="E175" s="266" t="s">
        <v>540</v>
      </c>
      <c r="F175" s="267"/>
      <c r="G175" s="268" t="s">
        <v>249</v>
      </c>
      <c r="H175" s="269">
        <v>3421.3</v>
      </c>
      <c r="I175" s="269">
        <v>3476.1</v>
      </c>
      <c r="J175" s="269">
        <v>2931.5</v>
      </c>
      <c r="K175" s="269">
        <v>2483.3000000000002</v>
      </c>
      <c r="L175" s="269">
        <v>2924.1</v>
      </c>
      <c r="M175" s="270"/>
      <c r="Q175" s="271" t="s">
        <v>250</v>
      </c>
      <c r="R175" s="272">
        <v>4.3999999999999997E-2</v>
      </c>
      <c r="S175" s="272">
        <v>4.8000000000000001E-2</v>
      </c>
      <c r="T175" s="272">
        <v>0.05</v>
      </c>
      <c r="U175" s="272">
        <v>4.3999999999999997E-2</v>
      </c>
      <c r="V175" s="272">
        <v>4.2000000000000003E-2</v>
      </c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</row>
    <row r="176" spans="1:35" ht="9.9499999999999993" customHeight="1" x14ac:dyDescent="0.15">
      <c r="A176" s="1"/>
      <c r="B176" s="257"/>
      <c r="C176" s="258"/>
      <c r="D176" s="273"/>
      <c r="E176" s="274" t="s">
        <v>461</v>
      </c>
      <c r="F176" s="275"/>
      <c r="G176" s="276" t="s">
        <v>251</v>
      </c>
      <c r="H176" s="277">
        <v>980</v>
      </c>
      <c r="I176" s="277">
        <v>960</v>
      </c>
      <c r="J176" s="277">
        <v>960</v>
      </c>
      <c r="K176" s="277">
        <v>980</v>
      </c>
      <c r="L176" s="277">
        <v>990</v>
      </c>
      <c r="M176" s="270"/>
      <c r="Q176" s="271" t="s">
        <v>252</v>
      </c>
      <c r="R176" s="272">
        <v>4.8000000000000001E-2</v>
      </c>
      <c r="S176" s="272">
        <v>4.5999999999999999E-2</v>
      </c>
      <c r="T176" s="272">
        <v>4.5999999999999999E-2</v>
      </c>
      <c r="U176" s="272">
        <v>4.5999999999999999E-2</v>
      </c>
      <c r="V176" s="272">
        <v>4.2000000000000003E-2</v>
      </c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</row>
    <row r="177" spans="1:35" ht="9.9499999999999993" customHeight="1" x14ac:dyDescent="0.15">
      <c r="A177" s="1"/>
      <c r="B177" s="493"/>
      <c r="Q177" s="271" t="s">
        <v>253</v>
      </c>
      <c r="R177" s="272">
        <v>4.5999999999999999E-2</v>
      </c>
      <c r="S177" s="272">
        <v>4.5999999999999999E-2</v>
      </c>
      <c r="T177" s="272">
        <v>0.05</v>
      </c>
      <c r="U177" s="272">
        <v>4.5999999999999999E-2</v>
      </c>
      <c r="V177" s="272">
        <v>4.3999999999999997E-2</v>
      </c>
      <c r="Z177" s="1"/>
      <c r="AA177" s="1"/>
      <c r="AB177" s="1"/>
      <c r="AC177" s="1"/>
      <c r="AD177" s="1"/>
      <c r="AE177" s="1"/>
      <c r="AF177" s="1"/>
      <c r="AG177" s="1"/>
      <c r="AH177" s="1"/>
      <c r="AI177" s="1"/>
    </row>
    <row r="178" spans="1:35" ht="9.9499999999999993" customHeight="1" x14ac:dyDescent="0.15">
      <c r="A178" s="1"/>
      <c r="B178" s="493"/>
      <c r="Q178" s="271" t="s">
        <v>254</v>
      </c>
      <c r="R178" s="272">
        <v>4.5999999999999999E-2</v>
      </c>
      <c r="S178" s="272">
        <v>4.2000000000000003E-2</v>
      </c>
      <c r="T178" s="272">
        <v>5.1999999999999998E-2</v>
      </c>
      <c r="U178" s="272">
        <v>4.5999999999999999E-2</v>
      </c>
      <c r="V178" s="272">
        <v>0.04</v>
      </c>
      <c r="Z178" s="1"/>
      <c r="AA178" s="1"/>
      <c r="AB178" s="1"/>
      <c r="AC178" s="1"/>
      <c r="AD178" s="1"/>
      <c r="AE178" s="1"/>
      <c r="AF178" s="1"/>
      <c r="AG178" s="1"/>
      <c r="AH178" s="1"/>
      <c r="AI178" s="1"/>
    </row>
    <row r="179" spans="1:35" ht="9.9499999999999993" customHeight="1" x14ac:dyDescent="0.15">
      <c r="A179" s="1"/>
      <c r="B179" s="493" t="s">
        <v>541</v>
      </c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</row>
    <row r="180" spans="1:35" ht="9.9499999999999993" customHeight="1" x14ac:dyDescent="0.15">
      <c r="A180" s="1"/>
      <c r="B180" s="642"/>
      <c r="C180" s="278" t="s">
        <v>256</v>
      </c>
      <c r="D180" s="279" t="s">
        <v>497</v>
      </c>
      <c r="E180" s="280" t="s">
        <v>258</v>
      </c>
      <c r="F180" s="281"/>
      <c r="G180" s="282"/>
      <c r="H180" s="283" t="s">
        <v>259</v>
      </c>
      <c r="I180" s="284"/>
      <c r="J180" s="284"/>
      <c r="K180" s="284"/>
      <c r="L180" s="284"/>
      <c r="M180" s="285"/>
      <c r="N180" s="285"/>
      <c r="O180" s="285"/>
      <c r="P180" s="285"/>
      <c r="Q180" s="285"/>
      <c r="R180" s="285"/>
      <c r="S180" s="285"/>
      <c r="T180" s="285"/>
      <c r="U180" s="285"/>
      <c r="V180" s="285"/>
      <c r="W180" s="285"/>
      <c r="X180" s="285"/>
      <c r="Y180" s="285"/>
      <c r="Z180" s="285"/>
      <c r="AA180" s="285"/>
      <c r="AB180" s="286"/>
      <c r="AC180" s="287" t="s">
        <v>260</v>
      </c>
      <c r="AD180" s="288"/>
      <c r="AE180" s="289"/>
      <c r="AF180" s="289"/>
      <c r="AG180" s="1"/>
      <c r="AH180" s="1"/>
      <c r="AI180" s="1"/>
    </row>
    <row r="181" spans="1:35" ht="9.9499999999999993" customHeight="1" x14ac:dyDescent="0.15">
      <c r="A181" s="1"/>
      <c r="B181" s="643"/>
      <c r="C181" s="290"/>
      <c r="D181" s="290"/>
      <c r="E181" s="291"/>
      <c r="F181" s="250"/>
      <c r="G181" s="292"/>
      <c r="H181" s="293" t="s">
        <v>261</v>
      </c>
      <c r="I181" s="294"/>
      <c r="J181" s="294"/>
      <c r="K181" s="294"/>
      <c r="L181" s="294"/>
      <c r="M181" s="295"/>
      <c r="N181" s="283" t="s">
        <v>262</v>
      </c>
      <c r="O181" s="285"/>
      <c r="P181" s="285"/>
      <c r="Q181" s="285"/>
      <c r="R181" s="286"/>
      <c r="S181" s="283" t="s">
        <v>498</v>
      </c>
      <c r="T181" s="285"/>
      <c r="U181" s="285"/>
      <c r="V181" s="285"/>
      <c r="W181" s="286"/>
      <c r="X181" s="283" t="s">
        <v>264</v>
      </c>
      <c r="Y181" s="285"/>
      <c r="Z181" s="285"/>
      <c r="AA181" s="285"/>
      <c r="AB181" s="286"/>
      <c r="AC181" s="79"/>
      <c r="AD181" s="296"/>
      <c r="AE181" s="289"/>
      <c r="AF181" s="289"/>
      <c r="AG181" s="1"/>
      <c r="AH181" s="1"/>
      <c r="AI181" s="1"/>
    </row>
    <row r="182" spans="1:35" ht="9.9499999999999993" customHeight="1" x14ac:dyDescent="0.15">
      <c r="A182" s="1"/>
      <c r="B182" s="643"/>
      <c r="C182" s="290"/>
      <c r="D182" s="290"/>
      <c r="E182" s="291"/>
      <c r="F182" s="250"/>
      <c r="G182" s="292"/>
      <c r="H182" s="297" t="s">
        <v>218</v>
      </c>
      <c r="I182" s="297"/>
      <c r="J182" s="297"/>
      <c r="K182" s="297"/>
      <c r="L182" s="297"/>
      <c r="M182" s="298"/>
      <c r="N182" s="293"/>
      <c r="O182" s="294"/>
      <c r="P182" s="294"/>
      <c r="Q182" s="294"/>
      <c r="R182" s="295"/>
      <c r="S182" s="293"/>
      <c r="T182" s="294"/>
      <c r="U182" s="294"/>
      <c r="V182" s="294"/>
      <c r="W182" s="295"/>
      <c r="X182" s="293"/>
      <c r="Y182" s="294"/>
      <c r="Z182" s="294"/>
      <c r="AA182" s="294"/>
      <c r="AB182" s="295"/>
      <c r="AC182" s="79"/>
      <c r="AD182" s="296"/>
      <c r="AE182" s="289"/>
      <c r="AF182" s="289"/>
      <c r="AG182" s="1"/>
      <c r="AH182" s="1"/>
      <c r="AI182" s="1"/>
    </row>
    <row r="183" spans="1:35" ht="9.9499999999999993" customHeight="1" x14ac:dyDescent="0.15">
      <c r="A183" s="1"/>
      <c r="B183" s="644"/>
      <c r="C183" s="261"/>
      <c r="D183" s="261"/>
      <c r="E183" s="299"/>
      <c r="F183" s="300"/>
      <c r="G183" s="301"/>
      <c r="H183" s="302"/>
      <c r="I183" s="303" t="s">
        <v>220</v>
      </c>
      <c r="J183" s="303"/>
      <c r="K183" s="303"/>
      <c r="L183" s="303"/>
      <c r="M183" s="304"/>
      <c r="N183" s="305"/>
      <c r="O183" s="305"/>
      <c r="P183" s="305"/>
      <c r="Q183" s="305"/>
      <c r="R183" s="306"/>
      <c r="S183" s="305" t="s">
        <v>265</v>
      </c>
      <c r="T183" s="305"/>
      <c r="U183" s="305"/>
      <c r="V183" s="305"/>
      <c r="W183" s="306"/>
      <c r="X183" s="305"/>
      <c r="Y183" s="305"/>
      <c r="Z183" s="305"/>
      <c r="AA183" s="305"/>
      <c r="AB183" s="306"/>
      <c r="AC183" s="305"/>
      <c r="AD183" s="307"/>
      <c r="AE183" s="289"/>
      <c r="AF183" s="289"/>
      <c r="AG183" s="1"/>
      <c r="AH183" s="1"/>
      <c r="AI183" s="1"/>
    </row>
    <row r="184" spans="1:35" ht="9.9499999999999993" customHeight="1" x14ac:dyDescent="0.15">
      <c r="A184" s="1"/>
      <c r="B184" s="308" t="s">
        <v>542</v>
      </c>
      <c r="C184" s="278" t="s">
        <v>500</v>
      </c>
      <c r="D184" s="86" t="s">
        <v>268</v>
      </c>
      <c r="E184" s="280" t="s">
        <v>502</v>
      </c>
      <c r="F184" s="281"/>
      <c r="G184" s="282"/>
      <c r="H184" s="256" t="s">
        <v>525</v>
      </c>
      <c r="I184" s="256" t="s">
        <v>543</v>
      </c>
      <c r="J184" s="256" t="s">
        <v>527</v>
      </c>
      <c r="K184" s="256" t="s">
        <v>528</v>
      </c>
      <c r="L184" s="256" t="s">
        <v>529</v>
      </c>
      <c r="M184" s="309" t="s">
        <v>544</v>
      </c>
      <c r="N184" s="310" t="s">
        <v>545</v>
      </c>
      <c r="O184" s="311" t="s">
        <v>546</v>
      </c>
      <c r="P184" s="311" t="s">
        <v>547</v>
      </c>
      <c r="Q184" s="311" t="s">
        <v>548</v>
      </c>
      <c r="R184" s="312" t="s">
        <v>549</v>
      </c>
      <c r="S184" s="313" t="s">
        <v>550</v>
      </c>
      <c r="T184" s="313" t="s">
        <v>551</v>
      </c>
      <c r="U184" s="313" t="s">
        <v>552</v>
      </c>
      <c r="V184" s="313" t="s">
        <v>553</v>
      </c>
      <c r="W184" s="314" t="s">
        <v>554</v>
      </c>
      <c r="X184" s="313" t="s">
        <v>555</v>
      </c>
      <c r="Y184" s="313" t="s">
        <v>556</v>
      </c>
      <c r="Z184" s="313" t="s">
        <v>557</v>
      </c>
      <c r="AA184" s="313" t="s">
        <v>558</v>
      </c>
      <c r="AB184" s="314" t="s">
        <v>559</v>
      </c>
      <c r="AC184" s="315" t="s">
        <v>285</v>
      </c>
      <c r="AD184" s="316" t="s">
        <v>286</v>
      </c>
      <c r="AE184" s="289"/>
      <c r="AF184" s="289"/>
      <c r="AG184" s="289"/>
      <c r="AH184" s="1"/>
      <c r="AI184" s="1"/>
    </row>
    <row r="185" spans="1:35" ht="9.9499999999999993" customHeight="1" x14ac:dyDescent="0.15">
      <c r="A185" s="1"/>
      <c r="B185" s="317" t="s">
        <v>560</v>
      </c>
      <c r="C185" s="290"/>
      <c r="D185" s="290"/>
      <c r="E185" s="299"/>
      <c r="F185" s="300"/>
      <c r="G185" s="301"/>
      <c r="H185" s="318" t="s">
        <v>234</v>
      </c>
      <c r="I185" s="319" t="s">
        <v>235</v>
      </c>
      <c r="J185" s="319" t="s">
        <v>236</v>
      </c>
      <c r="K185" s="319" t="s">
        <v>237</v>
      </c>
      <c r="L185" s="319" t="s">
        <v>238</v>
      </c>
      <c r="M185" s="320" t="s">
        <v>239</v>
      </c>
      <c r="N185" s="318" t="s">
        <v>234</v>
      </c>
      <c r="O185" s="319" t="s">
        <v>235</v>
      </c>
      <c r="P185" s="319" t="s">
        <v>236</v>
      </c>
      <c r="Q185" s="319" t="s">
        <v>237</v>
      </c>
      <c r="R185" s="320" t="s">
        <v>238</v>
      </c>
      <c r="S185" s="318" t="s">
        <v>234</v>
      </c>
      <c r="T185" s="319" t="s">
        <v>235</v>
      </c>
      <c r="U185" s="319" t="s">
        <v>236</v>
      </c>
      <c r="V185" s="319" t="s">
        <v>237</v>
      </c>
      <c r="W185" s="320" t="s">
        <v>238</v>
      </c>
      <c r="X185" s="318" t="s">
        <v>234</v>
      </c>
      <c r="Y185" s="319" t="s">
        <v>235</v>
      </c>
      <c r="Z185" s="319" t="s">
        <v>236</v>
      </c>
      <c r="AA185" s="319" t="s">
        <v>237</v>
      </c>
      <c r="AB185" s="320" t="s">
        <v>238</v>
      </c>
      <c r="AC185" s="296"/>
      <c r="AD185" s="321"/>
      <c r="AE185" s="289"/>
      <c r="AF185" s="289"/>
      <c r="AG185" s="289"/>
      <c r="AH185" s="1"/>
      <c r="AI185" s="1"/>
    </row>
    <row r="186" spans="1:35" ht="9.9499999999999993" customHeight="1" x14ac:dyDescent="0.15">
      <c r="A186" s="1"/>
      <c r="B186" s="317"/>
      <c r="C186" s="290"/>
      <c r="D186" s="290"/>
      <c r="E186" s="87" t="s">
        <v>288</v>
      </c>
      <c r="F186" s="322"/>
      <c r="G186" s="323"/>
      <c r="H186" s="283" t="s">
        <v>289</v>
      </c>
      <c r="I186" s="284"/>
      <c r="J186" s="284"/>
      <c r="K186" s="284"/>
      <c r="L186" s="284"/>
      <c r="M186" s="286"/>
      <c r="N186" s="283" t="s">
        <v>289</v>
      </c>
      <c r="O186" s="285"/>
      <c r="P186" s="285"/>
      <c r="Q186" s="285"/>
      <c r="R186" s="286"/>
      <c r="S186" s="283" t="s">
        <v>289</v>
      </c>
      <c r="T186" s="285"/>
      <c r="U186" s="285"/>
      <c r="V186" s="285"/>
      <c r="W186" s="286"/>
      <c r="X186" s="283" t="s">
        <v>289</v>
      </c>
      <c r="Y186" s="285"/>
      <c r="Z186" s="285"/>
      <c r="AA186" s="285"/>
      <c r="AB186" s="286"/>
      <c r="AC186" s="307"/>
      <c r="AD186" s="324"/>
      <c r="AE186" s="289"/>
      <c r="AF186" s="289"/>
      <c r="AG186" s="289"/>
      <c r="AH186" s="1"/>
      <c r="AI186" s="1"/>
    </row>
    <row r="187" spans="1:35" ht="9.9499999999999993" customHeight="1" x14ac:dyDescent="0.15">
      <c r="A187" s="1"/>
      <c r="B187" s="317"/>
      <c r="C187" s="290"/>
      <c r="D187" s="290"/>
      <c r="E187" s="87" t="s">
        <v>480</v>
      </c>
      <c r="F187" s="322"/>
      <c r="G187" s="323"/>
      <c r="H187" s="325">
        <v>5.1999999999999998E-2</v>
      </c>
      <c r="I187" s="326">
        <v>4.3999999999999997E-2</v>
      </c>
      <c r="J187" s="326">
        <v>4.5999999999999999E-2</v>
      </c>
      <c r="K187" s="326">
        <v>6.8000000000000005E-2</v>
      </c>
      <c r="L187" s="326">
        <v>4.2000000000000003E-2</v>
      </c>
      <c r="M187" s="327">
        <v>5.1999999999999998E-2</v>
      </c>
      <c r="N187" s="325">
        <v>0.05</v>
      </c>
      <c r="O187" s="326">
        <v>4.8000000000000001E-2</v>
      </c>
      <c r="P187" s="326">
        <v>4.2000000000000003E-2</v>
      </c>
      <c r="Q187" s="326">
        <v>0.04</v>
      </c>
      <c r="R187" s="327">
        <v>4.8000000000000001E-2</v>
      </c>
      <c r="S187" s="325">
        <v>4.5999999999999999E-2</v>
      </c>
      <c r="T187" s="326">
        <v>0.05</v>
      </c>
      <c r="U187" s="326">
        <v>4.3999999999999997E-2</v>
      </c>
      <c r="V187" s="326">
        <v>5.1999999999999998E-2</v>
      </c>
      <c r="W187" s="327">
        <v>4.5999999999999999E-2</v>
      </c>
      <c r="X187" s="325">
        <v>4.3999999999999997E-2</v>
      </c>
      <c r="Y187" s="326">
        <v>4.5999999999999999E-2</v>
      </c>
      <c r="Z187" s="326">
        <v>4.8000000000000001E-2</v>
      </c>
      <c r="AA187" s="326">
        <v>0.04</v>
      </c>
      <c r="AB187" s="327">
        <v>5.1999999999999998E-2</v>
      </c>
      <c r="AC187" s="328" t="s">
        <v>291</v>
      </c>
      <c r="AD187" s="329" t="s">
        <v>292</v>
      </c>
      <c r="AE187" s="289"/>
      <c r="AF187" s="289"/>
      <c r="AG187" s="289"/>
      <c r="AH187" s="1"/>
      <c r="AI187" s="1"/>
    </row>
    <row r="188" spans="1:35" ht="9.9499999999999993" customHeight="1" x14ac:dyDescent="0.15">
      <c r="A188" s="1"/>
      <c r="B188" s="317"/>
      <c r="C188" s="290"/>
      <c r="D188" s="290"/>
      <c r="E188" s="87" t="s">
        <v>481</v>
      </c>
      <c r="F188" s="322"/>
      <c r="G188" s="323"/>
      <c r="H188" s="330">
        <v>0.09</v>
      </c>
      <c r="I188" s="272">
        <v>7.0000000000000007E-2</v>
      </c>
      <c r="J188" s="272">
        <v>8.2000000000000003E-2</v>
      </c>
      <c r="K188" s="272">
        <v>7.8E-2</v>
      </c>
      <c r="L188" s="272">
        <v>7.0000000000000007E-2</v>
      </c>
      <c r="M188" s="331">
        <v>7.0000000000000007E-2</v>
      </c>
      <c r="N188" s="330">
        <v>0.08</v>
      </c>
      <c r="O188" s="272">
        <v>8.2000000000000003E-2</v>
      </c>
      <c r="P188" s="272">
        <v>7.0000000000000007E-2</v>
      </c>
      <c r="Q188" s="272">
        <v>8.2000000000000003E-2</v>
      </c>
      <c r="R188" s="331">
        <v>8.5999999999999993E-2</v>
      </c>
      <c r="S188" s="330">
        <v>7.0000000000000007E-2</v>
      </c>
      <c r="T188" s="272">
        <v>7.3999999999999996E-2</v>
      </c>
      <c r="U188" s="272">
        <v>8.2000000000000003E-2</v>
      </c>
      <c r="V188" s="272">
        <v>6.8000000000000005E-2</v>
      </c>
      <c r="W188" s="331">
        <v>7.3999999999999996E-2</v>
      </c>
      <c r="X188" s="330">
        <v>7.1999999999999995E-2</v>
      </c>
      <c r="Y188" s="272">
        <v>6.6000000000000003E-2</v>
      </c>
      <c r="Z188" s="272">
        <v>7.0000000000000007E-2</v>
      </c>
      <c r="AA188" s="272">
        <v>8.4000000000000005E-2</v>
      </c>
      <c r="AB188" s="331">
        <v>7.3999999999999996E-2</v>
      </c>
      <c r="AC188" s="332" t="s">
        <v>294</v>
      </c>
      <c r="AD188" s="329" t="s">
        <v>295</v>
      </c>
      <c r="AE188" s="289"/>
      <c r="AF188" s="289"/>
      <c r="AG188" s="289"/>
      <c r="AH188" s="1"/>
      <c r="AI188" s="1"/>
    </row>
    <row r="189" spans="1:35" ht="9.9499999999999993" customHeight="1" x14ac:dyDescent="0.15">
      <c r="A189" s="1"/>
      <c r="B189" s="317"/>
      <c r="C189" s="290"/>
      <c r="D189" s="290"/>
      <c r="E189" s="87" t="s">
        <v>482</v>
      </c>
      <c r="F189" s="322"/>
      <c r="G189" s="323"/>
      <c r="H189" s="330">
        <v>5.6000000000000001E-2</v>
      </c>
      <c r="I189" s="272">
        <v>5.1999999999999998E-2</v>
      </c>
      <c r="J189" s="272">
        <v>5.1999999999999998E-2</v>
      </c>
      <c r="K189" s="272">
        <v>4.8000000000000001E-2</v>
      </c>
      <c r="L189" s="272">
        <v>6.2E-2</v>
      </c>
      <c r="M189" s="331">
        <v>5.3999999999999999E-2</v>
      </c>
      <c r="N189" s="330">
        <v>0.05</v>
      </c>
      <c r="O189" s="272">
        <v>0.05</v>
      </c>
      <c r="P189" s="272">
        <v>5.1999999999999998E-2</v>
      </c>
      <c r="Q189" s="272">
        <v>5.3999999999999999E-2</v>
      </c>
      <c r="R189" s="331">
        <v>5.3999999999999999E-2</v>
      </c>
      <c r="S189" s="330">
        <v>4.8000000000000001E-2</v>
      </c>
      <c r="T189" s="272">
        <v>0.05</v>
      </c>
      <c r="U189" s="272">
        <v>4.8000000000000001E-2</v>
      </c>
      <c r="V189" s="272">
        <v>4.3999999999999997E-2</v>
      </c>
      <c r="W189" s="331">
        <v>5.1999999999999998E-2</v>
      </c>
      <c r="X189" s="330">
        <v>0.05</v>
      </c>
      <c r="Y189" s="272">
        <v>5.1999999999999998E-2</v>
      </c>
      <c r="Z189" s="272">
        <v>4.3999999999999997E-2</v>
      </c>
      <c r="AA189" s="272">
        <v>4.8000000000000001E-2</v>
      </c>
      <c r="AB189" s="331">
        <v>5.1999999999999998E-2</v>
      </c>
      <c r="AC189" s="332" t="s">
        <v>297</v>
      </c>
      <c r="AD189" s="329" t="s">
        <v>298</v>
      </c>
      <c r="AE189" s="289"/>
      <c r="AF189" s="289"/>
      <c r="AG189" s="289"/>
      <c r="AH189" s="1"/>
      <c r="AI189" s="1"/>
    </row>
    <row r="190" spans="1:35" ht="9.9499999999999993" customHeight="1" x14ac:dyDescent="0.15">
      <c r="A190" s="1"/>
      <c r="B190" s="333"/>
      <c r="C190" s="261"/>
      <c r="D190" s="261"/>
      <c r="E190" s="87" t="s">
        <v>483</v>
      </c>
      <c r="F190" s="322"/>
      <c r="G190" s="323"/>
      <c r="H190" s="330">
        <v>4.3999999999999997E-2</v>
      </c>
      <c r="I190" s="272">
        <v>4.8000000000000001E-2</v>
      </c>
      <c r="J190" s="272">
        <v>3.5999999999999997E-2</v>
      </c>
      <c r="K190" s="272">
        <v>4.3999999999999997E-2</v>
      </c>
      <c r="L190" s="272">
        <v>4.2000000000000003E-2</v>
      </c>
      <c r="M190" s="331">
        <v>4.5999999999999999E-2</v>
      </c>
      <c r="N190" s="330">
        <v>3.7999999999999999E-2</v>
      </c>
      <c r="O190" s="272">
        <v>4.2000000000000003E-2</v>
      </c>
      <c r="P190" s="272">
        <v>0.04</v>
      </c>
      <c r="Q190" s="272">
        <v>4.2000000000000003E-2</v>
      </c>
      <c r="R190" s="331">
        <v>0.04</v>
      </c>
      <c r="S190" s="330">
        <v>4.2000000000000003E-2</v>
      </c>
      <c r="T190" s="272">
        <v>4.2000000000000003E-2</v>
      </c>
      <c r="U190" s="272">
        <v>3.5999999999999997E-2</v>
      </c>
      <c r="V190" s="272">
        <v>4.2000000000000003E-2</v>
      </c>
      <c r="W190" s="331">
        <v>3.7999999999999999E-2</v>
      </c>
      <c r="X190" s="330">
        <v>3.7999999999999999E-2</v>
      </c>
      <c r="Y190" s="272">
        <v>0.04</v>
      </c>
      <c r="Z190" s="272">
        <v>0.04</v>
      </c>
      <c r="AA190" s="272">
        <v>4.2000000000000003E-2</v>
      </c>
      <c r="AB190" s="331">
        <v>5.3999999999999999E-2</v>
      </c>
      <c r="AC190" s="332" t="s">
        <v>300</v>
      </c>
      <c r="AD190" s="329" t="s">
        <v>301</v>
      </c>
      <c r="AE190" s="289"/>
      <c r="AF190" s="289"/>
      <c r="AG190" s="289"/>
      <c r="AH190" s="1"/>
      <c r="AI190" s="1"/>
    </row>
    <row r="191" spans="1:35" ht="9.9499999999999993" customHeight="1" x14ac:dyDescent="0.15">
      <c r="A191" s="1"/>
      <c r="B191" s="334" t="s">
        <v>302</v>
      </c>
      <c r="C191" s="335" t="s">
        <v>303</v>
      </c>
      <c r="D191" s="336" t="s">
        <v>484</v>
      </c>
      <c r="E191" s="347" t="s">
        <v>485</v>
      </c>
      <c r="F191" s="322"/>
      <c r="G191" s="323"/>
      <c r="H191" s="337"/>
      <c r="I191" s="338" t="s">
        <v>306</v>
      </c>
      <c r="J191" s="338" t="s">
        <v>306</v>
      </c>
      <c r="K191" s="339" t="s">
        <v>306</v>
      </c>
      <c r="L191" s="339" t="s">
        <v>306</v>
      </c>
      <c r="M191" s="340" t="s">
        <v>306</v>
      </c>
      <c r="N191" s="341" t="s">
        <v>422</v>
      </c>
      <c r="O191" s="285"/>
      <c r="P191" s="285"/>
      <c r="Q191" s="285"/>
      <c r="R191" s="285"/>
      <c r="S191" s="285"/>
      <c r="T191" s="285"/>
      <c r="U191" s="285"/>
      <c r="V191" s="285"/>
      <c r="W191" s="285"/>
      <c r="X191" s="285"/>
      <c r="Y191" s="285"/>
      <c r="Z191" s="285"/>
      <c r="AA191" s="285"/>
      <c r="AB191" s="286"/>
      <c r="AC191" s="357" t="s">
        <v>285</v>
      </c>
      <c r="AD191" s="509" t="s">
        <v>286</v>
      </c>
      <c r="AE191" s="289"/>
      <c r="AF191" s="289"/>
      <c r="AG191" s="289"/>
      <c r="AH191" s="1"/>
      <c r="AI191" s="1"/>
    </row>
    <row r="192" spans="1:35" ht="9.9499999999999993" customHeight="1" x14ac:dyDescent="0.15">
      <c r="A192" s="1"/>
      <c r="B192" s="344" t="s">
        <v>308</v>
      </c>
      <c r="C192" s="345" t="s">
        <v>309</v>
      </c>
      <c r="D192" s="346" t="s">
        <v>486</v>
      </c>
      <c r="E192" s="347" t="s">
        <v>487</v>
      </c>
      <c r="F192" s="322"/>
      <c r="G192" s="323"/>
      <c r="H192" s="348" t="s">
        <v>561</v>
      </c>
      <c r="I192" s="284"/>
      <c r="J192" s="284"/>
      <c r="K192" s="284"/>
      <c r="L192" s="284"/>
      <c r="M192" s="286"/>
      <c r="N192" s="348" t="s">
        <v>562</v>
      </c>
      <c r="O192" s="285"/>
      <c r="P192" s="285"/>
      <c r="Q192" s="285"/>
      <c r="R192" s="285"/>
      <c r="S192" s="285"/>
      <c r="T192" s="285"/>
      <c r="U192" s="285"/>
      <c r="V192" s="285"/>
      <c r="W192" s="285"/>
      <c r="X192" s="285"/>
      <c r="Y192" s="285"/>
      <c r="Z192" s="285"/>
      <c r="AA192" s="285"/>
      <c r="AB192" s="286"/>
      <c r="AC192" s="342" t="s">
        <v>314</v>
      </c>
      <c r="AD192" s="349" t="s">
        <v>315</v>
      </c>
      <c r="AE192" s="289"/>
      <c r="AF192" s="289"/>
      <c r="AG192" s="289"/>
      <c r="AH192" s="1"/>
      <c r="AI192" s="1"/>
    </row>
    <row r="193" spans="1:35" ht="9.9499999999999993" customHeight="1" x14ac:dyDescent="0.15">
      <c r="A193" s="1"/>
      <c r="B193" s="350"/>
      <c r="C193" s="351"/>
      <c r="D193" s="261"/>
      <c r="E193" s="352" t="s">
        <v>490</v>
      </c>
      <c r="F193" s="281"/>
      <c r="G193" s="282"/>
      <c r="H193" s="348" t="s">
        <v>563</v>
      </c>
      <c r="I193" s="284"/>
      <c r="J193" s="284"/>
      <c r="K193" s="284"/>
      <c r="L193" s="284"/>
      <c r="M193" s="286"/>
      <c r="N193" s="348" t="s">
        <v>564</v>
      </c>
      <c r="O193" s="285"/>
      <c r="P193" s="285"/>
      <c r="Q193" s="285"/>
      <c r="R193" s="285"/>
      <c r="S193" s="285"/>
      <c r="T193" s="285"/>
      <c r="U193" s="285"/>
      <c r="V193" s="285"/>
      <c r="W193" s="285"/>
      <c r="X193" s="285"/>
      <c r="Y193" s="285"/>
      <c r="Z193" s="285"/>
      <c r="AA193" s="285"/>
      <c r="AB193" s="286"/>
      <c r="AC193" s="353" t="s">
        <v>318</v>
      </c>
      <c r="AD193" s="349" t="s">
        <v>319</v>
      </c>
      <c r="AE193" s="289"/>
      <c r="AF193" s="289"/>
      <c r="AG193" s="289"/>
      <c r="AH193" s="1"/>
      <c r="AI193" s="1"/>
    </row>
    <row r="194" spans="1:35" ht="9.9499999999999993" customHeight="1" x14ac:dyDescent="0.15">
      <c r="A194" s="1"/>
      <c r="B194" s="308" t="s">
        <v>320</v>
      </c>
      <c r="C194" s="354" t="s">
        <v>493</v>
      </c>
      <c r="D194" s="336" t="s">
        <v>322</v>
      </c>
      <c r="E194" s="355" t="s">
        <v>323</v>
      </c>
      <c r="F194" s="322"/>
      <c r="G194" s="323"/>
      <c r="H194" s="337"/>
      <c r="I194" s="270"/>
      <c r="J194" s="270"/>
      <c r="K194" s="645" t="s">
        <v>565</v>
      </c>
      <c r="L194" s="270"/>
      <c r="M194" s="356"/>
      <c r="N194" s="341" t="s">
        <v>566</v>
      </c>
      <c r="O194" s="285"/>
      <c r="P194" s="285"/>
      <c r="Q194" s="285"/>
      <c r="R194" s="285"/>
      <c r="S194" s="285"/>
      <c r="T194" s="285"/>
      <c r="U194" s="285"/>
      <c r="V194" s="285"/>
      <c r="W194" s="285"/>
      <c r="X194" s="285"/>
      <c r="Y194" s="285"/>
      <c r="Z194" s="285"/>
      <c r="AA194" s="285"/>
      <c r="AB194" s="286"/>
      <c r="AC194" s="357" t="s">
        <v>285</v>
      </c>
      <c r="AD194" s="329" t="s">
        <v>286</v>
      </c>
      <c r="AE194" s="289"/>
      <c r="AF194" s="289"/>
      <c r="AG194" s="289"/>
      <c r="AH194" s="1"/>
      <c r="AI194" s="1"/>
    </row>
    <row r="195" spans="1:35" ht="9.9499999999999993" customHeight="1" x14ac:dyDescent="0.15">
      <c r="A195" s="1"/>
      <c r="B195" s="317" t="s">
        <v>326</v>
      </c>
      <c r="C195" s="358" t="s">
        <v>327</v>
      </c>
      <c r="D195" s="346" t="s">
        <v>328</v>
      </c>
      <c r="E195" s="359" t="s">
        <v>329</v>
      </c>
      <c r="F195" s="281"/>
      <c r="G195" s="282"/>
      <c r="H195" s="293" t="s">
        <v>110</v>
      </c>
      <c r="I195" s="360"/>
      <c r="J195" s="360"/>
      <c r="K195" s="651"/>
      <c r="L195" s="360"/>
      <c r="M195" s="295"/>
      <c r="N195" s="249" t="s">
        <v>110</v>
      </c>
      <c r="O195" s="79"/>
      <c r="P195" s="79"/>
      <c r="Q195" s="79"/>
      <c r="R195" s="79"/>
      <c r="S195" s="79"/>
      <c r="T195" s="79"/>
      <c r="U195" s="79"/>
      <c r="V195" s="79"/>
      <c r="W195" s="79"/>
      <c r="X195" s="79"/>
      <c r="Y195" s="79"/>
      <c r="Z195" s="79"/>
      <c r="AA195" s="79"/>
      <c r="AB195" s="361"/>
      <c r="AC195" s="362" t="s">
        <v>431</v>
      </c>
      <c r="AD195" s="363" t="s">
        <v>110</v>
      </c>
      <c r="AE195" s="289"/>
      <c r="AF195" s="289"/>
      <c r="AG195" s="289"/>
      <c r="AH195" s="1"/>
      <c r="AI195" s="1"/>
    </row>
    <row r="196" spans="1:35" ht="9.9499999999999993" customHeight="1" x14ac:dyDescent="0.15">
      <c r="A196" s="1"/>
      <c r="B196" s="290"/>
      <c r="C196" s="516" t="s">
        <v>330</v>
      </c>
      <c r="D196" s="346"/>
      <c r="E196" s="299"/>
      <c r="F196" s="300"/>
      <c r="G196" s="301"/>
      <c r="H196" s="305"/>
      <c r="I196" s="364"/>
      <c r="J196" s="364"/>
      <c r="K196" s="652"/>
      <c r="L196" s="364"/>
      <c r="M196" s="306"/>
      <c r="N196" s="305"/>
      <c r="O196" s="305"/>
      <c r="P196" s="305"/>
      <c r="Q196" s="305"/>
      <c r="R196" s="305"/>
      <c r="S196" s="305"/>
      <c r="T196" s="305"/>
      <c r="U196" s="305"/>
      <c r="V196" s="305"/>
      <c r="W196" s="305"/>
      <c r="X196" s="305"/>
      <c r="Y196" s="305"/>
      <c r="Z196" s="305"/>
      <c r="AA196" s="305"/>
      <c r="AB196" s="306"/>
      <c r="AC196" s="307"/>
      <c r="AD196" s="324"/>
      <c r="AE196" s="289"/>
      <c r="AF196" s="289"/>
      <c r="AG196" s="289"/>
      <c r="AH196" s="1"/>
      <c r="AI196" s="1"/>
    </row>
    <row r="197" spans="1:35" ht="9.9499999999999993" customHeight="1" x14ac:dyDescent="0.15">
      <c r="A197" s="1"/>
      <c r="B197" s="261"/>
      <c r="C197" s="577" t="s">
        <v>331</v>
      </c>
      <c r="D197" s="365"/>
      <c r="E197" s="366" t="s">
        <v>332</v>
      </c>
      <c r="F197" s="322"/>
      <c r="G197" s="323"/>
      <c r="H197" s="283" t="s">
        <v>110</v>
      </c>
      <c r="I197" s="284"/>
      <c r="J197" s="284"/>
      <c r="K197" s="284"/>
      <c r="L197" s="284"/>
      <c r="M197" s="286"/>
      <c r="N197" s="283" t="s">
        <v>110</v>
      </c>
      <c r="O197" s="285"/>
      <c r="P197" s="285"/>
      <c r="Q197" s="285"/>
      <c r="R197" s="285"/>
      <c r="S197" s="285"/>
      <c r="T197" s="285"/>
      <c r="U197" s="285"/>
      <c r="V197" s="285"/>
      <c r="W197" s="285"/>
      <c r="X197" s="285"/>
      <c r="Y197" s="285"/>
      <c r="Z197" s="285"/>
      <c r="AA197" s="285"/>
      <c r="AB197" s="286"/>
      <c r="AC197" s="367" t="s">
        <v>332</v>
      </c>
      <c r="AD197" s="88" t="s">
        <v>110</v>
      </c>
      <c r="AE197" s="289"/>
      <c r="AF197" s="289"/>
      <c r="AG197" s="289"/>
      <c r="AH197" s="1"/>
      <c r="AI197" s="1"/>
    </row>
    <row r="198" spans="1:35" ht="9.9499999999999993" customHeight="1" x14ac:dyDescent="0.15">
      <c r="A198" s="1"/>
      <c r="B198" s="368" t="s">
        <v>333</v>
      </c>
      <c r="C198" s="578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</row>
    <row r="199" spans="1:35" ht="9.9499999999999993" customHeight="1" x14ac:dyDescent="0.15">
      <c r="A199" s="1"/>
      <c r="B199" s="368" t="s">
        <v>334</v>
      </c>
      <c r="C199" s="578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</row>
    <row r="200" spans="1:35" ht="9.9499999999999993" customHeight="1" x14ac:dyDescent="0.15">
      <c r="A200" s="1"/>
      <c r="B200" s="368" t="s">
        <v>335</v>
      </c>
      <c r="C200" s="578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</row>
    <row r="201" spans="1:35" ht="9.9499999999999993" customHeight="1" x14ac:dyDescent="0.15">
      <c r="A201" s="1"/>
      <c r="F201" s="1" t="s">
        <v>336</v>
      </c>
      <c r="G201" s="1"/>
      <c r="H201" s="1"/>
      <c r="I201" s="1" t="s">
        <v>337</v>
      </c>
      <c r="J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</row>
    <row r="202" spans="1:35" ht="9.9499999999999993" customHeight="1" x14ac:dyDescent="0.15">
      <c r="A202" s="1"/>
      <c r="B202" s="372" t="s">
        <v>338</v>
      </c>
      <c r="C202" s="86" t="s">
        <v>339</v>
      </c>
      <c r="D202" s="86" t="s">
        <v>496</v>
      </c>
      <c r="E202" s="373" t="s">
        <v>341</v>
      </c>
      <c r="F202" s="374" t="s">
        <v>342</v>
      </c>
      <c r="G202" s="375"/>
      <c r="H202" s="1"/>
      <c r="I202" s="376" t="s">
        <v>341</v>
      </c>
      <c r="J202" s="377"/>
      <c r="K202" s="375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</row>
    <row r="203" spans="1:35" ht="9.9499999999999993" customHeight="1" x14ac:dyDescent="0.15">
      <c r="A203" s="1"/>
      <c r="B203" s="378" t="s">
        <v>308</v>
      </c>
      <c r="C203" s="379" t="s">
        <v>343</v>
      </c>
      <c r="D203" s="379" t="s">
        <v>344</v>
      </c>
      <c r="E203" s="380" t="s">
        <v>291</v>
      </c>
      <c r="F203" s="381">
        <v>10.8</v>
      </c>
      <c r="G203" s="382"/>
      <c r="H203" s="1"/>
      <c r="I203" s="271" t="s">
        <v>291</v>
      </c>
      <c r="J203" s="377"/>
      <c r="K203" s="375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</row>
    <row r="204" spans="1:35" ht="9.9499999999999993" customHeight="1" x14ac:dyDescent="0.15">
      <c r="A204" s="1"/>
      <c r="B204" s="321"/>
      <c r="C204" s="321"/>
      <c r="D204" s="321"/>
      <c r="E204" s="380" t="s">
        <v>294</v>
      </c>
      <c r="F204" s="381">
        <v>56.9</v>
      </c>
      <c r="G204" s="382"/>
      <c r="H204" s="1"/>
      <c r="I204" s="271" t="s">
        <v>294</v>
      </c>
      <c r="J204" s="383"/>
      <c r="K204" s="384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</row>
    <row r="205" spans="1:35" ht="9.9499999999999993" customHeight="1" x14ac:dyDescent="0.15">
      <c r="A205" s="1"/>
      <c r="B205" s="321"/>
      <c r="C205" s="321"/>
      <c r="D205" s="321"/>
      <c r="E205" s="380" t="s">
        <v>297</v>
      </c>
      <c r="F205" s="381">
        <v>27.8</v>
      </c>
      <c r="G205" s="382"/>
      <c r="H205" s="1"/>
      <c r="I205" s="271" t="s">
        <v>297</v>
      </c>
      <c r="J205" s="383"/>
      <c r="K205" s="384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</row>
    <row r="206" spans="1:35" ht="9.9499999999999993" customHeight="1" x14ac:dyDescent="0.15">
      <c r="A206" s="1"/>
      <c r="B206" s="324"/>
      <c r="C206" s="324"/>
      <c r="D206" s="324"/>
      <c r="E206" s="380" t="s">
        <v>300</v>
      </c>
      <c r="F206" s="381">
        <v>4.5999999999999996</v>
      </c>
      <c r="G206" s="382"/>
      <c r="H206" s="1"/>
      <c r="I206" s="271" t="s">
        <v>300</v>
      </c>
      <c r="J206" s="383"/>
      <c r="K206" s="384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</row>
    <row r="207" spans="1:35" ht="9.9499999999999993" customHeight="1" x14ac:dyDescent="0.15">
      <c r="A207" s="1"/>
      <c r="B207" s="79"/>
      <c r="C207" s="79"/>
      <c r="D207" s="79"/>
      <c r="E207" s="370"/>
      <c r="F207" s="385"/>
      <c r="G207" s="386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</row>
    <row r="208" spans="1:35" ht="9.9499999999999993" customHeight="1" x14ac:dyDescent="0.15">
      <c r="A208" s="1"/>
      <c r="B208" s="240" t="s">
        <v>345</v>
      </c>
      <c r="AG208" s="1"/>
      <c r="AH208" s="1"/>
      <c r="AI208" s="1"/>
    </row>
    <row r="209" spans="1:35" ht="9.9499999999999993" customHeight="1" x14ac:dyDescent="0.15">
      <c r="A209" s="1"/>
      <c r="B209" s="642"/>
      <c r="C209" s="278" t="s">
        <v>256</v>
      </c>
      <c r="D209" s="279" t="s">
        <v>497</v>
      </c>
      <c r="E209" s="280" t="s">
        <v>258</v>
      </c>
      <c r="F209" s="281"/>
      <c r="G209" s="282"/>
      <c r="H209" s="283" t="s">
        <v>259</v>
      </c>
      <c r="I209" s="284"/>
      <c r="J209" s="284"/>
      <c r="K209" s="284"/>
      <c r="L209" s="284"/>
      <c r="M209" s="285"/>
      <c r="N209" s="285"/>
      <c r="O209" s="285"/>
      <c r="P209" s="285"/>
      <c r="Q209" s="285"/>
      <c r="R209" s="285"/>
      <c r="S209" s="285"/>
      <c r="T209" s="285"/>
      <c r="U209" s="285"/>
      <c r="V209" s="285"/>
      <c r="W209" s="285"/>
      <c r="X209" s="285"/>
      <c r="Y209" s="285"/>
      <c r="Z209" s="285"/>
      <c r="AA209" s="285"/>
      <c r="AB209" s="286"/>
      <c r="AC209" s="287" t="s">
        <v>260</v>
      </c>
      <c r="AD209" s="288"/>
      <c r="AE209" s="289"/>
      <c r="AF209" s="289"/>
      <c r="AG209" s="1"/>
      <c r="AH209" s="1"/>
      <c r="AI209" s="1"/>
    </row>
    <row r="210" spans="1:35" ht="9.9499999999999993" customHeight="1" x14ac:dyDescent="0.15">
      <c r="A210" s="1"/>
      <c r="B210" s="643"/>
      <c r="C210" s="290"/>
      <c r="D210" s="290"/>
      <c r="E210" s="291"/>
      <c r="F210" s="250"/>
      <c r="G210" s="292"/>
      <c r="H210" s="293" t="s">
        <v>261</v>
      </c>
      <c r="I210" s="294"/>
      <c r="J210" s="294"/>
      <c r="K210" s="294"/>
      <c r="L210" s="294"/>
      <c r="M210" s="295"/>
      <c r="N210" s="283" t="s">
        <v>262</v>
      </c>
      <c r="O210" s="285"/>
      <c r="P210" s="285"/>
      <c r="Q210" s="285"/>
      <c r="R210" s="286"/>
      <c r="S210" s="283" t="s">
        <v>498</v>
      </c>
      <c r="T210" s="285"/>
      <c r="U210" s="285"/>
      <c r="V210" s="285"/>
      <c r="W210" s="286"/>
      <c r="X210" s="283" t="s">
        <v>264</v>
      </c>
      <c r="Y210" s="285"/>
      <c r="Z210" s="285"/>
      <c r="AA210" s="285"/>
      <c r="AB210" s="286"/>
      <c r="AC210" s="79"/>
      <c r="AD210" s="296"/>
      <c r="AE210" s="289"/>
      <c r="AF210" s="289"/>
      <c r="AG210" s="1"/>
      <c r="AH210" s="1"/>
      <c r="AI210" s="1"/>
    </row>
    <row r="211" spans="1:35" ht="9.9499999999999993" customHeight="1" x14ac:dyDescent="0.15">
      <c r="A211" s="1"/>
      <c r="B211" s="643"/>
      <c r="C211" s="290"/>
      <c r="D211" s="290"/>
      <c r="E211" s="291"/>
      <c r="F211" s="250"/>
      <c r="G211" s="292"/>
      <c r="H211" s="297" t="s">
        <v>218</v>
      </c>
      <c r="I211" s="297"/>
      <c r="J211" s="297"/>
      <c r="K211" s="297"/>
      <c r="L211" s="297"/>
      <c r="M211" s="298"/>
      <c r="N211" s="293"/>
      <c r="O211" s="294"/>
      <c r="P211" s="294"/>
      <c r="Q211" s="294"/>
      <c r="R211" s="295"/>
      <c r="S211" s="293"/>
      <c r="T211" s="294"/>
      <c r="U211" s="294"/>
      <c r="V211" s="294"/>
      <c r="W211" s="295"/>
      <c r="X211" s="293"/>
      <c r="Y211" s="294"/>
      <c r="Z211" s="294"/>
      <c r="AA211" s="294"/>
      <c r="AB211" s="295"/>
      <c r="AC211" s="79"/>
      <c r="AD211" s="296"/>
      <c r="AE211" s="289"/>
      <c r="AF211" s="289"/>
      <c r="AG211" s="1"/>
      <c r="AH211" s="1"/>
      <c r="AI211" s="1"/>
    </row>
    <row r="212" spans="1:35" ht="9.9499999999999993" customHeight="1" x14ac:dyDescent="0.15">
      <c r="A212" s="1"/>
      <c r="B212" s="644"/>
      <c r="C212" s="261"/>
      <c r="D212" s="261"/>
      <c r="E212" s="299"/>
      <c r="F212" s="300"/>
      <c r="G212" s="301"/>
      <c r="H212" s="302"/>
      <c r="I212" s="303" t="s">
        <v>220</v>
      </c>
      <c r="J212" s="303"/>
      <c r="K212" s="303"/>
      <c r="L212" s="303"/>
      <c r="M212" s="304"/>
      <c r="N212" s="305"/>
      <c r="O212" s="305"/>
      <c r="P212" s="305"/>
      <c r="Q212" s="305"/>
      <c r="R212" s="306"/>
      <c r="S212" s="305" t="s">
        <v>265</v>
      </c>
      <c r="T212" s="305"/>
      <c r="U212" s="305"/>
      <c r="V212" s="305"/>
      <c r="W212" s="306"/>
      <c r="X212" s="305"/>
      <c r="Y212" s="305"/>
      <c r="Z212" s="305"/>
      <c r="AA212" s="305"/>
      <c r="AB212" s="306"/>
      <c r="AC212" s="305"/>
      <c r="AD212" s="307"/>
      <c r="AE212" s="289"/>
      <c r="AF212" s="289"/>
      <c r="AG212" s="1"/>
      <c r="AH212" s="1"/>
      <c r="AI212" s="1"/>
    </row>
    <row r="213" spans="1:35" ht="9.9499999999999993" customHeight="1" x14ac:dyDescent="0.15">
      <c r="A213" s="1"/>
      <c r="B213" s="86" t="s">
        <v>499</v>
      </c>
      <c r="C213" s="278" t="s">
        <v>500</v>
      </c>
      <c r="D213" s="278" t="s">
        <v>501</v>
      </c>
      <c r="E213" s="280" t="s">
        <v>502</v>
      </c>
      <c r="F213" s="281"/>
      <c r="G213" s="282"/>
      <c r="H213" s="256" t="s">
        <v>525</v>
      </c>
      <c r="I213" s="256" t="s">
        <v>543</v>
      </c>
      <c r="J213" s="256" t="s">
        <v>527</v>
      </c>
      <c r="K213" s="256" t="s">
        <v>528</v>
      </c>
      <c r="L213" s="256" t="s">
        <v>532</v>
      </c>
      <c r="M213" s="309" t="s">
        <v>530</v>
      </c>
      <c r="N213" s="310" t="s">
        <v>545</v>
      </c>
      <c r="O213" s="311" t="s">
        <v>546</v>
      </c>
      <c r="P213" s="311" t="s">
        <v>547</v>
      </c>
      <c r="Q213" s="311" t="s">
        <v>548</v>
      </c>
      <c r="R213" s="312" t="s">
        <v>549</v>
      </c>
      <c r="S213" s="313" t="s">
        <v>550</v>
      </c>
      <c r="T213" s="313" t="s">
        <v>551</v>
      </c>
      <c r="U213" s="313" t="s">
        <v>567</v>
      </c>
      <c r="V213" s="313" t="s">
        <v>553</v>
      </c>
      <c r="W213" s="314" t="s">
        <v>554</v>
      </c>
      <c r="X213" s="313" t="s">
        <v>555</v>
      </c>
      <c r="Y213" s="313" t="s">
        <v>556</v>
      </c>
      <c r="Z213" s="313" t="s">
        <v>557</v>
      </c>
      <c r="AA213" s="313" t="s">
        <v>558</v>
      </c>
      <c r="AB213" s="314" t="s">
        <v>559</v>
      </c>
      <c r="AC213" s="387" t="s">
        <v>285</v>
      </c>
      <c r="AD213" s="86" t="s">
        <v>286</v>
      </c>
      <c r="AE213" s="289"/>
      <c r="AF213" s="289"/>
      <c r="AG213" s="289"/>
    </row>
    <row r="214" spans="1:35" ht="9.9499999999999993" customHeight="1" x14ac:dyDescent="0.15">
      <c r="A214" s="1"/>
      <c r="B214" s="379" t="s">
        <v>512</v>
      </c>
      <c r="C214" s="290"/>
      <c r="D214" s="290" t="s">
        <v>354</v>
      </c>
      <c r="E214" s="299"/>
      <c r="F214" s="300"/>
      <c r="G214" s="301"/>
      <c r="H214" s="318" t="s">
        <v>234</v>
      </c>
      <c r="I214" s="319" t="s">
        <v>235</v>
      </c>
      <c r="J214" s="319" t="s">
        <v>236</v>
      </c>
      <c r="K214" s="319" t="s">
        <v>237</v>
      </c>
      <c r="L214" s="319" t="s">
        <v>238</v>
      </c>
      <c r="M214" s="320" t="s">
        <v>239</v>
      </c>
      <c r="N214" s="318" t="s">
        <v>234</v>
      </c>
      <c r="O214" s="319" t="s">
        <v>235</v>
      </c>
      <c r="P214" s="319" t="s">
        <v>236</v>
      </c>
      <c r="Q214" s="319" t="s">
        <v>237</v>
      </c>
      <c r="R214" s="320" t="s">
        <v>238</v>
      </c>
      <c r="S214" s="318" t="s">
        <v>234</v>
      </c>
      <c r="T214" s="319" t="s">
        <v>235</v>
      </c>
      <c r="U214" s="319" t="s">
        <v>236</v>
      </c>
      <c r="V214" s="319" t="s">
        <v>237</v>
      </c>
      <c r="W214" s="320" t="s">
        <v>238</v>
      </c>
      <c r="X214" s="318" t="s">
        <v>234</v>
      </c>
      <c r="Y214" s="319" t="s">
        <v>235</v>
      </c>
      <c r="Z214" s="319" t="s">
        <v>236</v>
      </c>
      <c r="AA214" s="319" t="s">
        <v>237</v>
      </c>
      <c r="AB214" s="320" t="s">
        <v>238</v>
      </c>
      <c r="AC214" s="296"/>
      <c r="AD214" s="321"/>
      <c r="AE214" s="289"/>
      <c r="AF214" s="289"/>
      <c r="AG214" s="289"/>
    </row>
    <row r="215" spans="1:35" ht="9.9499999999999993" customHeight="1" x14ac:dyDescent="0.15">
      <c r="A215" s="1"/>
      <c r="B215" s="317"/>
      <c r="C215" s="290"/>
      <c r="D215" s="290"/>
      <c r="E215" s="87" t="s">
        <v>288</v>
      </c>
      <c r="F215" s="322"/>
      <c r="G215" s="323"/>
      <c r="H215" s="283" t="s">
        <v>355</v>
      </c>
      <c r="I215" s="284"/>
      <c r="J215" s="284"/>
      <c r="K215" s="284"/>
      <c r="L215" s="284"/>
      <c r="M215" s="286"/>
      <c r="N215" s="283" t="s">
        <v>355</v>
      </c>
      <c r="O215" s="285"/>
      <c r="P215" s="285"/>
      <c r="Q215" s="285"/>
      <c r="R215" s="286"/>
      <c r="S215" s="283" t="s">
        <v>355</v>
      </c>
      <c r="T215" s="285"/>
      <c r="U215" s="285"/>
      <c r="V215" s="285"/>
      <c r="W215" s="286"/>
      <c r="X215" s="283" t="s">
        <v>355</v>
      </c>
      <c r="Y215" s="285"/>
      <c r="Z215" s="285"/>
      <c r="AA215" s="285"/>
      <c r="AB215" s="286"/>
      <c r="AC215" s="307"/>
      <c r="AD215" s="324"/>
      <c r="AE215" s="289"/>
      <c r="AF215" s="289"/>
      <c r="AG215" s="289"/>
    </row>
    <row r="216" spans="1:35" ht="9.9499999999999993" customHeight="1" x14ac:dyDescent="0.15">
      <c r="A216" s="1"/>
      <c r="B216" s="317"/>
      <c r="C216" s="290"/>
      <c r="D216" s="290"/>
      <c r="E216" s="87" t="s">
        <v>480</v>
      </c>
      <c r="F216" s="322"/>
      <c r="G216" s="323"/>
      <c r="H216" s="325">
        <v>8.5999999999999993E-2</v>
      </c>
      <c r="I216" s="326">
        <v>8.7999999999999995E-2</v>
      </c>
      <c r="J216" s="326">
        <v>8.7999999999999995E-2</v>
      </c>
      <c r="K216" s="326">
        <v>8.2000000000000003E-2</v>
      </c>
      <c r="L216" s="326">
        <v>6.8000000000000005E-2</v>
      </c>
      <c r="M216" s="327">
        <v>8.4000000000000005E-2</v>
      </c>
      <c r="N216" s="325">
        <v>0.08</v>
      </c>
      <c r="O216" s="326">
        <v>8.7999999999999995E-2</v>
      </c>
      <c r="P216" s="326">
        <v>8.4000000000000005E-2</v>
      </c>
      <c r="Q216" s="326">
        <v>0.09</v>
      </c>
      <c r="R216" s="327">
        <v>8.7999999999999995E-2</v>
      </c>
      <c r="S216" s="325">
        <v>7.1999999999999995E-2</v>
      </c>
      <c r="T216" s="326">
        <v>0.09</v>
      </c>
      <c r="U216" s="326">
        <v>8.4000000000000005E-2</v>
      </c>
      <c r="V216" s="326">
        <v>7.1999999999999995E-2</v>
      </c>
      <c r="W216" s="327">
        <v>8.4000000000000005E-2</v>
      </c>
      <c r="X216" s="325">
        <v>7.8E-2</v>
      </c>
      <c r="Y216" s="326">
        <v>8.5999999999999993E-2</v>
      </c>
      <c r="Z216" s="326">
        <v>8.2000000000000003E-2</v>
      </c>
      <c r="AA216" s="326">
        <v>8.5999999999999993E-2</v>
      </c>
      <c r="AB216" s="327">
        <v>0.09</v>
      </c>
      <c r="AC216" s="328" t="s">
        <v>291</v>
      </c>
      <c r="AD216" s="329" t="s">
        <v>357</v>
      </c>
      <c r="AE216" s="289"/>
      <c r="AF216" s="289"/>
      <c r="AG216" s="289"/>
    </row>
    <row r="217" spans="1:35" ht="9.9499999999999993" customHeight="1" x14ac:dyDescent="0.15">
      <c r="A217" s="1"/>
      <c r="B217" s="317"/>
      <c r="C217" s="290"/>
      <c r="D217" s="290"/>
      <c r="E217" s="87" t="s">
        <v>481</v>
      </c>
      <c r="F217" s="322"/>
      <c r="G217" s="323"/>
      <c r="H217" s="330">
        <v>0.06</v>
      </c>
      <c r="I217" s="272">
        <v>6.6000000000000003E-2</v>
      </c>
      <c r="J217" s="272">
        <v>6.2E-2</v>
      </c>
      <c r="K217" s="272">
        <v>6.2E-2</v>
      </c>
      <c r="L217" s="272">
        <v>5.8000000000000003E-2</v>
      </c>
      <c r="M217" s="331">
        <v>0.06</v>
      </c>
      <c r="N217" s="330">
        <v>6.4000000000000001E-2</v>
      </c>
      <c r="O217" s="272">
        <v>6.4000000000000001E-2</v>
      </c>
      <c r="P217" s="272">
        <v>5.1999999999999998E-2</v>
      </c>
      <c r="Q217" s="272">
        <v>6.2E-2</v>
      </c>
      <c r="R217" s="331">
        <v>0.06</v>
      </c>
      <c r="S217" s="330">
        <v>0.06</v>
      </c>
      <c r="T217" s="272">
        <v>0.06</v>
      </c>
      <c r="U217" s="272">
        <v>5.3999999999999999E-2</v>
      </c>
      <c r="V217" s="272">
        <v>0.06</v>
      </c>
      <c r="W217" s="331">
        <v>5.3999999999999999E-2</v>
      </c>
      <c r="X217" s="330">
        <v>5.1999999999999998E-2</v>
      </c>
      <c r="Y217" s="272">
        <v>6.2E-2</v>
      </c>
      <c r="Z217" s="272">
        <v>0.06</v>
      </c>
      <c r="AA217" s="272">
        <v>0.06</v>
      </c>
      <c r="AB217" s="331">
        <v>7.1999999999999995E-2</v>
      </c>
      <c r="AC217" s="332" t="s">
        <v>294</v>
      </c>
      <c r="AD217" s="329" t="s">
        <v>358</v>
      </c>
      <c r="AE217" s="289"/>
      <c r="AF217" s="289"/>
      <c r="AG217" s="289"/>
    </row>
    <row r="218" spans="1:35" ht="9.9499999999999993" customHeight="1" x14ac:dyDescent="0.15">
      <c r="A218" s="1"/>
      <c r="B218" s="317"/>
      <c r="C218" s="290"/>
      <c r="D218" s="290"/>
      <c r="E218" s="87" t="s">
        <v>482</v>
      </c>
      <c r="F218" s="322"/>
      <c r="G218" s="323"/>
      <c r="H218" s="330">
        <v>6.4000000000000001E-2</v>
      </c>
      <c r="I218" s="272">
        <v>6.8000000000000005E-2</v>
      </c>
      <c r="J218" s="272">
        <v>7.1999999999999995E-2</v>
      </c>
      <c r="K218" s="272">
        <v>6.4000000000000001E-2</v>
      </c>
      <c r="L218" s="272">
        <v>6.8000000000000005E-2</v>
      </c>
      <c r="M218" s="331">
        <v>6.2E-2</v>
      </c>
      <c r="N218" s="330">
        <v>6.2E-2</v>
      </c>
      <c r="O218" s="272">
        <v>6.6000000000000003E-2</v>
      </c>
      <c r="P218" s="272">
        <v>0.06</v>
      </c>
      <c r="Q218" s="272">
        <v>6.2E-2</v>
      </c>
      <c r="R218" s="331">
        <v>6.8000000000000005E-2</v>
      </c>
      <c r="S218" s="330">
        <v>6.8000000000000005E-2</v>
      </c>
      <c r="T218" s="272">
        <v>6.8000000000000005E-2</v>
      </c>
      <c r="U218" s="272">
        <v>6.8000000000000005E-2</v>
      </c>
      <c r="V218" s="272">
        <v>5.8000000000000003E-2</v>
      </c>
      <c r="W218" s="331">
        <v>6.4000000000000001E-2</v>
      </c>
      <c r="X218" s="330">
        <v>0.06</v>
      </c>
      <c r="Y218" s="272">
        <v>6.6000000000000003E-2</v>
      </c>
      <c r="Z218" s="272">
        <v>6.6000000000000003E-2</v>
      </c>
      <c r="AA218" s="272">
        <v>7.0000000000000007E-2</v>
      </c>
      <c r="AB218" s="331">
        <v>6.8000000000000005E-2</v>
      </c>
      <c r="AC218" s="332" t="s">
        <v>297</v>
      </c>
      <c r="AD218" s="329" t="s">
        <v>359</v>
      </c>
      <c r="AE218" s="289"/>
      <c r="AF218" s="289"/>
      <c r="AG218" s="289"/>
    </row>
    <row r="219" spans="1:35" ht="9.9499999999999993" customHeight="1" x14ac:dyDescent="0.15">
      <c r="A219" s="1"/>
      <c r="B219" s="317"/>
      <c r="C219" s="290"/>
      <c r="D219" s="290"/>
      <c r="E219" s="87" t="s">
        <v>483</v>
      </c>
      <c r="F219" s="322"/>
      <c r="G219" s="323"/>
      <c r="H219" s="330">
        <v>8.4000000000000005E-2</v>
      </c>
      <c r="I219" s="272">
        <v>0.09</v>
      </c>
      <c r="J219" s="272">
        <v>8.5999999999999993E-2</v>
      </c>
      <c r="K219" s="272">
        <v>7.8E-2</v>
      </c>
      <c r="L219" s="272">
        <v>8.7999999999999995E-2</v>
      </c>
      <c r="M219" s="331">
        <v>8.5999999999999993E-2</v>
      </c>
      <c r="N219" s="330">
        <v>8.4000000000000005E-2</v>
      </c>
      <c r="O219" s="272">
        <v>7.8E-2</v>
      </c>
      <c r="P219" s="272">
        <v>7.5999999999999998E-2</v>
      </c>
      <c r="Q219" s="272">
        <v>7.8E-2</v>
      </c>
      <c r="R219" s="331">
        <v>8.2000000000000003E-2</v>
      </c>
      <c r="S219" s="330">
        <v>8.4000000000000005E-2</v>
      </c>
      <c r="T219" s="272">
        <v>8.4000000000000005E-2</v>
      </c>
      <c r="U219" s="272">
        <v>7.8E-2</v>
      </c>
      <c r="V219" s="272">
        <v>7.5999999999999998E-2</v>
      </c>
      <c r="W219" s="331">
        <v>8.2000000000000003E-2</v>
      </c>
      <c r="X219" s="330">
        <v>7.8E-2</v>
      </c>
      <c r="Y219" s="272">
        <v>0.09</v>
      </c>
      <c r="Z219" s="272">
        <v>7.8E-2</v>
      </c>
      <c r="AA219" s="272">
        <v>8.2000000000000003E-2</v>
      </c>
      <c r="AB219" s="331">
        <v>0.09</v>
      </c>
      <c r="AC219" s="388" t="s">
        <v>300</v>
      </c>
      <c r="AD219" s="389" t="s">
        <v>360</v>
      </c>
      <c r="AE219" s="289"/>
      <c r="AF219" s="289"/>
      <c r="AG219" s="289"/>
    </row>
    <row r="220" spans="1:35" ht="9.9499999999999993" customHeight="1" x14ac:dyDescent="0.15">
      <c r="A220" s="1"/>
      <c r="B220" s="333"/>
      <c r="C220" s="261"/>
      <c r="D220" s="261"/>
      <c r="E220" s="87" t="s">
        <v>513</v>
      </c>
      <c r="F220" s="322"/>
      <c r="G220" s="323"/>
      <c r="H220" s="390">
        <v>4.5999999999999999E-2</v>
      </c>
      <c r="I220" s="391">
        <v>0.05</v>
      </c>
      <c r="J220" s="391">
        <v>4.8000000000000001E-2</v>
      </c>
      <c r="K220" s="391">
        <v>4.3999999999999997E-2</v>
      </c>
      <c r="L220" s="391">
        <v>5.3999999999999999E-2</v>
      </c>
      <c r="M220" s="392">
        <v>0.05</v>
      </c>
      <c r="N220" s="390">
        <v>0.05</v>
      </c>
      <c r="O220" s="391">
        <v>5.1999999999999998E-2</v>
      </c>
      <c r="P220" s="391">
        <v>0.05</v>
      </c>
      <c r="Q220" s="391">
        <v>0.05</v>
      </c>
      <c r="R220" s="392">
        <v>4.5999999999999999E-2</v>
      </c>
      <c r="S220" s="390">
        <v>4.3999999999999997E-2</v>
      </c>
      <c r="T220" s="391">
        <v>4.3999999999999997E-2</v>
      </c>
      <c r="U220" s="391">
        <v>4.5999999999999999E-2</v>
      </c>
      <c r="V220" s="391">
        <v>5.1999999999999998E-2</v>
      </c>
      <c r="W220" s="392">
        <v>0.05</v>
      </c>
      <c r="X220" s="390">
        <v>4.8000000000000001E-2</v>
      </c>
      <c r="Y220" s="391">
        <v>5.6000000000000001E-2</v>
      </c>
      <c r="Z220" s="391">
        <v>0.05</v>
      </c>
      <c r="AA220" s="391">
        <v>0.05</v>
      </c>
      <c r="AB220" s="393">
        <v>5.1999999999999998E-2</v>
      </c>
      <c r="AC220" s="357" t="s">
        <v>362</v>
      </c>
      <c r="AD220" s="394" t="s">
        <v>363</v>
      </c>
      <c r="AE220" s="289"/>
      <c r="AF220" s="289"/>
      <c r="AG220" s="289"/>
    </row>
    <row r="221" spans="1:35" ht="9.9499999999999993" customHeight="1" x14ac:dyDescent="0.15">
      <c r="A221" s="1"/>
      <c r="B221" s="515" t="s">
        <v>514</v>
      </c>
      <c r="C221" s="395" t="s">
        <v>515</v>
      </c>
      <c r="D221" s="290" t="s">
        <v>366</v>
      </c>
      <c r="E221" s="87" t="s">
        <v>516</v>
      </c>
      <c r="F221" s="322"/>
      <c r="G221" s="323"/>
      <c r="H221" s="283" t="s">
        <v>568</v>
      </c>
      <c r="I221" s="285"/>
      <c r="J221" s="285"/>
      <c r="K221" s="285"/>
      <c r="L221" s="285"/>
      <c r="M221" s="285"/>
      <c r="N221" s="285"/>
      <c r="O221" s="285"/>
      <c r="P221" s="285"/>
      <c r="Q221" s="285"/>
      <c r="R221" s="285"/>
      <c r="S221" s="285"/>
      <c r="T221" s="285"/>
      <c r="U221" s="285"/>
      <c r="V221" s="285"/>
      <c r="W221" s="285"/>
      <c r="X221" s="285"/>
      <c r="Y221" s="285"/>
      <c r="Z221" s="285"/>
      <c r="AA221" s="285"/>
      <c r="AB221" s="397"/>
      <c r="AC221" s="357" t="s">
        <v>285</v>
      </c>
      <c r="AD221" s="88" t="s">
        <v>286</v>
      </c>
      <c r="AE221" s="289"/>
      <c r="AF221" s="289"/>
      <c r="AG221" s="289"/>
    </row>
    <row r="222" spans="1:35" ht="9.9499999999999993" customHeight="1" x14ac:dyDescent="0.15">
      <c r="A222" s="1"/>
      <c r="B222" s="350" t="s">
        <v>369</v>
      </c>
      <c r="C222" s="350" t="s">
        <v>343</v>
      </c>
      <c r="D222" s="261"/>
      <c r="E222" s="87" t="s">
        <v>519</v>
      </c>
      <c r="F222" s="322"/>
      <c r="G222" s="323"/>
      <c r="H222" s="283" t="s">
        <v>110</v>
      </c>
      <c r="I222" s="285"/>
      <c r="J222" s="285"/>
      <c r="K222" s="285"/>
      <c r="L222" s="285"/>
      <c r="M222" s="285"/>
      <c r="N222" s="285"/>
      <c r="O222" s="285"/>
      <c r="P222" s="285"/>
      <c r="Q222" s="285"/>
      <c r="R222" s="285"/>
      <c r="S222" s="285"/>
      <c r="T222" s="285"/>
      <c r="U222" s="285"/>
      <c r="V222" s="285"/>
      <c r="W222" s="285"/>
      <c r="X222" s="285"/>
      <c r="Y222" s="285"/>
      <c r="Z222" s="285"/>
      <c r="AA222" s="285"/>
      <c r="AB222" s="397"/>
      <c r="AC222" s="357" t="s">
        <v>371</v>
      </c>
      <c r="AD222" s="88" t="s">
        <v>110</v>
      </c>
      <c r="AE222" s="289"/>
      <c r="AF222" s="289"/>
      <c r="AG222" s="289"/>
    </row>
    <row r="223" spans="1:35" ht="9.9499999999999993" customHeight="1" x14ac:dyDescent="0.15">
      <c r="A223" s="1"/>
      <c r="B223" s="81" t="s">
        <v>372</v>
      </c>
      <c r="AG223" s="289"/>
    </row>
    <row r="224" spans="1:35" ht="9.9499999999999993" customHeight="1" x14ac:dyDescent="0.15">
      <c r="A224" s="1"/>
      <c r="B224" s="81" t="s">
        <v>373</v>
      </c>
    </row>
    <row r="225" spans="1:35" ht="9.9499999999999993" customHeight="1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</row>
    <row r="226" spans="1:35" ht="9.9499999999999993" customHeight="1" x14ac:dyDescent="0.15">
      <c r="A226" s="1"/>
      <c r="B226" s="237" t="s">
        <v>569</v>
      </c>
      <c r="C226" s="238"/>
      <c r="D226" s="239" t="s">
        <v>216</v>
      </c>
      <c r="E226" s="238"/>
      <c r="F226" s="238"/>
      <c r="G226" s="238"/>
      <c r="H226" s="238"/>
      <c r="I226" s="238"/>
      <c r="J226" s="238"/>
      <c r="K226" s="238"/>
      <c r="L226" s="238"/>
      <c r="M226" s="238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</row>
    <row r="227" spans="1:35" ht="9.9499999999999993" customHeight="1" x14ac:dyDescent="0.15">
      <c r="A227" s="1"/>
      <c r="B227" s="572" t="s">
        <v>217</v>
      </c>
      <c r="H227" s="579" t="s">
        <v>218</v>
      </c>
      <c r="I227" s="398"/>
      <c r="J227" s="398"/>
      <c r="K227" s="398"/>
      <c r="L227" s="398"/>
      <c r="M227" s="399"/>
      <c r="AA227" s="1"/>
      <c r="AB227" s="1"/>
      <c r="AC227" s="1"/>
      <c r="AD227" s="1"/>
      <c r="AE227" s="1"/>
      <c r="AF227" s="1"/>
      <c r="AG227" s="1"/>
      <c r="AH227" s="1"/>
      <c r="AI227" s="1"/>
    </row>
    <row r="228" spans="1:35" ht="9.9499999999999993" customHeight="1" x14ac:dyDescent="0.15">
      <c r="A228" s="1"/>
      <c r="B228" s="580"/>
      <c r="C228" s="581"/>
      <c r="D228" s="581"/>
      <c r="E228" s="400"/>
      <c r="F228" s="401"/>
      <c r="G228" s="245" t="s">
        <v>219</v>
      </c>
      <c r="H228" s="582"/>
      <c r="I228" s="402" t="s">
        <v>220</v>
      </c>
      <c r="J228" s="402"/>
      <c r="K228" s="402"/>
      <c r="L228" s="403"/>
      <c r="M228" s="404"/>
      <c r="P228" s="1"/>
      <c r="Q228" s="240" t="s">
        <v>221</v>
      </c>
      <c r="R228" s="249"/>
      <c r="S228" s="250"/>
      <c r="T228" s="250"/>
      <c r="U228" s="250"/>
      <c r="V228" s="250"/>
      <c r="W228" s="250"/>
      <c r="AA228" s="1"/>
      <c r="AB228" s="1"/>
      <c r="AC228" s="1"/>
      <c r="AD228" s="1"/>
      <c r="AE228" s="1"/>
      <c r="AF228" s="1"/>
      <c r="AG228" s="1"/>
      <c r="AH228" s="1"/>
      <c r="AI228" s="1"/>
    </row>
    <row r="229" spans="1:35" ht="9.9499999999999993" customHeight="1" x14ac:dyDescent="0.15">
      <c r="A229" s="1"/>
      <c r="B229" s="251" t="s">
        <v>222</v>
      </c>
      <c r="C229" s="252" t="s">
        <v>523</v>
      </c>
      <c r="D229" s="252" t="s">
        <v>524</v>
      </c>
      <c r="E229" s="253" t="s">
        <v>225</v>
      </c>
      <c r="F229" s="254"/>
      <c r="G229" s="405" t="s">
        <v>502</v>
      </c>
      <c r="H229" s="256" t="s">
        <v>570</v>
      </c>
      <c r="I229" s="256" t="s">
        <v>571</v>
      </c>
      <c r="J229" s="256" t="s">
        <v>572</v>
      </c>
      <c r="K229" s="256" t="s">
        <v>573</v>
      </c>
      <c r="L229" s="256" t="s">
        <v>574</v>
      </c>
      <c r="M229" s="256" t="s">
        <v>575</v>
      </c>
      <c r="P229" s="1"/>
      <c r="Q229" s="240" t="s">
        <v>233</v>
      </c>
      <c r="R229" s="256" t="s">
        <v>570</v>
      </c>
      <c r="S229" s="256" t="s">
        <v>571</v>
      </c>
      <c r="T229" s="256" t="s">
        <v>572</v>
      </c>
      <c r="U229" s="256" t="s">
        <v>573</v>
      </c>
      <c r="V229" s="256" t="s">
        <v>574</v>
      </c>
      <c r="W229" s="256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</row>
    <row r="230" spans="1:35" ht="9.9499999999999993" customHeight="1" x14ac:dyDescent="0.15">
      <c r="A230" s="1"/>
      <c r="B230" s="257"/>
      <c r="C230" s="258"/>
      <c r="D230" s="258"/>
      <c r="E230" s="406"/>
      <c r="F230" s="250"/>
      <c r="G230" s="258"/>
      <c r="H230" s="260" t="s">
        <v>234</v>
      </c>
      <c r="I230" s="260" t="s">
        <v>235</v>
      </c>
      <c r="J230" s="260" t="s">
        <v>236</v>
      </c>
      <c r="K230" s="260" t="s">
        <v>237</v>
      </c>
      <c r="L230" s="260" t="s">
        <v>238</v>
      </c>
      <c r="M230" s="260" t="s">
        <v>239</v>
      </c>
      <c r="P230" s="1"/>
      <c r="R230" s="261" t="s">
        <v>533</v>
      </c>
      <c r="S230" s="262" t="s">
        <v>534</v>
      </c>
      <c r="T230" s="262" t="s">
        <v>535</v>
      </c>
      <c r="U230" s="262" t="s">
        <v>536</v>
      </c>
      <c r="V230" s="262" t="s">
        <v>537</v>
      </c>
      <c r="W230" s="262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</row>
    <row r="231" spans="1:35" ht="9.9499999999999993" customHeight="1" x14ac:dyDescent="0.15">
      <c r="A231" s="1"/>
      <c r="B231" s="263" t="s">
        <v>576</v>
      </c>
      <c r="C231" s="264" t="s">
        <v>577</v>
      </c>
      <c r="D231" s="265" t="s">
        <v>578</v>
      </c>
      <c r="E231" s="266" t="s">
        <v>579</v>
      </c>
      <c r="F231" s="267"/>
      <c r="G231" s="268" t="s">
        <v>249</v>
      </c>
      <c r="H231" s="269">
        <v>6625.4</v>
      </c>
      <c r="I231" s="269">
        <v>4543.7</v>
      </c>
      <c r="J231" s="269">
        <v>4241.3999999999996</v>
      </c>
      <c r="K231" s="269">
        <v>7053.6</v>
      </c>
      <c r="L231" s="269">
        <v>7533.4</v>
      </c>
      <c r="M231" s="270"/>
      <c r="Q231" s="271" t="s">
        <v>250</v>
      </c>
      <c r="R231" s="272">
        <v>4.5999999999999999E-2</v>
      </c>
      <c r="S231" s="272">
        <v>4.5999999999999999E-2</v>
      </c>
      <c r="T231" s="272">
        <v>4.5999999999999999E-2</v>
      </c>
      <c r="U231" s="272">
        <v>4.5999999999999999E-2</v>
      </c>
      <c r="V231" s="272">
        <v>4.8000000000000001E-2</v>
      </c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</row>
    <row r="232" spans="1:35" ht="9.9499999999999993" customHeight="1" x14ac:dyDescent="0.15">
      <c r="A232" s="1"/>
      <c r="B232" s="257"/>
      <c r="C232" s="258"/>
      <c r="D232" s="273"/>
      <c r="E232" s="274" t="s">
        <v>191</v>
      </c>
      <c r="F232" s="275"/>
      <c r="G232" s="276" t="s">
        <v>580</v>
      </c>
      <c r="H232" s="277">
        <v>950</v>
      </c>
      <c r="I232" s="277">
        <v>960</v>
      </c>
      <c r="J232" s="277">
        <v>950</v>
      </c>
      <c r="K232" s="277">
        <v>980</v>
      </c>
      <c r="L232" s="277">
        <v>970</v>
      </c>
      <c r="M232" s="270"/>
      <c r="Q232" s="271" t="s">
        <v>252</v>
      </c>
      <c r="R232" s="272">
        <v>6.4000000000000001E-2</v>
      </c>
      <c r="S232" s="272">
        <v>0.06</v>
      </c>
      <c r="T232" s="272">
        <v>0.06</v>
      </c>
      <c r="U232" s="272">
        <v>7.0000000000000007E-2</v>
      </c>
      <c r="V232" s="272">
        <v>6.8000000000000005E-2</v>
      </c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</row>
    <row r="233" spans="1:35" ht="9.9499999999999993" customHeight="1" x14ac:dyDescent="0.15">
      <c r="A233" s="1"/>
      <c r="B233" s="493"/>
      <c r="Q233" s="271" t="s">
        <v>253</v>
      </c>
      <c r="R233" s="272">
        <v>6.2E-2</v>
      </c>
      <c r="S233" s="272">
        <v>0.06</v>
      </c>
      <c r="T233" s="272">
        <v>6.4000000000000001E-2</v>
      </c>
      <c r="U233" s="272">
        <v>7.0000000000000007E-2</v>
      </c>
      <c r="V233" s="272">
        <v>6.2E-2</v>
      </c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</row>
    <row r="234" spans="1:35" ht="9.9499999999999993" customHeight="1" x14ac:dyDescent="0.15">
      <c r="A234" s="1"/>
      <c r="B234" s="493"/>
      <c r="Q234" s="271" t="s">
        <v>254</v>
      </c>
      <c r="R234" s="272">
        <v>4.3999999999999997E-2</v>
      </c>
      <c r="S234" s="272">
        <v>4.8000000000000001E-2</v>
      </c>
      <c r="T234" s="272">
        <v>0.06</v>
      </c>
      <c r="U234" s="272">
        <v>5.3999999999999999E-2</v>
      </c>
      <c r="V234" s="272">
        <v>5.3999999999999999E-2</v>
      </c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</row>
    <row r="235" spans="1:35" ht="9.9499999999999993" customHeight="1" x14ac:dyDescent="0.15">
      <c r="A235" s="1"/>
      <c r="B235" s="493" t="s">
        <v>541</v>
      </c>
    </row>
    <row r="236" spans="1:35" ht="9.9499999999999993" customHeight="1" x14ac:dyDescent="0.15">
      <c r="A236" s="1"/>
      <c r="B236" s="642"/>
      <c r="C236" s="278" t="s">
        <v>256</v>
      </c>
      <c r="D236" s="279" t="s">
        <v>497</v>
      </c>
      <c r="E236" s="280" t="s">
        <v>258</v>
      </c>
      <c r="F236" s="281"/>
      <c r="G236" s="282"/>
      <c r="H236" s="283" t="s">
        <v>259</v>
      </c>
      <c r="I236" s="284"/>
      <c r="J236" s="284"/>
      <c r="K236" s="284"/>
      <c r="L236" s="284"/>
      <c r="M236" s="285"/>
      <c r="N236" s="285"/>
      <c r="O236" s="285"/>
      <c r="P236" s="285"/>
      <c r="Q236" s="285"/>
      <c r="R236" s="285"/>
      <c r="S236" s="285"/>
      <c r="T236" s="285"/>
      <c r="U236" s="285"/>
      <c r="V236" s="285"/>
      <c r="W236" s="285"/>
      <c r="X236" s="285"/>
      <c r="Y236" s="285"/>
      <c r="Z236" s="285"/>
      <c r="AA236" s="285"/>
      <c r="AB236" s="286"/>
      <c r="AC236" s="287" t="s">
        <v>260</v>
      </c>
      <c r="AD236" s="288"/>
      <c r="AE236" s="289"/>
      <c r="AF236" s="289"/>
      <c r="AG236" s="289"/>
    </row>
    <row r="237" spans="1:35" ht="9.9499999999999993" customHeight="1" x14ac:dyDescent="0.15">
      <c r="A237" s="1"/>
      <c r="B237" s="643"/>
      <c r="C237" s="290"/>
      <c r="D237" s="290"/>
      <c r="E237" s="291"/>
      <c r="F237" s="250"/>
      <c r="G237" s="292"/>
      <c r="H237" s="293" t="s">
        <v>261</v>
      </c>
      <c r="I237" s="294"/>
      <c r="J237" s="294"/>
      <c r="K237" s="294"/>
      <c r="L237" s="294"/>
      <c r="M237" s="295"/>
      <c r="N237" s="283" t="s">
        <v>262</v>
      </c>
      <c r="O237" s="285"/>
      <c r="P237" s="285"/>
      <c r="Q237" s="285"/>
      <c r="R237" s="286"/>
      <c r="S237" s="283" t="s">
        <v>498</v>
      </c>
      <c r="T237" s="285"/>
      <c r="U237" s="285"/>
      <c r="V237" s="285"/>
      <c r="W237" s="286"/>
      <c r="X237" s="283" t="s">
        <v>264</v>
      </c>
      <c r="Y237" s="285"/>
      <c r="Z237" s="285"/>
      <c r="AA237" s="285"/>
      <c r="AB237" s="286"/>
      <c r="AC237" s="79"/>
      <c r="AD237" s="296"/>
      <c r="AE237" s="289"/>
      <c r="AF237" s="289"/>
      <c r="AG237" s="289"/>
    </row>
    <row r="238" spans="1:35" ht="9.9499999999999993" customHeight="1" x14ac:dyDescent="0.15">
      <c r="A238" s="1"/>
      <c r="B238" s="643"/>
      <c r="C238" s="290"/>
      <c r="D238" s="290"/>
      <c r="E238" s="291"/>
      <c r="F238" s="250"/>
      <c r="G238" s="292"/>
      <c r="H238" s="297" t="s">
        <v>218</v>
      </c>
      <c r="I238" s="297"/>
      <c r="J238" s="297"/>
      <c r="K238" s="297"/>
      <c r="L238" s="297"/>
      <c r="M238" s="298"/>
      <c r="N238" s="293"/>
      <c r="O238" s="294"/>
      <c r="P238" s="294"/>
      <c r="Q238" s="294"/>
      <c r="R238" s="294"/>
      <c r="S238" s="293"/>
      <c r="T238" s="294"/>
      <c r="U238" s="294"/>
      <c r="V238" s="294"/>
      <c r="W238" s="294"/>
      <c r="X238" s="293"/>
      <c r="Y238" s="294"/>
      <c r="Z238" s="294"/>
      <c r="AA238" s="294"/>
      <c r="AB238" s="295"/>
      <c r="AC238" s="79"/>
      <c r="AD238" s="296"/>
      <c r="AE238" s="289"/>
      <c r="AF238" s="289"/>
      <c r="AG238" s="289"/>
    </row>
    <row r="239" spans="1:35" ht="9.9499999999999993" customHeight="1" x14ac:dyDescent="0.15">
      <c r="A239" s="1"/>
      <c r="B239" s="644"/>
      <c r="C239" s="261"/>
      <c r="D239" s="261"/>
      <c r="E239" s="299"/>
      <c r="F239" s="300"/>
      <c r="G239" s="301"/>
      <c r="H239" s="302"/>
      <c r="I239" s="303" t="s">
        <v>220</v>
      </c>
      <c r="J239" s="303"/>
      <c r="K239" s="303"/>
      <c r="L239" s="303"/>
      <c r="M239" s="304"/>
      <c r="N239" s="305"/>
      <c r="O239" s="305"/>
      <c r="P239" s="305"/>
      <c r="Q239" s="305"/>
      <c r="R239" s="305"/>
      <c r="S239" s="305" t="s">
        <v>265</v>
      </c>
      <c r="T239" s="305"/>
      <c r="U239" s="305"/>
      <c r="V239" s="305"/>
      <c r="W239" s="305"/>
      <c r="X239" s="305"/>
      <c r="Y239" s="305"/>
      <c r="Z239" s="305"/>
      <c r="AA239" s="305"/>
      <c r="AB239" s="306"/>
      <c r="AC239" s="305"/>
      <c r="AD239" s="307"/>
      <c r="AE239" s="289"/>
      <c r="AF239" s="289"/>
      <c r="AG239" s="289"/>
    </row>
    <row r="240" spans="1:35" ht="9.9499999999999993" customHeight="1" x14ac:dyDescent="0.15">
      <c r="A240" s="1"/>
      <c r="B240" s="308" t="s">
        <v>542</v>
      </c>
      <c r="C240" s="278" t="s">
        <v>500</v>
      </c>
      <c r="D240" s="86" t="s">
        <v>268</v>
      </c>
      <c r="E240" s="280" t="s">
        <v>502</v>
      </c>
      <c r="F240" s="281"/>
      <c r="G240" s="282"/>
      <c r="H240" s="256" t="s">
        <v>581</v>
      </c>
      <c r="I240" s="256" t="s">
        <v>582</v>
      </c>
      <c r="J240" s="256" t="s">
        <v>583</v>
      </c>
      <c r="K240" s="256" t="s">
        <v>584</v>
      </c>
      <c r="L240" s="256" t="s">
        <v>585</v>
      </c>
      <c r="M240" s="256" t="s">
        <v>586</v>
      </c>
      <c r="N240" s="313" t="s">
        <v>587</v>
      </c>
      <c r="O240" s="313" t="s">
        <v>588</v>
      </c>
      <c r="P240" s="313" t="s">
        <v>589</v>
      </c>
      <c r="Q240" s="313" t="s">
        <v>590</v>
      </c>
      <c r="R240" s="313" t="s">
        <v>591</v>
      </c>
      <c r="S240" s="313" t="s">
        <v>592</v>
      </c>
      <c r="T240" s="313" t="s">
        <v>593</v>
      </c>
      <c r="U240" s="313" t="s">
        <v>594</v>
      </c>
      <c r="V240" s="313" t="s">
        <v>595</v>
      </c>
      <c r="W240" s="313" t="s">
        <v>596</v>
      </c>
      <c r="X240" s="313" t="s">
        <v>597</v>
      </c>
      <c r="Y240" s="313" t="s">
        <v>598</v>
      </c>
      <c r="Z240" s="313" t="s">
        <v>599</v>
      </c>
      <c r="AA240" s="313" t="s">
        <v>600</v>
      </c>
      <c r="AB240" s="313" t="s">
        <v>601</v>
      </c>
      <c r="AC240" s="315" t="s">
        <v>285</v>
      </c>
      <c r="AD240" s="516" t="s">
        <v>286</v>
      </c>
      <c r="AE240" s="289"/>
      <c r="AF240" s="289"/>
      <c r="AG240" s="289"/>
      <c r="AH240" s="1"/>
      <c r="AI240" s="1"/>
    </row>
    <row r="241" spans="1:35" ht="9.9499999999999993" customHeight="1" x14ac:dyDescent="0.15">
      <c r="A241" s="1"/>
      <c r="B241" s="317" t="s">
        <v>417</v>
      </c>
      <c r="C241" s="290"/>
      <c r="D241" s="290"/>
      <c r="E241" s="299"/>
      <c r="F241" s="300"/>
      <c r="G241" s="301"/>
      <c r="H241" s="318" t="s">
        <v>234</v>
      </c>
      <c r="I241" s="319" t="s">
        <v>235</v>
      </c>
      <c r="J241" s="319" t="s">
        <v>236</v>
      </c>
      <c r="K241" s="319" t="s">
        <v>237</v>
      </c>
      <c r="L241" s="319" t="s">
        <v>238</v>
      </c>
      <c r="M241" s="320" t="s">
        <v>239</v>
      </c>
      <c r="N241" s="318" t="s">
        <v>234</v>
      </c>
      <c r="O241" s="319" t="s">
        <v>235</v>
      </c>
      <c r="P241" s="319" t="s">
        <v>236</v>
      </c>
      <c r="Q241" s="319" t="s">
        <v>237</v>
      </c>
      <c r="R241" s="320" t="s">
        <v>238</v>
      </c>
      <c r="S241" s="318" t="s">
        <v>234</v>
      </c>
      <c r="T241" s="319" t="s">
        <v>235</v>
      </c>
      <c r="U241" s="319" t="s">
        <v>236</v>
      </c>
      <c r="V241" s="319" t="s">
        <v>237</v>
      </c>
      <c r="W241" s="320" t="s">
        <v>238</v>
      </c>
      <c r="X241" s="318" t="s">
        <v>234</v>
      </c>
      <c r="Y241" s="319" t="s">
        <v>235</v>
      </c>
      <c r="Z241" s="319" t="s">
        <v>236</v>
      </c>
      <c r="AA241" s="319" t="s">
        <v>237</v>
      </c>
      <c r="AB241" s="320" t="s">
        <v>238</v>
      </c>
      <c r="AC241" s="296"/>
      <c r="AD241" s="321"/>
      <c r="AE241" s="289"/>
      <c r="AF241" s="289"/>
      <c r="AG241" s="289"/>
      <c r="AH241" s="1"/>
      <c r="AI241" s="1"/>
    </row>
    <row r="242" spans="1:35" ht="9.9499999999999993" customHeight="1" x14ac:dyDescent="0.15">
      <c r="A242" s="1"/>
      <c r="B242" s="317"/>
      <c r="C242" s="290"/>
      <c r="D242" s="290"/>
      <c r="E242" s="87" t="s">
        <v>288</v>
      </c>
      <c r="F242" s="322"/>
      <c r="G242" s="323"/>
      <c r="H242" s="283" t="s">
        <v>289</v>
      </c>
      <c r="I242" s="284"/>
      <c r="J242" s="284"/>
      <c r="K242" s="284"/>
      <c r="L242" s="284"/>
      <c r="M242" s="286"/>
      <c r="N242" s="283" t="s">
        <v>289</v>
      </c>
      <c r="O242" s="285"/>
      <c r="P242" s="285"/>
      <c r="Q242" s="285"/>
      <c r="R242" s="286"/>
      <c r="S242" s="283" t="s">
        <v>289</v>
      </c>
      <c r="T242" s="285"/>
      <c r="U242" s="285"/>
      <c r="V242" s="285"/>
      <c r="W242" s="286"/>
      <c r="X242" s="283" t="s">
        <v>289</v>
      </c>
      <c r="Y242" s="285"/>
      <c r="Z242" s="285"/>
      <c r="AA242" s="285"/>
      <c r="AB242" s="286"/>
      <c r="AC242" s="307"/>
      <c r="AD242" s="324"/>
      <c r="AE242" s="289"/>
      <c r="AF242" s="289"/>
      <c r="AG242" s="289"/>
      <c r="AH242" s="1"/>
      <c r="AI242" s="1"/>
    </row>
    <row r="243" spans="1:35" ht="9.9499999999999993" customHeight="1" x14ac:dyDescent="0.15">
      <c r="A243" s="1"/>
      <c r="B243" s="317"/>
      <c r="C243" s="290"/>
      <c r="D243" s="290"/>
      <c r="E243" s="87" t="s">
        <v>480</v>
      </c>
      <c r="F243" s="322"/>
      <c r="G243" s="323"/>
      <c r="H243" s="325">
        <v>4.8000000000000001E-2</v>
      </c>
      <c r="I243" s="326">
        <v>4.8000000000000001E-2</v>
      </c>
      <c r="J243" s="326">
        <v>5.3999999999999999E-2</v>
      </c>
      <c r="K243" s="326">
        <v>4.5999999999999999E-2</v>
      </c>
      <c r="L243" s="326">
        <v>4.5999999999999999E-2</v>
      </c>
      <c r="M243" s="327">
        <v>0.04</v>
      </c>
      <c r="N243" s="325">
        <v>5.1999999999999998E-2</v>
      </c>
      <c r="O243" s="326">
        <v>4.2000000000000003E-2</v>
      </c>
      <c r="P243" s="326">
        <v>4.3999999999999997E-2</v>
      </c>
      <c r="Q243" s="326">
        <v>4.5999999999999999E-2</v>
      </c>
      <c r="R243" s="327">
        <v>4.8000000000000001E-2</v>
      </c>
      <c r="S243" s="325">
        <v>4.8000000000000001E-2</v>
      </c>
      <c r="T243" s="326">
        <v>4.8000000000000001E-2</v>
      </c>
      <c r="U243" s="326">
        <v>4.5999999999999999E-2</v>
      </c>
      <c r="V243" s="326">
        <v>4.5999999999999999E-2</v>
      </c>
      <c r="W243" s="327">
        <v>4.8000000000000001E-2</v>
      </c>
      <c r="X243" s="325">
        <v>4.3999999999999997E-2</v>
      </c>
      <c r="Y243" s="326">
        <v>4.3999999999999997E-2</v>
      </c>
      <c r="Z243" s="326">
        <v>4.8000000000000001E-2</v>
      </c>
      <c r="AA243" s="326">
        <v>5.1999999999999998E-2</v>
      </c>
      <c r="AB243" s="327">
        <v>4.5999999999999999E-2</v>
      </c>
      <c r="AC243" s="328" t="s">
        <v>291</v>
      </c>
      <c r="AD243" s="329" t="s">
        <v>292</v>
      </c>
      <c r="AE243" s="289"/>
      <c r="AF243" s="289"/>
      <c r="AG243" s="289"/>
      <c r="AH243" s="1"/>
      <c r="AI243" s="1"/>
    </row>
    <row r="244" spans="1:35" ht="9.9499999999999993" customHeight="1" x14ac:dyDescent="0.15">
      <c r="A244" s="1"/>
      <c r="B244" s="317"/>
      <c r="C244" s="290"/>
      <c r="D244" s="290"/>
      <c r="E244" s="87" t="s">
        <v>481</v>
      </c>
      <c r="F244" s="322"/>
      <c r="G244" s="323"/>
      <c r="H244" s="330">
        <v>7.8E-2</v>
      </c>
      <c r="I244" s="272">
        <v>7.8E-2</v>
      </c>
      <c r="J244" s="272">
        <v>7.3999999999999996E-2</v>
      </c>
      <c r="K244" s="272">
        <v>8.2000000000000003E-2</v>
      </c>
      <c r="L244" s="272">
        <v>7.8E-2</v>
      </c>
      <c r="M244" s="331">
        <v>7.3999999999999996E-2</v>
      </c>
      <c r="N244" s="330">
        <v>7.1999999999999995E-2</v>
      </c>
      <c r="O244" s="272">
        <v>0.08</v>
      </c>
      <c r="P244" s="272">
        <v>7.5999999999999998E-2</v>
      </c>
      <c r="Q244" s="272">
        <v>7.3999999999999996E-2</v>
      </c>
      <c r="R244" s="331">
        <v>8.7999999999999995E-2</v>
      </c>
      <c r="S244" s="330">
        <v>0.08</v>
      </c>
      <c r="T244" s="272">
        <v>7.1999999999999995E-2</v>
      </c>
      <c r="U244" s="272">
        <v>0.09</v>
      </c>
      <c r="V244" s="272">
        <v>7.5999999999999998E-2</v>
      </c>
      <c r="W244" s="331">
        <v>6.6000000000000003E-2</v>
      </c>
      <c r="X244" s="330">
        <v>7.5999999999999998E-2</v>
      </c>
      <c r="Y244" s="272">
        <v>8.5999999999999993E-2</v>
      </c>
      <c r="Z244" s="272">
        <v>7.0000000000000007E-2</v>
      </c>
      <c r="AA244" s="272">
        <v>0.08</v>
      </c>
      <c r="AB244" s="331">
        <v>0.08</v>
      </c>
      <c r="AC244" s="332" t="s">
        <v>294</v>
      </c>
      <c r="AD244" s="329" t="s">
        <v>295</v>
      </c>
      <c r="AE244" s="289"/>
      <c r="AF244" s="289"/>
      <c r="AG244" s="289"/>
      <c r="AH244" s="1"/>
      <c r="AI244" s="1"/>
    </row>
    <row r="245" spans="1:35" ht="9.9499999999999993" customHeight="1" x14ac:dyDescent="0.15">
      <c r="A245" s="1"/>
      <c r="B245" s="317"/>
      <c r="C245" s="290"/>
      <c r="D245" s="290"/>
      <c r="E245" s="87" t="s">
        <v>482</v>
      </c>
      <c r="F245" s="322"/>
      <c r="G245" s="323"/>
      <c r="H245" s="330">
        <v>0.05</v>
      </c>
      <c r="I245" s="272">
        <v>5.1999999999999998E-2</v>
      </c>
      <c r="J245" s="272">
        <v>4.5999999999999999E-2</v>
      </c>
      <c r="K245" s="272">
        <v>4.5999999999999999E-2</v>
      </c>
      <c r="L245" s="272">
        <v>4.8000000000000001E-2</v>
      </c>
      <c r="M245" s="331">
        <v>5.1999999999999998E-2</v>
      </c>
      <c r="N245" s="330">
        <v>5.1999999999999998E-2</v>
      </c>
      <c r="O245" s="272">
        <v>4.5999999999999999E-2</v>
      </c>
      <c r="P245" s="272">
        <v>4.3999999999999997E-2</v>
      </c>
      <c r="Q245" s="272">
        <v>0.05</v>
      </c>
      <c r="R245" s="331">
        <v>5.8000000000000003E-2</v>
      </c>
      <c r="S245" s="330">
        <v>5.1999999999999998E-2</v>
      </c>
      <c r="T245" s="272">
        <v>5.3999999999999999E-2</v>
      </c>
      <c r="U245" s="272">
        <v>0.05</v>
      </c>
      <c r="V245" s="272">
        <v>4.8000000000000001E-2</v>
      </c>
      <c r="W245" s="331">
        <v>0.05</v>
      </c>
      <c r="X245" s="330">
        <v>4.8000000000000001E-2</v>
      </c>
      <c r="Y245" s="272">
        <v>5.1999999999999998E-2</v>
      </c>
      <c r="Z245" s="272">
        <v>5.6000000000000001E-2</v>
      </c>
      <c r="AA245" s="272">
        <v>0.05</v>
      </c>
      <c r="AB245" s="331">
        <v>4.5999999999999999E-2</v>
      </c>
      <c r="AC245" s="332" t="s">
        <v>297</v>
      </c>
      <c r="AD245" s="329" t="s">
        <v>298</v>
      </c>
      <c r="AE245" s="289"/>
      <c r="AF245" s="289"/>
      <c r="AG245" s="289"/>
      <c r="AH245" s="1"/>
      <c r="AI245" s="1"/>
    </row>
    <row r="246" spans="1:35" ht="9.9499999999999993" customHeight="1" x14ac:dyDescent="0.15">
      <c r="A246" s="1"/>
      <c r="B246" s="333"/>
      <c r="C246" s="261"/>
      <c r="D246" s="261"/>
      <c r="E246" s="87" t="s">
        <v>483</v>
      </c>
      <c r="F246" s="322"/>
      <c r="G246" s="323"/>
      <c r="H246" s="330">
        <v>4.3999999999999997E-2</v>
      </c>
      <c r="I246" s="272">
        <v>4.3999999999999997E-2</v>
      </c>
      <c r="J246" s="272">
        <v>0.04</v>
      </c>
      <c r="K246" s="272">
        <v>4.3999999999999997E-2</v>
      </c>
      <c r="L246" s="272">
        <v>4.2000000000000003E-2</v>
      </c>
      <c r="M246" s="331">
        <v>0.04</v>
      </c>
      <c r="N246" s="330">
        <v>0.05</v>
      </c>
      <c r="O246" s="272">
        <v>4.2000000000000003E-2</v>
      </c>
      <c r="P246" s="272">
        <v>3.7999999999999999E-2</v>
      </c>
      <c r="Q246" s="272">
        <v>4.2000000000000003E-2</v>
      </c>
      <c r="R246" s="331">
        <v>4.8000000000000001E-2</v>
      </c>
      <c r="S246" s="330">
        <v>3.5999999999999997E-2</v>
      </c>
      <c r="T246" s="272">
        <v>0.04</v>
      </c>
      <c r="U246" s="272">
        <v>4.3999999999999997E-2</v>
      </c>
      <c r="V246" s="272">
        <v>3.7999999999999999E-2</v>
      </c>
      <c r="W246" s="331">
        <v>4.5999999999999999E-2</v>
      </c>
      <c r="X246" s="330">
        <v>0.04</v>
      </c>
      <c r="Y246" s="272">
        <v>0.04</v>
      </c>
      <c r="Z246" s="272">
        <v>0.04</v>
      </c>
      <c r="AA246" s="272">
        <v>4.5999999999999999E-2</v>
      </c>
      <c r="AB246" s="331">
        <v>4.2000000000000003E-2</v>
      </c>
      <c r="AC246" s="332" t="s">
        <v>300</v>
      </c>
      <c r="AD246" s="329" t="s">
        <v>301</v>
      </c>
      <c r="AE246" s="289"/>
      <c r="AF246" s="289"/>
      <c r="AG246" s="289"/>
      <c r="AH246" s="1"/>
      <c r="AI246" s="1"/>
    </row>
    <row r="247" spans="1:35" ht="9.9499999999999993" customHeight="1" x14ac:dyDescent="0.15">
      <c r="A247" s="1"/>
      <c r="B247" s="334" t="s">
        <v>302</v>
      </c>
      <c r="C247" s="517" t="s">
        <v>303</v>
      </c>
      <c r="D247" s="336" t="s">
        <v>602</v>
      </c>
      <c r="E247" s="347" t="s">
        <v>485</v>
      </c>
      <c r="F247" s="322"/>
      <c r="G247" s="323"/>
      <c r="H247" s="337"/>
      <c r="I247" s="338" t="s">
        <v>306</v>
      </c>
      <c r="J247" s="338" t="s">
        <v>306</v>
      </c>
      <c r="K247" s="339" t="s">
        <v>306</v>
      </c>
      <c r="L247" s="339" t="s">
        <v>306</v>
      </c>
      <c r="M247" s="340" t="s">
        <v>306</v>
      </c>
      <c r="N247" s="341" t="s">
        <v>307</v>
      </c>
      <c r="O247" s="285"/>
      <c r="P247" s="285"/>
      <c r="Q247" s="285"/>
      <c r="R247" s="285"/>
      <c r="S247" s="285"/>
      <c r="T247" s="285"/>
      <c r="U247" s="285"/>
      <c r="V247" s="285"/>
      <c r="W247" s="285"/>
      <c r="X247" s="285"/>
      <c r="Y247" s="285"/>
      <c r="Z247" s="285"/>
      <c r="AA247" s="285"/>
      <c r="AB247" s="286"/>
      <c r="AC247" s="342" t="s">
        <v>285</v>
      </c>
      <c r="AD247" s="343" t="s">
        <v>286</v>
      </c>
      <c r="AE247" s="289"/>
      <c r="AF247" s="289"/>
      <c r="AG247" s="289"/>
      <c r="AH247" s="1"/>
      <c r="AI247" s="1"/>
    </row>
    <row r="248" spans="1:35" ht="9.9499999999999993" customHeight="1" x14ac:dyDescent="0.15">
      <c r="A248" s="1"/>
      <c r="B248" s="344" t="s">
        <v>308</v>
      </c>
      <c r="C248" s="518" t="s">
        <v>309</v>
      </c>
      <c r="D248" s="346" t="s">
        <v>328</v>
      </c>
      <c r="E248" s="347" t="s">
        <v>487</v>
      </c>
      <c r="F248" s="322"/>
      <c r="G248" s="323"/>
      <c r="H248" s="348" t="s">
        <v>603</v>
      </c>
      <c r="I248" s="284"/>
      <c r="J248" s="284"/>
      <c r="K248" s="284"/>
      <c r="L248" s="284"/>
      <c r="M248" s="286"/>
      <c r="N248" s="348" t="s">
        <v>423</v>
      </c>
      <c r="O248" s="285"/>
      <c r="P248" s="285"/>
      <c r="Q248" s="285"/>
      <c r="R248" s="285"/>
      <c r="S248" s="285"/>
      <c r="T248" s="285"/>
      <c r="U248" s="285"/>
      <c r="V248" s="285"/>
      <c r="W248" s="285"/>
      <c r="X248" s="285"/>
      <c r="Y248" s="285"/>
      <c r="Z248" s="285"/>
      <c r="AA248" s="285"/>
      <c r="AB248" s="286"/>
      <c r="AC248" s="342" t="s">
        <v>314</v>
      </c>
      <c r="AD248" s="349" t="s">
        <v>315</v>
      </c>
      <c r="AE248" s="289"/>
      <c r="AF248" s="289"/>
      <c r="AG248" s="289"/>
      <c r="AH248" s="1"/>
      <c r="AI248" s="1"/>
    </row>
    <row r="249" spans="1:35" ht="9.9499999999999993" customHeight="1" x14ac:dyDescent="0.15">
      <c r="A249" s="1"/>
      <c r="B249" s="350"/>
      <c r="C249" s="351"/>
      <c r="D249" s="261"/>
      <c r="E249" s="352" t="s">
        <v>490</v>
      </c>
      <c r="F249" s="281"/>
      <c r="G249" s="282"/>
      <c r="H249" s="348" t="s">
        <v>604</v>
      </c>
      <c r="I249" s="284"/>
      <c r="J249" s="284"/>
      <c r="K249" s="284"/>
      <c r="L249" s="284"/>
      <c r="M249" s="286"/>
      <c r="N249" s="348" t="s">
        <v>605</v>
      </c>
      <c r="O249" s="285"/>
      <c r="P249" s="285"/>
      <c r="Q249" s="285"/>
      <c r="R249" s="285"/>
      <c r="S249" s="285"/>
      <c r="T249" s="285"/>
      <c r="U249" s="285"/>
      <c r="V249" s="285"/>
      <c r="W249" s="285"/>
      <c r="X249" s="285"/>
      <c r="Y249" s="285"/>
      <c r="Z249" s="285"/>
      <c r="AA249" s="285"/>
      <c r="AB249" s="286"/>
      <c r="AC249" s="353" t="s">
        <v>318</v>
      </c>
      <c r="AD249" s="349" t="s">
        <v>319</v>
      </c>
      <c r="AE249" s="289"/>
      <c r="AF249" s="289"/>
      <c r="AG249" s="289"/>
      <c r="AH249" s="1"/>
      <c r="AI249" s="1"/>
    </row>
    <row r="250" spans="1:35" ht="9.9499999999999993" customHeight="1" x14ac:dyDescent="0.15">
      <c r="A250" s="1"/>
      <c r="B250" s="308" t="s">
        <v>320</v>
      </c>
      <c r="C250" s="519" t="s">
        <v>493</v>
      </c>
      <c r="D250" s="336" t="s">
        <v>322</v>
      </c>
      <c r="E250" s="355" t="s">
        <v>323</v>
      </c>
      <c r="F250" s="322"/>
      <c r="G250" s="323"/>
      <c r="H250" s="337"/>
      <c r="I250" s="270"/>
      <c r="J250" s="270"/>
      <c r="K250" s="645" t="s">
        <v>606</v>
      </c>
      <c r="L250" s="270"/>
      <c r="M250" s="356"/>
      <c r="N250" s="341" t="s">
        <v>607</v>
      </c>
      <c r="O250" s="285"/>
      <c r="P250" s="285"/>
      <c r="Q250" s="285"/>
      <c r="R250" s="285"/>
      <c r="S250" s="285"/>
      <c r="T250" s="285"/>
      <c r="U250" s="285"/>
      <c r="V250" s="285"/>
      <c r="W250" s="285"/>
      <c r="X250" s="285"/>
      <c r="Y250" s="285"/>
      <c r="Z250" s="285"/>
      <c r="AA250" s="285"/>
      <c r="AB250" s="286"/>
      <c r="AC250" s="357" t="s">
        <v>285</v>
      </c>
      <c r="AD250" s="520" t="s">
        <v>286</v>
      </c>
      <c r="AE250" s="289"/>
      <c r="AF250" s="289"/>
      <c r="AG250" s="289"/>
      <c r="AH250" s="1"/>
      <c r="AI250" s="1"/>
    </row>
    <row r="251" spans="1:35" ht="9.9499999999999993" customHeight="1" x14ac:dyDescent="0.15">
      <c r="A251" s="1"/>
      <c r="B251" s="317" t="s">
        <v>326</v>
      </c>
      <c r="C251" s="521" t="s">
        <v>327</v>
      </c>
      <c r="D251" s="346" t="s">
        <v>328</v>
      </c>
      <c r="E251" s="359" t="s">
        <v>329</v>
      </c>
      <c r="F251" s="281"/>
      <c r="G251" s="282"/>
      <c r="H251" s="293" t="s">
        <v>110</v>
      </c>
      <c r="I251" s="360"/>
      <c r="J251" s="360"/>
      <c r="K251" s="651"/>
      <c r="L251" s="360"/>
      <c r="M251" s="295"/>
      <c r="N251" s="249" t="s">
        <v>110</v>
      </c>
      <c r="O251" s="79"/>
      <c r="P251" s="79"/>
      <c r="Q251" s="79"/>
      <c r="R251" s="79"/>
      <c r="S251" s="79"/>
      <c r="T251" s="79"/>
      <c r="U251" s="79"/>
      <c r="V251" s="79"/>
      <c r="W251" s="79"/>
      <c r="X251" s="79"/>
      <c r="Y251" s="79"/>
      <c r="Z251" s="79"/>
      <c r="AA251" s="79"/>
      <c r="AB251" s="361"/>
      <c r="AC251" s="362" t="s">
        <v>329</v>
      </c>
      <c r="AD251" s="363" t="s">
        <v>110</v>
      </c>
      <c r="AE251" s="289"/>
      <c r="AF251" s="289"/>
      <c r="AG251" s="289"/>
      <c r="AH251" s="1"/>
      <c r="AI251" s="1"/>
    </row>
    <row r="252" spans="1:35" ht="9.9499999999999993" customHeight="1" x14ac:dyDescent="0.15">
      <c r="A252" s="1"/>
      <c r="B252" s="290"/>
      <c r="C252" s="516" t="s">
        <v>330</v>
      </c>
      <c r="D252" s="346"/>
      <c r="E252" s="299"/>
      <c r="F252" s="300"/>
      <c r="G252" s="301"/>
      <c r="H252" s="305"/>
      <c r="I252" s="364"/>
      <c r="J252" s="364"/>
      <c r="K252" s="652"/>
      <c r="L252" s="364"/>
      <c r="M252" s="306"/>
      <c r="N252" s="305"/>
      <c r="O252" s="305"/>
      <c r="P252" s="305"/>
      <c r="Q252" s="305"/>
      <c r="R252" s="305"/>
      <c r="S252" s="305"/>
      <c r="T252" s="305"/>
      <c r="U252" s="305"/>
      <c r="V252" s="305"/>
      <c r="W252" s="305"/>
      <c r="X252" s="305"/>
      <c r="Y252" s="305"/>
      <c r="Z252" s="305"/>
      <c r="AA252" s="305"/>
      <c r="AB252" s="306"/>
      <c r="AC252" s="307"/>
      <c r="AD252" s="324"/>
      <c r="AE252" s="289"/>
      <c r="AF252" s="289"/>
      <c r="AG252" s="289"/>
      <c r="AH252" s="1"/>
      <c r="AI252" s="1"/>
    </row>
    <row r="253" spans="1:35" ht="9.9499999999999993" customHeight="1" x14ac:dyDescent="0.15">
      <c r="A253" s="1"/>
      <c r="B253" s="261"/>
      <c r="C253" s="577" t="s">
        <v>331</v>
      </c>
      <c r="D253" s="365"/>
      <c r="E253" s="366" t="s">
        <v>332</v>
      </c>
      <c r="F253" s="322"/>
      <c r="G253" s="323"/>
      <c r="H253" s="283" t="s">
        <v>110</v>
      </c>
      <c r="I253" s="284"/>
      <c r="J253" s="284"/>
      <c r="K253" s="284"/>
      <c r="L253" s="284"/>
      <c r="M253" s="286"/>
      <c r="N253" s="283" t="s">
        <v>110</v>
      </c>
      <c r="O253" s="285"/>
      <c r="P253" s="285"/>
      <c r="Q253" s="285"/>
      <c r="R253" s="285"/>
      <c r="S253" s="285"/>
      <c r="T253" s="285"/>
      <c r="U253" s="285"/>
      <c r="V253" s="285"/>
      <c r="W253" s="285"/>
      <c r="X253" s="285"/>
      <c r="Y253" s="285"/>
      <c r="Z253" s="285"/>
      <c r="AA253" s="285"/>
      <c r="AB253" s="286"/>
      <c r="AC253" s="367" t="s">
        <v>608</v>
      </c>
      <c r="AD253" s="88" t="s">
        <v>110</v>
      </c>
      <c r="AE253" s="289"/>
      <c r="AF253" s="289"/>
      <c r="AG253" s="289"/>
      <c r="AH253" s="1"/>
      <c r="AI253" s="1"/>
    </row>
    <row r="254" spans="1:35" ht="9.9499999999999993" customHeight="1" x14ac:dyDescent="0.15">
      <c r="A254" s="1"/>
      <c r="B254" s="368" t="s">
        <v>333</v>
      </c>
      <c r="C254" s="578"/>
      <c r="D254" s="369"/>
      <c r="E254" s="370"/>
      <c r="F254" s="250"/>
      <c r="G254" s="250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</row>
    <row r="255" spans="1:35" ht="9.9499999999999993" customHeight="1" x14ac:dyDescent="0.15">
      <c r="A255" s="1"/>
      <c r="B255" s="368" t="s">
        <v>334</v>
      </c>
      <c r="C255" s="578"/>
      <c r="D255" s="369"/>
      <c r="E255" s="370"/>
      <c r="F255" s="250"/>
      <c r="G255" s="250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</row>
    <row r="256" spans="1:35" ht="9.9499999999999993" customHeight="1" x14ac:dyDescent="0.15">
      <c r="A256" s="1"/>
      <c r="B256" s="368" t="s">
        <v>335</v>
      </c>
      <c r="C256" s="578"/>
      <c r="D256" s="369"/>
      <c r="E256" s="370"/>
      <c r="F256" s="250"/>
      <c r="G256" s="250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</row>
    <row r="257" spans="1:35" ht="9.9499999999999993" customHeight="1" x14ac:dyDescent="0.15">
      <c r="A257" s="1"/>
      <c r="B257" s="1"/>
      <c r="C257" s="1"/>
      <c r="D257" s="1"/>
      <c r="E257" s="1"/>
      <c r="F257" s="81" t="s">
        <v>336</v>
      </c>
      <c r="G257" s="81"/>
      <c r="H257" s="81"/>
      <c r="I257" s="81"/>
      <c r="J257" s="81" t="s">
        <v>337</v>
      </c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</row>
    <row r="258" spans="1:35" ht="9.9499999999999993" customHeight="1" x14ac:dyDescent="0.15">
      <c r="A258" s="1"/>
      <c r="B258" s="372" t="s">
        <v>338</v>
      </c>
      <c r="C258" s="86" t="s">
        <v>339</v>
      </c>
      <c r="D258" s="86" t="s">
        <v>496</v>
      </c>
      <c r="E258" s="373" t="s">
        <v>341</v>
      </c>
      <c r="F258" s="374" t="s">
        <v>434</v>
      </c>
      <c r="G258" s="375"/>
      <c r="I258" s="377" t="s">
        <v>341</v>
      </c>
      <c r="J258" s="375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</row>
    <row r="259" spans="1:35" ht="9.9499999999999993" customHeight="1" x14ac:dyDescent="0.15">
      <c r="A259" s="1"/>
      <c r="B259" s="321" t="s">
        <v>308</v>
      </c>
      <c r="C259" s="379" t="s">
        <v>343</v>
      </c>
      <c r="D259" s="379" t="s">
        <v>344</v>
      </c>
      <c r="E259" s="380" t="s">
        <v>291</v>
      </c>
      <c r="F259" s="381">
        <v>10.8</v>
      </c>
      <c r="G259" s="382"/>
      <c r="I259" s="377" t="s">
        <v>291</v>
      </c>
      <c r="J259" s="375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</row>
    <row r="260" spans="1:35" ht="9.9499999999999993" customHeight="1" x14ac:dyDescent="0.15">
      <c r="A260" s="1"/>
      <c r="B260" s="321"/>
      <c r="C260" s="321"/>
      <c r="D260" s="321"/>
      <c r="E260" s="380" t="s">
        <v>294</v>
      </c>
      <c r="F260" s="381">
        <v>56.9</v>
      </c>
      <c r="G260" s="382"/>
      <c r="I260" s="383" t="s">
        <v>294</v>
      </c>
      <c r="J260" s="384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</row>
    <row r="261" spans="1:35" ht="9.9499999999999993" customHeight="1" x14ac:dyDescent="0.15">
      <c r="A261" s="1"/>
      <c r="B261" s="321"/>
      <c r="C261" s="321"/>
      <c r="D261" s="321"/>
      <c r="E261" s="380" t="s">
        <v>297</v>
      </c>
      <c r="F261" s="381">
        <v>27.8</v>
      </c>
      <c r="G261" s="382"/>
      <c r="I261" s="383" t="s">
        <v>297</v>
      </c>
      <c r="J261" s="384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</row>
    <row r="262" spans="1:35" ht="9.9499999999999993" customHeight="1" x14ac:dyDescent="0.15">
      <c r="A262" s="1"/>
      <c r="B262" s="324"/>
      <c r="C262" s="324"/>
      <c r="D262" s="324"/>
      <c r="E262" s="380" t="s">
        <v>300</v>
      </c>
      <c r="F262" s="381">
        <v>4.5999999999999996</v>
      </c>
      <c r="G262" s="382"/>
      <c r="I262" s="383" t="s">
        <v>300</v>
      </c>
      <c r="J262" s="384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</row>
    <row r="263" spans="1:35" ht="9.9499999999999993" customHeight="1" x14ac:dyDescent="0.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</row>
    <row r="264" spans="1:35" ht="9.9499999999999993" customHeight="1" x14ac:dyDescent="0.15">
      <c r="A264" s="1"/>
      <c r="B264" s="240" t="s">
        <v>345</v>
      </c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</row>
    <row r="265" spans="1:35" ht="9.9499999999999993" customHeight="1" x14ac:dyDescent="0.15">
      <c r="A265" s="1"/>
      <c r="B265" s="642"/>
      <c r="C265" s="278" t="s">
        <v>256</v>
      </c>
      <c r="D265" s="279" t="s">
        <v>497</v>
      </c>
      <c r="E265" s="280" t="s">
        <v>258</v>
      </c>
      <c r="F265" s="281"/>
      <c r="G265" s="282"/>
      <c r="H265" s="283" t="s">
        <v>259</v>
      </c>
      <c r="I265" s="284"/>
      <c r="J265" s="284"/>
      <c r="K265" s="284"/>
      <c r="L265" s="284"/>
      <c r="M265" s="285"/>
      <c r="N265" s="285"/>
      <c r="O265" s="285"/>
      <c r="P265" s="285"/>
      <c r="Q265" s="285"/>
      <c r="R265" s="285"/>
      <c r="S265" s="285"/>
      <c r="T265" s="285"/>
      <c r="U265" s="285"/>
      <c r="V265" s="285"/>
      <c r="W265" s="285"/>
      <c r="X265" s="285"/>
      <c r="Y265" s="285"/>
      <c r="Z265" s="285"/>
      <c r="AA265" s="285"/>
      <c r="AB265" s="286"/>
      <c r="AC265" s="287" t="s">
        <v>260</v>
      </c>
      <c r="AD265" s="288"/>
      <c r="AE265" s="289"/>
      <c r="AF265" s="289"/>
      <c r="AG265" s="1"/>
      <c r="AH265" s="1"/>
      <c r="AI265" s="1"/>
    </row>
    <row r="266" spans="1:35" ht="9.9499999999999993" customHeight="1" x14ac:dyDescent="0.15">
      <c r="A266" s="1"/>
      <c r="B266" s="643"/>
      <c r="C266" s="290"/>
      <c r="D266" s="290"/>
      <c r="E266" s="291"/>
      <c r="F266" s="250"/>
      <c r="G266" s="292"/>
      <c r="H266" s="293" t="s">
        <v>261</v>
      </c>
      <c r="I266" s="294"/>
      <c r="J266" s="294"/>
      <c r="K266" s="294"/>
      <c r="L266" s="294"/>
      <c r="M266" s="295"/>
      <c r="N266" s="283" t="s">
        <v>262</v>
      </c>
      <c r="O266" s="285"/>
      <c r="P266" s="285"/>
      <c r="Q266" s="285"/>
      <c r="R266" s="286"/>
      <c r="S266" s="283" t="s">
        <v>609</v>
      </c>
      <c r="T266" s="285"/>
      <c r="U266" s="285"/>
      <c r="V266" s="285"/>
      <c r="W266" s="286"/>
      <c r="X266" s="283" t="s">
        <v>264</v>
      </c>
      <c r="Y266" s="285"/>
      <c r="Z266" s="285"/>
      <c r="AA266" s="285"/>
      <c r="AB266" s="286"/>
      <c r="AC266" s="79"/>
      <c r="AD266" s="296"/>
      <c r="AE266" s="289"/>
      <c r="AF266" s="289"/>
      <c r="AG266" s="1"/>
      <c r="AH266" s="1"/>
      <c r="AI266" s="1"/>
    </row>
    <row r="267" spans="1:35" ht="9.9499999999999993" customHeight="1" x14ac:dyDescent="0.15">
      <c r="A267" s="1"/>
      <c r="B267" s="643"/>
      <c r="C267" s="290"/>
      <c r="D267" s="290"/>
      <c r="E267" s="291"/>
      <c r="F267" s="250"/>
      <c r="G267" s="292"/>
      <c r="H267" s="297" t="s">
        <v>218</v>
      </c>
      <c r="I267" s="297"/>
      <c r="J267" s="297"/>
      <c r="K267" s="297"/>
      <c r="L267" s="297"/>
      <c r="M267" s="298"/>
      <c r="N267" s="293"/>
      <c r="O267" s="294"/>
      <c r="P267" s="294"/>
      <c r="Q267" s="294"/>
      <c r="R267" s="294"/>
      <c r="S267" s="293"/>
      <c r="T267" s="294" t="s">
        <v>610</v>
      </c>
      <c r="U267" s="294"/>
      <c r="V267" s="294"/>
      <c r="W267" s="294"/>
      <c r="X267" s="293"/>
      <c r="Y267" s="294"/>
      <c r="Z267" s="294"/>
      <c r="AA267" s="294"/>
      <c r="AB267" s="295"/>
      <c r="AC267" s="79"/>
      <c r="AD267" s="296"/>
      <c r="AE267" s="289"/>
      <c r="AF267" s="289"/>
      <c r="AG267" s="1"/>
      <c r="AH267" s="1"/>
      <c r="AI267" s="1"/>
    </row>
    <row r="268" spans="1:35" ht="9.9499999999999993" customHeight="1" x14ac:dyDescent="0.15">
      <c r="A268" s="1"/>
      <c r="B268" s="644"/>
      <c r="C268" s="261"/>
      <c r="D268" s="261"/>
      <c r="E268" s="299"/>
      <c r="F268" s="300"/>
      <c r="G268" s="301"/>
      <c r="H268" s="302"/>
      <c r="I268" s="303" t="s">
        <v>220</v>
      </c>
      <c r="J268" s="303"/>
      <c r="K268" s="303"/>
      <c r="L268" s="303"/>
      <c r="M268" s="304"/>
      <c r="N268" s="305"/>
      <c r="O268" s="305"/>
      <c r="P268" s="305"/>
      <c r="Q268" s="305"/>
      <c r="R268" s="305"/>
      <c r="S268" s="305"/>
      <c r="T268" s="305"/>
      <c r="U268" s="305"/>
      <c r="V268" s="305"/>
      <c r="W268" s="305"/>
      <c r="X268" s="305"/>
      <c r="Y268" s="305"/>
      <c r="Z268" s="305"/>
      <c r="AA268" s="305"/>
      <c r="AB268" s="306"/>
      <c r="AC268" s="305"/>
      <c r="AD268" s="307"/>
      <c r="AE268" s="289"/>
      <c r="AF268" s="289"/>
      <c r="AG268" s="1"/>
      <c r="AH268" s="1"/>
      <c r="AI268" s="1"/>
    </row>
    <row r="269" spans="1:35" ht="9.9499999999999993" customHeight="1" x14ac:dyDescent="0.15">
      <c r="A269" s="1"/>
      <c r="B269" s="86" t="s">
        <v>499</v>
      </c>
      <c r="C269" s="278" t="s">
        <v>500</v>
      </c>
      <c r="D269" s="278" t="s">
        <v>501</v>
      </c>
      <c r="E269" s="280" t="s">
        <v>502</v>
      </c>
      <c r="F269" s="281"/>
      <c r="G269" s="282"/>
      <c r="H269" s="256" t="s">
        <v>581</v>
      </c>
      <c r="I269" s="256" t="s">
        <v>582</v>
      </c>
      <c r="J269" s="256" t="s">
        <v>583</v>
      </c>
      <c r="K269" s="256" t="s">
        <v>584</v>
      </c>
      <c r="L269" s="256" t="s">
        <v>585</v>
      </c>
      <c r="M269" s="309" t="s">
        <v>586</v>
      </c>
      <c r="N269" s="313" t="s">
        <v>587</v>
      </c>
      <c r="O269" s="313" t="s">
        <v>588</v>
      </c>
      <c r="P269" s="313" t="s">
        <v>589</v>
      </c>
      <c r="Q269" s="313" t="s">
        <v>590</v>
      </c>
      <c r="R269" s="314" t="s">
        <v>591</v>
      </c>
      <c r="S269" s="313" t="s">
        <v>592</v>
      </c>
      <c r="T269" s="313" t="s">
        <v>593</v>
      </c>
      <c r="U269" s="313" t="s">
        <v>594</v>
      </c>
      <c r="V269" s="313" t="s">
        <v>595</v>
      </c>
      <c r="W269" s="314" t="s">
        <v>596</v>
      </c>
      <c r="X269" s="313" t="s">
        <v>597</v>
      </c>
      <c r="Y269" s="313" t="s">
        <v>598</v>
      </c>
      <c r="Z269" s="313" t="s">
        <v>599</v>
      </c>
      <c r="AA269" s="313" t="s">
        <v>600</v>
      </c>
      <c r="AB269" s="314" t="s">
        <v>601</v>
      </c>
      <c r="AC269" s="387" t="s">
        <v>285</v>
      </c>
      <c r="AD269" s="279" t="s">
        <v>286</v>
      </c>
      <c r="AE269" s="289"/>
      <c r="AF269" s="289"/>
      <c r="AG269" s="1"/>
      <c r="AH269" s="1"/>
      <c r="AI269" s="1"/>
    </row>
    <row r="270" spans="1:35" ht="9.9499999999999993" customHeight="1" x14ac:dyDescent="0.15">
      <c r="A270" s="1"/>
      <c r="B270" s="379" t="s">
        <v>441</v>
      </c>
      <c r="C270" s="290"/>
      <c r="D270" s="290" t="s">
        <v>354</v>
      </c>
      <c r="E270" s="299"/>
      <c r="F270" s="300"/>
      <c r="G270" s="301"/>
      <c r="H270" s="318" t="s">
        <v>234</v>
      </c>
      <c r="I270" s="319" t="s">
        <v>235</v>
      </c>
      <c r="J270" s="319" t="s">
        <v>236</v>
      </c>
      <c r="K270" s="319" t="s">
        <v>237</v>
      </c>
      <c r="L270" s="319" t="s">
        <v>238</v>
      </c>
      <c r="M270" s="320" t="s">
        <v>239</v>
      </c>
      <c r="N270" s="318" t="s">
        <v>234</v>
      </c>
      <c r="O270" s="319" t="s">
        <v>235</v>
      </c>
      <c r="P270" s="319" t="s">
        <v>236</v>
      </c>
      <c r="Q270" s="319" t="s">
        <v>237</v>
      </c>
      <c r="R270" s="320" t="s">
        <v>238</v>
      </c>
      <c r="S270" s="318" t="s">
        <v>234</v>
      </c>
      <c r="T270" s="319" t="s">
        <v>235</v>
      </c>
      <c r="U270" s="319" t="s">
        <v>236</v>
      </c>
      <c r="V270" s="319" t="s">
        <v>237</v>
      </c>
      <c r="W270" s="320" t="s">
        <v>238</v>
      </c>
      <c r="X270" s="318" t="s">
        <v>234</v>
      </c>
      <c r="Y270" s="319" t="s">
        <v>235</v>
      </c>
      <c r="Z270" s="319" t="s">
        <v>236</v>
      </c>
      <c r="AA270" s="319" t="s">
        <v>237</v>
      </c>
      <c r="AB270" s="320" t="s">
        <v>238</v>
      </c>
      <c r="AC270" s="296"/>
      <c r="AD270" s="321"/>
      <c r="AE270" s="289"/>
      <c r="AF270" s="289"/>
      <c r="AG270" s="1"/>
      <c r="AH270" s="1"/>
      <c r="AI270" s="1"/>
    </row>
    <row r="271" spans="1:35" ht="9.9499999999999993" customHeight="1" x14ac:dyDescent="0.15">
      <c r="A271" s="1"/>
      <c r="B271" s="317"/>
      <c r="C271" s="290"/>
      <c r="D271" s="290"/>
      <c r="E271" s="87" t="s">
        <v>288</v>
      </c>
      <c r="F271" s="322"/>
      <c r="G271" s="323"/>
      <c r="H271" s="283" t="s">
        <v>355</v>
      </c>
      <c r="I271" s="284"/>
      <c r="J271" s="284"/>
      <c r="K271" s="284"/>
      <c r="L271" s="284"/>
      <c r="M271" s="286"/>
      <c r="N271" s="283" t="s">
        <v>355</v>
      </c>
      <c r="O271" s="285"/>
      <c r="P271" s="285"/>
      <c r="Q271" s="285"/>
      <c r="R271" s="286"/>
      <c r="S271" s="283" t="s">
        <v>355</v>
      </c>
      <c r="T271" s="285"/>
      <c r="U271" s="285"/>
      <c r="V271" s="285"/>
      <c r="W271" s="286"/>
      <c r="X271" s="283" t="s">
        <v>355</v>
      </c>
      <c r="Y271" s="285"/>
      <c r="Z271" s="285"/>
      <c r="AA271" s="285"/>
      <c r="AB271" s="286"/>
      <c r="AC271" s="307"/>
      <c r="AD271" s="324"/>
      <c r="AE271" s="289"/>
      <c r="AF271" s="289"/>
      <c r="AG271" s="1"/>
      <c r="AH271" s="1"/>
      <c r="AI271" s="1"/>
    </row>
    <row r="272" spans="1:35" ht="9.9499999999999993" customHeight="1" x14ac:dyDescent="0.15">
      <c r="A272" s="1"/>
      <c r="B272" s="317"/>
      <c r="C272" s="290"/>
      <c r="D272" s="290"/>
      <c r="E272" s="87" t="s">
        <v>480</v>
      </c>
      <c r="F272" s="322"/>
      <c r="G272" s="323"/>
      <c r="H272" s="325">
        <v>8.7999999999999995E-2</v>
      </c>
      <c r="I272" s="326">
        <v>8.4000000000000005E-2</v>
      </c>
      <c r="J272" s="326">
        <v>8.4000000000000005E-2</v>
      </c>
      <c r="K272" s="326">
        <v>7.8E-2</v>
      </c>
      <c r="L272" s="326">
        <v>8.5999999999999993E-2</v>
      </c>
      <c r="M272" s="327">
        <v>7.0000000000000007E-2</v>
      </c>
      <c r="N272" s="325">
        <v>8.4000000000000005E-2</v>
      </c>
      <c r="O272" s="326">
        <v>7.5999999999999998E-2</v>
      </c>
      <c r="P272" s="326">
        <v>8.4000000000000005E-2</v>
      </c>
      <c r="Q272" s="326">
        <v>0.08</v>
      </c>
      <c r="R272" s="327">
        <v>9.8000000000000004E-2</v>
      </c>
      <c r="S272" s="325">
        <v>8.2000000000000003E-2</v>
      </c>
      <c r="T272" s="326">
        <v>0.09</v>
      </c>
      <c r="U272" s="326">
        <v>9.1999999999999998E-2</v>
      </c>
      <c r="V272" s="326">
        <v>0.08</v>
      </c>
      <c r="W272" s="327">
        <v>0.08</v>
      </c>
      <c r="X272" s="325">
        <v>8.5999999999999993E-2</v>
      </c>
      <c r="Y272" s="326">
        <v>8.2000000000000003E-2</v>
      </c>
      <c r="Z272" s="326">
        <v>8.5999999999999993E-2</v>
      </c>
      <c r="AA272" s="326">
        <v>8.2000000000000003E-2</v>
      </c>
      <c r="AB272" s="327">
        <v>0.08</v>
      </c>
      <c r="AC272" s="328" t="s">
        <v>291</v>
      </c>
      <c r="AD272" s="329" t="s">
        <v>357</v>
      </c>
      <c r="AE272" s="289"/>
      <c r="AF272" s="289"/>
      <c r="AG272" s="1"/>
      <c r="AH272" s="1"/>
      <c r="AI272" s="1"/>
    </row>
    <row r="273" spans="1:35" ht="9.9499999999999993" customHeight="1" x14ac:dyDescent="0.15">
      <c r="A273" s="1"/>
      <c r="B273" s="317"/>
      <c r="C273" s="290"/>
      <c r="D273" s="290"/>
      <c r="E273" s="87" t="s">
        <v>481</v>
      </c>
      <c r="F273" s="322"/>
      <c r="G273" s="323"/>
      <c r="H273" s="330">
        <v>0.06</v>
      </c>
      <c r="I273" s="272">
        <v>5.8000000000000003E-2</v>
      </c>
      <c r="J273" s="272">
        <v>5.8000000000000003E-2</v>
      </c>
      <c r="K273" s="272">
        <v>5.6000000000000001E-2</v>
      </c>
      <c r="L273" s="272">
        <v>6.2E-2</v>
      </c>
      <c r="M273" s="331">
        <v>6.2E-2</v>
      </c>
      <c r="N273" s="330">
        <v>5.6000000000000001E-2</v>
      </c>
      <c r="O273" s="272">
        <v>6.4000000000000001E-2</v>
      </c>
      <c r="P273" s="272">
        <v>5.8000000000000003E-2</v>
      </c>
      <c r="Q273" s="272">
        <v>5.8000000000000003E-2</v>
      </c>
      <c r="R273" s="331">
        <v>6.2E-2</v>
      </c>
      <c r="S273" s="330">
        <v>6.2E-2</v>
      </c>
      <c r="T273" s="272">
        <v>0.08</v>
      </c>
      <c r="U273" s="272">
        <v>6.8000000000000005E-2</v>
      </c>
      <c r="V273" s="272">
        <v>5.8000000000000003E-2</v>
      </c>
      <c r="W273" s="331">
        <v>6.2E-2</v>
      </c>
      <c r="X273" s="330">
        <v>6.6000000000000003E-2</v>
      </c>
      <c r="Y273" s="272">
        <v>6.2E-2</v>
      </c>
      <c r="Z273" s="272">
        <v>4.5999999999999999E-2</v>
      </c>
      <c r="AA273" s="272">
        <v>0.06</v>
      </c>
      <c r="AB273" s="331">
        <v>5.8000000000000003E-2</v>
      </c>
      <c r="AC273" s="332" t="s">
        <v>294</v>
      </c>
      <c r="AD273" s="329" t="s">
        <v>358</v>
      </c>
      <c r="AE273" s="289"/>
      <c r="AF273" s="289"/>
      <c r="AG273" s="1"/>
      <c r="AH273" s="1"/>
      <c r="AI273" s="1"/>
    </row>
    <row r="274" spans="1:35" ht="9.9499999999999993" customHeight="1" x14ac:dyDescent="0.15">
      <c r="A274" s="1"/>
      <c r="B274" s="317"/>
      <c r="C274" s="290"/>
      <c r="D274" s="290"/>
      <c r="E274" s="87" t="s">
        <v>482</v>
      </c>
      <c r="F274" s="322"/>
      <c r="G274" s="323"/>
      <c r="H274" s="330">
        <v>6.2E-2</v>
      </c>
      <c r="I274" s="272">
        <v>8.4000000000000005E-2</v>
      </c>
      <c r="J274" s="272">
        <v>0.06</v>
      </c>
      <c r="K274" s="272">
        <v>6.6000000000000003E-2</v>
      </c>
      <c r="L274" s="272">
        <v>6.2E-2</v>
      </c>
      <c r="M274" s="331">
        <v>6.2E-2</v>
      </c>
      <c r="N274" s="330">
        <v>6.8000000000000005E-2</v>
      </c>
      <c r="O274" s="272">
        <v>6.6000000000000003E-2</v>
      </c>
      <c r="P274" s="272">
        <v>6.6000000000000003E-2</v>
      </c>
      <c r="Q274" s="272">
        <v>6.2E-2</v>
      </c>
      <c r="R274" s="331">
        <v>6.8000000000000005E-2</v>
      </c>
      <c r="S274" s="330">
        <v>6.4000000000000001E-2</v>
      </c>
      <c r="T274" s="272">
        <v>6.4000000000000001E-2</v>
      </c>
      <c r="U274" s="272">
        <v>7.3999999999999996E-2</v>
      </c>
      <c r="V274" s="272">
        <v>6.4000000000000001E-2</v>
      </c>
      <c r="W274" s="331">
        <v>0.06</v>
      </c>
      <c r="X274" s="330">
        <v>6.6000000000000003E-2</v>
      </c>
      <c r="Y274" s="272">
        <v>0.06</v>
      </c>
      <c r="Z274" s="272">
        <v>6.4000000000000001E-2</v>
      </c>
      <c r="AA274" s="272">
        <v>7.0000000000000007E-2</v>
      </c>
      <c r="AB274" s="331">
        <v>6.2E-2</v>
      </c>
      <c r="AC274" s="332" t="s">
        <v>297</v>
      </c>
      <c r="AD274" s="329" t="s">
        <v>359</v>
      </c>
      <c r="AE274" s="289"/>
      <c r="AF274" s="289"/>
      <c r="AG274" s="1"/>
      <c r="AH274" s="1"/>
      <c r="AI274" s="1"/>
    </row>
    <row r="275" spans="1:35" ht="9.9499999999999993" customHeight="1" x14ac:dyDescent="0.15">
      <c r="A275" s="1"/>
      <c r="B275" s="317"/>
      <c r="C275" s="290"/>
      <c r="D275" s="290"/>
      <c r="E275" s="87" t="s">
        <v>483</v>
      </c>
      <c r="F275" s="322"/>
      <c r="G275" s="323"/>
      <c r="H275" s="330">
        <v>7.8E-2</v>
      </c>
      <c r="I275" s="272">
        <v>7.8E-2</v>
      </c>
      <c r="J275" s="272">
        <v>0.08</v>
      </c>
      <c r="K275" s="272">
        <v>8.7999999999999995E-2</v>
      </c>
      <c r="L275" s="272">
        <v>7.5999999999999998E-2</v>
      </c>
      <c r="M275" s="331">
        <v>8.4000000000000005E-2</v>
      </c>
      <c r="N275" s="330">
        <v>0.08</v>
      </c>
      <c r="O275" s="272">
        <v>8.2000000000000003E-2</v>
      </c>
      <c r="P275" s="272">
        <v>0.08</v>
      </c>
      <c r="Q275" s="272">
        <v>8.5999999999999993E-2</v>
      </c>
      <c r="R275" s="331">
        <v>0.09</v>
      </c>
      <c r="S275" s="330">
        <v>8.2000000000000003E-2</v>
      </c>
      <c r="T275" s="272">
        <v>8.5999999999999993E-2</v>
      </c>
      <c r="U275" s="272">
        <v>8.5999999999999993E-2</v>
      </c>
      <c r="V275" s="272">
        <v>7.5999999999999998E-2</v>
      </c>
      <c r="W275" s="331">
        <v>8.5999999999999993E-2</v>
      </c>
      <c r="X275" s="330">
        <v>8.4000000000000005E-2</v>
      </c>
      <c r="Y275" s="272">
        <v>7.1999999999999995E-2</v>
      </c>
      <c r="Z275" s="272">
        <v>0.08</v>
      </c>
      <c r="AA275" s="272">
        <v>7.5999999999999998E-2</v>
      </c>
      <c r="AB275" s="331">
        <v>8.2000000000000003E-2</v>
      </c>
      <c r="AC275" s="388" t="s">
        <v>300</v>
      </c>
      <c r="AD275" s="389" t="s">
        <v>360</v>
      </c>
      <c r="AE275" s="289"/>
      <c r="AF275" s="289"/>
      <c r="AG275" s="1"/>
      <c r="AH275" s="1"/>
      <c r="AI275" s="1"/>
    </row>
    <row r="276" spans="1:35" ht="9.9499999999999993" customHeight="1" x14ac:dyDescent="0.15">
      <c r="A276" s="1"/>
      <c r="B276" s="333"/>
      <c r="C276" s="261"/>
      <c r="D276" s="261"/>
      <c r="E276" s="87" t="s">
        <v>513</v>
      </c>
      <c r="F276" s="322"/>
      <c r="G276" s="323"/>
      <c r="H276" s="390">
        <v>4.5999999999999999E-2</v>
      </c>
      <c r="I276" s="391">
        <v>0.06</v>
      </c>
      <c r="J276" s="391">
        <v>4.5999999999999999E-2</v>
      </c>
      <c r="K276" s="391">
        <v>4.3999999999999997E-2</v>
      </c>
      <c r="L276" s="391">
        <v>0.04</v>
      </c>
      <c r="M276" s="392">
        <v>5.3999999999999999E-2</v>
      </c>
      <c r="N276" s="390">
        <v>0.05</v>
      </c>
      <c r="O276" s="391">
        <v>0.05</v>
      </c>
      <c r="P276" s="391">
        <v>4.8000000000000001E-2</v>
      </c>
      <c r="Q276" s="391">
        <v>5.8000000000000003E-2</v>
      </c>
      <c r="R276" s="392">
        <v>5.1999999999999998E-2</v>
      </c>
      <c r="S276" s="390">
        <v>4.8000000000000001E-2</v>
      </c>
      <c r="T276" s="391">
        <v>0.05</v>
      </c>
      <c r="U276" s="391">
        <v>5.3999999999999999E-2</v>
      </c>
      <c r="V276" s="391">
        <v>4.5999999999999999E-2</v>
      </c>
      <c r="W276" s="392">
        <v>5.1999999999999998E-2</v>
      </c>
      <c r="X276" s="390">
        <v>4.8000000000000001E-2</v>
      </c>
      <c r="Y276" s="391">
        <v>4.5999999999999999E-2</v>
      </c>
      <c r="Z276" s="391">
        <v>5.3999999999999999E-2</v>
      </c>
      <c r="AA276" s="391">
        <v>4.3999999999999997E-2</v>
      </c>
      <c r="AB276" s="393">
        <v>0.05</v>
      </c>
      <c r="AC276" s="357" t="s">
        <v>362</v>
      </c>
      <c r="AD276" s="394" t="s">
        <v>363</v>
      </c>
      <c r="AE276" s="289"/>
      <c r="AF276" s="289"/>
      <c r="AG276" s="1"/>
      <c r="AH276" s="1"/>
      <c r="AI276" s="1"/>
    </row>
    <row r="277" spans="1:35" ht="9.9499999999999993" customHeight="1" x14ac:dyDescent="0.15">
      <c r="A277" s="1"/>
      <c r="B277" s="86" t="s">
        <v>514</v>
      </c>
      <c r="C277" s="395" t="s">
        <v>515</v>
      </c>
      <c r="D277" s="290" t="s">
        <v>366</v>
      </c>
      <c r="E277" s="87" t="s">
        <v>516</v>
      </c>
      <c r="F277" s="322"/>
      <c r="G277" s="323"/>
      <c r="H277" s="396" t="s">
        <v>611</v>
      </c>
      <c r="I277" s="285"/>
      <c r="J277" s="285"/>
      <c r="K277" s="285"/>
      <c r="L277" s="285"/>
      <c r="M277" s="285"/>
      <c r="N277" s="285"/>
      <c r="O277" s="285"/>
      <c r="P277" s="285"/>
      <c r="Q277" s="285"/>
      <c r="R277" s="285"/>
      <c r="S277" s="285"/>
      <c r="T277" s="285"/>
      <c r="U277" s="285"/>
      <c r="V277" s="285"/>
      <c r="W277" s="285"/>
      <c r="X277" s="285"/>
      <c r="Y277" s="285"/>
      <c r="Z277" s="285"/>
      <c r="AA277" s="285"/>
      <c r="AB277" s="397"/>
      <c r="AC277" s="357" t="s">
        <v>285</v>
      </c>
      <c r="AD277" s="88" t="s">
        <v>286</v>
      </c>
      <c r="AE277" s="289"/>
      <c r="AF277" s="289"/>
      <c r="AG277" s="1"/>
      <c r="AH277" s="1"/>
      <c r="AI277" s="1"/>
    </row>
    <row r="278" spans="1:35" ht="9.9499999999999993" customHeight="1" x14ac:dyDescent="0.15">
      <c r="A278" s="1"/>
      <c r="B278" s="350" t="s">
        <v>369</v>
      </c>
      <c r="C278" s="350" t="s">
        <v>343</v>
      </c>
      <c r="D278" s="261"/>
      <c r="E278" s="87" t="s">
        <v>519</v>
      </c>
      <c r="F278" s="322"/>
      <c r="G278" s="323"/>
      <c r="H278" s="283" t="s">
        <v>110</v>
      </c>
      <c r="I278" s="285"/>
      <c r="J278" s="285"/>
      <c r="K278" s="285"/>
      <c r="L278" s="285"/>
      <c r="M278" s="285"/>
      <c r="N278" s="285"/>
      <c r="O278" s="285"/>
      <c r="P278" s="285"/>
      <c r="Q278" s="285"/>
      <c r="R278" s="285"/>
      <c r="S278" s="285"/>
      <c r="T278" s="285"/>
      <c r="U278" s="285"/>
      <c r="V278" s="285"/>
      <c r="W278" s="285"/>
      <c r="X278" s="285"/>
      <c r="Y278" s="285"/>
      <c r="Z278" s="285"/>
      <c r="AA278" s="285"/>
      <c r="AB278" s="397"/>
      <c r="AC278" s="357" t="s">
        <v>371</v>
      </c>
      <c r="AD278" s="88" t="s">
        <v>110</v>
      </c>
      <c r="AE278" s="289"/>
      <c r="AF278" s="289"/>
      <c r="AG278" s="1"/>
      <c r="AH278" s="1"/>
      <c r="AI278" s="1"/>
    </row>
    <row r="279" spans="1:35" ht="9.9499999999999993" customHeight="1" x14ac:dyDescent="0.15">
      <c r="A279" s="1"/>
      <c r="B279" s="81" t="s">
        <v>372</v>
      </c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</row>
    <row r="280" spans="1:35" ht="9.9499999999999993" customHeight="1" x14ac:dyDescent="0.15">
      <c r="A280" s="1"/>
      <c r="B280" s="81" t="s">
        <v>373</v>
      </c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</row>
    <row r="281" spans="1:35" ht="9.9499999999999993" customHeight="1" x14ac:dyDescent="0.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</row>
    <row r="282" spans="1:35" ht="9.9499999999999993" customHeight="1" x14ac:dyDescent="0.15">
      <c r="A282" s="1"/>
      <c r="B282" s="237" t="s">
        <v>612</v>
      </c>
      <c r="C282" s="238"/>
      <c r="D282" s="239" t="s">
        <v>216</v>
      </c>
      <c r="E282" s="238"/>
      <c r="F282" s="238"/>
      <c r="G282" s="238"/>
      <c r="H282" s="238"/>
      <c r="I282" s="238"/>
      <c r="J282" s="238"/>
      <c r="K282" s="238"/>
      <c r="L282" s="238"/>
      <c r="M282" s="238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</row>
    <row r="283" spans="1:35" ht="9.9499999999999993" customHeight="1" x14ac:dyDescent="0.15">
      <c r="A283" s="1"/>
      <c r="B283" s="572" t="s">
        <v>217</v>
      </c>
      <c r="H283" s="579" t="s">
        <v>218</v>
      </c>
      <c r="I283" s="398"/>
      <c r="J283" s="398"/>
      <c r="K283" s="398"/>
      <c r="L283" s="398"/>
      <c r="M283" s="399"/>
      <c r="AA283" s="1"/>
      <c r="AB283" s="1"/>
      <c r="AC283" s="1"/>
      <c r="AD283" s="1"/>
      <c r="AE283" s="1"/>
      <c r="AF283" s="1"/>
      <c r="AG283" s="1"/>
      <c r="AH283" s="1"/>
      <c r="AI283" s="1"/>
    </row>
    <row r="284" spans="1:35" ht="9.9499999999999993" customHeight="1" x14ac:dyDescent="0.15">
      <c r="A284" s="1"/>
      <c r="B284" s="580"/>
      <c r="C284" s="581"/>
      <c r="D284" s="581"/>
      <c r="E284" s="400"/>
      <c r="F284" s="401"/>
      <c r="G284" s="245" t="s">
        <v>219</v>
      </c>
      <c r="H284" s="582"/>
      <c r="I284" s="402" t="s">
        <v>220</v>
      </c>
      <c r="J284" s="402"/>
      <c r="K284" s="402"/>
      <c r="L284" s="403"/>
      <c r="M284" s="404"/>
      <c r="P284" s="1"/>
      <c r="R284" s="249" t="s">
        <v>221</v>
      </c>
      <c r="S284" s="250"/>
      <c r="T284" s="250"/>
      <c r="U284" s="250"/>
      <c r="V284" s="250"/>
      <c r="W284" s="250"/>
      <c r="AA284" s="1"/>
      <c r="AB284" s="1"/>
      <c r="AC284" s="1"/>
      <c r="AD284" s="1"/>
      <c r="AE284" s="1"/>
      <c r="AF284" s="1"/>
      <c r="AG284" s="1"/>
      <c r="AH284" s="1"/>
      <c r="AI284" s="1"/>
    </row>
    <row r="285" spans="1:35" ht="9.9499999999999993" customHeight="1" x14ac:dyDescent="0.15">
      <c r="A285" s="1"/>
      <c r="B285" s="251" t="s">
        <v>222</v>
      </c>
      <c r="C285" s="252" t="s">
        <v>523</v>
      </c>
      <c r="D285" s="252" t="s">
        <v>524</v>
      </c>
      <c r="E285" s="253" t="s">
        <v>225</v>
      </c>
      <c r="F285" s="254"/>
      <c r="G285" s="405" t="s">
        <v>502</v>
      </c>
      <c r="H285" s="256" t="s">
        <v>613</v>
      </c>
      <c r="I285" s="256" t="s">
        <v>614</v>
      </c>
      <c r="J285" s="256" t="s">
        <v>615</v>
      </c>
      <c r="K285" s="256" t="s">
        <v>616</v>
      </c>
      <c r="L285" s="256" t="s">
        <v>617</v>
      </c>
      <c r="M285" s="256" t="s">
        <v>618</v>
      </c>
      <c r="P285" s="1"/>
      <c r="Q285" s="240" t="s">
        <v>233</v>
      </c>
      <c r="R285" s="256" t="s">
        <v>613</v>
      </c>
      <c r="S285" s="256" t="s">
        <v>614</v>
      </c>
      <c r="T285" s="256" t="s">
        <v>615</v>
      </c>
      <c r="U285" s="256" t="s">
        <v>616</v>
      </c>
      <c r="V285" s="256" t="s">
        <v>617</v>
      </c>
      <c r="W285" s="256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</row>
    <row r="286" spans="1:35" ht="9.9499999999999993" customHeight="1" x14ac:dyDescent="0.15">
      <c r="A286" s="1"/>
      <c r="B286" s="257"/>
      <c r="C286" s="258"/>
      <c r="D286" s="258"/>
      <c r="E286" s="406"/>
      <c r="F286" s="250"/>
      <c r="G286" s="258"/>
      <c r="H286" s="260" t="s">
        <v>234</v>
      </c>
      <c r="I286" s="260" t="s">
        <v>235</v>
      </c>
      <c r="J286" s="260" t="s">
        <v>236</v>
      </c>
      <c r="K286" s="260" t="s">
        <v>237</v>
      </c>
      <c r="L286" s="260" t="s">
        <v>238</v>
      </c>
      <c r="M286" s="260" t="s">
        <v>239</v>
      </c>
      <c r="P286" s="1"/>
      <c r="R286" s="261" t="s">
        <v>533</v>
      </c>
      <c r="S286" s="262" t="s">
        <v>534</v>
      </c>
      <c r="T286" s="262" t="s">
        <v>535</v>
      </c>
      <c r="U286" s="262" t="s">
        <v>536</v>
      </c>
      <c r="V286" s="262" t="s">
        <v>537</v>
      </c>
      <c r="W286" s="262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</row>
    <row r="287" spans="1:35" ht="9.9499999999999993" customHeight="1" x14ac:dyDescent="0.15">
      <c r="A287" s="1"/>
      <c r="B287" s="263" t="s">
        <v>619</v>
      </c>
      <c r="C287" s="264" t="s">
        <v>246</v>
      </c>
      <c r="D287" s="265" t="s">
        <v>620</v>
      </c>
      <c r="E287" s="266" t="s">
        <v>579</v>
      </c>
      <c r="F287" s="267"/>
      <c r="G287" s="268" t="s">
        <v>249</v>
      </c>
      <c r="H287" s="269">
        <v>4756.1000000000004</v>
      </c>
      <c r="I287" s="269">
        <v>6650.8</v>
      </c>
      <c r="J287" s="269">
        <v>5711.7</v>
      </c>
      <c r="K287" s="269">
        <v>4506.5</v>
      </c>
      <c r="L287" s="269">
        <v>5805.7</v>
      </c>
      <c r="M287" s="270"/>
      <c r="Q287" s="271" t="s">
        <v>250</v>
      </c>
      <c r="R287" s="272">
        <v>4.5999999999999999E-2</v>
      </c>
      <c r="S287" s="272">
        <v>4.3999999999999997E-2</v>
      </c>
      <c r="T287" s="272">
        <v>4.2000000000000003E-2</v>
      </c>
      <c r="U287" s="272">
        <v>4.2000000000000003E-2</v>
      </c>
      <c r="V287" s="272">
        <v>4.8000000000000001E-2</v>
      </c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</row>
    <row r="288" spans="1:35" ht="9.9499999999999993" customHeight="1" x14ac:dyDescent="0.15">
      <c r="A288" s="1"/>
      <c r="B288" s="257"/>
      <c r="C288" s="258"/>
      <c r="D288" s="273"/>
      <c r="E288" s="274" t="s">
        <v>191</v>
      </c>
      <c r="F288" s="275"/>
      <c r="G288" s="276" t="s">
        <v>580</v>
      </c>
      <c r="H288" s="277">
        <v>970</v>
      </c>
      <c r="I288" s="277">
        <v>980</v>
      </c>
      <c r="J288" s="277">
        <v>980</v>
      </c>
      <c r="K288" s="277">
        <v>1000</v>
      </c>
      <c r="L288" s="277">
        <v>990</v>
      </c>
      <c r="M288" s="270"/>
      <c r="Q288" s="271" t="s">
        <v>252</v>
      </c>
      <c r="R288" s="272">
        <v>6.2E-2</v>
      </c>
      <c r="S288" s="272">
        <v>5.3999999999999999E-2</v>
      </c>
      <c r="T288" s="272">
        <v>7.8E-2</v>
      </c>
      <c r="U288" s="272">
        <v>7.8E-2</v>
      </c>
      <c r="V288" s="272">
        <v>8.2000000000000003E-2</v>
      </c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</row>
    <row r="289" spans="1:35" ht="9.9499999999999993" customHeight="1" x14ac:dyDescent="0.15">
      <c r="A289" s="1"/>
      <c r="B289" s="493"/>
      <c r="Q289" s="271" t="s">
        <v>253</v>
      </c>
      <c r="R289" s="272">
        <v>6.4000000000000001E-2</v>
      </c>
      <c r="S289" s="272">
        <v>6.2E-2</v>
      </c>
      <c r="T289" s="272">
        <v>8.2000000000000003E-2</v>
      </c>
      <c r="U289" s="272">
        <v>8.7999999999999995E-2</v>
      </c>
      <c r="V289" s="272">
        <v>8.7999999999999995E-2</v>
      </c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</row>
    <row r="290" spans="1:35" ht="9.9499999999999993" customHeight="1" x14ac:dyDescent="0.15">
      <c r="A290" s="1"/>
      <c r="B290" s="493"/>
      <c r="Q290" s="271" t="s">
        <v>254</v>
      </c>
      <c r="R290" s="272">
        <v>5.1999999999999998E-2</v>
      </c>
      <c r="S290" s="272">
        <v>4.5999999999999999E-2</v>
      </c>
      <c r="T290" s="272">
        <v>6.2E-2</v>
      </c>
      <c r="U290" s="272">
        <v>5.6000000000000001E-2</v>
      </c>
      <c r="V290" s="272">
        <v>6.6000000000000003E-2</v>
      </c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</row>
    <row r="291" spans="1:35" ht="9.9499999999999993" customHeight="1" x14ac:dyDescent="0.15">
      <c r="A291" s="1"/>
      <c r="B291" s="493" t="s">
        <v>541</v>
      </c>
      <c r="AH291" s="240"/>
      <c r="AI291" s="240"/>
    </row>
    <row r="292" spans="1:35" ht="9.9499999999999993" customHeight="1" x14ac:dyDescent="0.15">
      <c r="A292" s="1"/>
      <c r="B292" s="642"/>
      <c r="C292" s="278" t="s">
        <v>256</v>
      </c>
      <c r="D292" s="279" t="s">
        <v>497</v>
      </c>
      <c r="E292" s="280" t="s">
        <v>258</v>
      </c>
      <c r="F292" s="281"/>
      <c r="G292" s="282"/>
      <c r="H292" s="283" t="s">
        <v>259</v>
      </c>
      <c r="I292" s="284"/>
      <c r="J292" s="284"/>
      <c r="K292" s="284"/>
      <c r="L292" s="284"/>
      <c r="M292" s="285"/>
      <c r="N292" s="285"/>
      <c r="O292" s="285"/>
      <c r="P292" s="285"/>
      <c r="Q292" s="285"/>
      <c r="R292" s="285"/>
      <c r="S292" s="285"/>
      <c r="T292" s="285"/>
      <c r="U292" s="285"/>
      <c r="V292" s="285"/>
      <c r="W292" s="285"/>
      <c r="X292" s="285"/>
      <c r="Y292" s="285"/>
      <c r="Z292" s="285"/>
      <c r="AA292" s="285"/>
      <c r="AB292" s="286"/>
      <c r="AC292" s="287" t="s">
        <v>260</v>
      </c>
      <c r="AD292" s="288"/>
      <c r="AE292" s="289"/>
      <c r="AF292" s="289"/>
      <c r="AG292" s="289"/>
    </row>
    <row r="293" spans="1:35" ht="9.9499999999999993" customHeight="1" x14ac:dyDescent="0.15">
      <c r="A293" s="1"/>
      <c r="B293" s="643"/>
      <c r="C293" s="290"/>
      <c r="D293" s="290"/>
      <c r="E293" s="291"/>
      <c r="F293" s="250"/>
      <c r="G293" s="292"/>
      <c r="H293" s="293" t="s">
        <v>261</v>
      </c>
      <c r="I293" s="294"/>
      <c r="J293" s="294"/>
      <c r="K293" s="294"/>
      <c r="L293" s="294"/>
      <c r="M293" s="295"/>
      <c r="N293" s="283" t="s">
        <v>262</v>
      </c>
      <c r="O293" s="285"/>
      <c r="P293" s="285"/>
      <c r="Q293" s="285"/>
      <c r="R293" s="286"/>
      <c r="S293" s="283" t="s">
        <v>498</v>
      </c>
      <c r="T293" s="285"/>
      <c r="U293" s="285"/>
      <c r="V293" s="285"/>
      <c r="W293" s="286"/>
      <c r="X293" s="283" t="s">
        <v>264</v>
      </c>
      <c r="Y293" s="285"/>
      <c r="Z293" s="285"/>
      <c r="AA293" s="285"/>
      <c r="AB293" s="286"/>
      <c r="AC293" s="79"/>
      <c r="AD293" s="296"/>
      <c r="AE293" s="289"/>
      <c r="AF293" s="289"/>
      <c r="AG293" s="289"/>
    </row>
    <row r="294" spans="1:35" ht="9.9499999999999993" customHeight="1" x14ac:dyDescent="0.15">
      <c r="A294" s="1"/>
      <c r="B294" s="643"/>
      <c r="C294" s="290"/>
      <c r="D294" s="290"/>
      <c r="E294" s="291"/>
      <c r="F294" s="250"/>
      <c r="G294" s="292"/>
      <c r="H294" s="297" t="s">
        <v>218</v>
      </c>
      <c r="I294" s="297"/>
      <c r="J294" s="297"/>
      <c r="K294" s="297"/>
      <c r="L294" s="297"/>
      <c r="M294" s="298"/>
      <c r="N294" s="293"/>
      <c r="O294" s="294"/>
      <c r="P294" s="294"/>
      <c r="Q294" s="294"/>
      <c r="R294" s="294"/>
      <c r="S294" s="293"/>
      <c r="T294" s="294"/>
      <c r="U294" s="294"/>
      <c r="V294" s="294"/>
      <c r="W294" s="294"/>
      <c r="X294" s="293"/>
      <c r="Y294" s="294"/>
      <c r="Z294" s="294"/>
      <c r="AA294" s="294"/>
      <c r="AB294" s="295"/>
      <c r="AC294" s="79"/>
      <c r="AD294" s="296"/>
      <c r="AE294" s="289"/>
      <c r="AF294" s="289"/>
      <c r="AG294" s="289"/>
    </row>
    <row r="295" spans="1:35" ht="9.9499999999999993" customHeight="1" x14ac:dyDescent="0.15">
      <c r="A295" s="1"/>
      <c r="B295" s="644"/>
      <c r="C295" s="261"/>
      <c r="D295" s="261"/>
      <c r="E295" s="299"/>
      <c r="F295" s="300"/>
      <c r="G295" s="301"/>
      <c r="H295" s="302"/>
      <c r="I295" s="303" t="s">
        <v>220</v>
      </c>
      <c r="J295" s="303"/>
      <c r="K295" s="303"/>
      <c r="L295" s="303"/>
      <c r="M295" s="304"/>
      <c r="N295" s="305"/>
      <c r="O295" s="305"/>
      <c r="P295" s="305"/>
      <c r="Q295" s="305"/>
      <c r="R295" s="305"/>
      <c r="S295" s="305" t="s">
        <v>265</v>
      </c>
      <c r="T295" s="305"/>
      <c r="U295" s="305"/>
      <c r="V295" s="305"/>
      <c r="W295" s="305"/>
      <c r="X295" s="305"/>
      <c r="Y295" s="305"/>
      <c r="Z295" s="305"/>
      <c r="AA295" s="305"/>
      <c r="AB295" s="306"/>
      <c r="AC295" s="305"/>
      <c r="AD295" s="307"/>
      <c r="AE295" s="289"/>
      <c r="AF295" s="289"/>
      <c r="AG295" s="289"/>
    </row>
    <row r="296" spans="1:35" ht="9.9499999999999993" customHeight="1" x14ac:dyDescent="0.15">
      <c r="A296" s="1"/>
      <c r="B296" s="308" t="s">
        <v>542</v>
      </c>
      <c r="C296" s="278" t="s">
        <v>500</v>
      </c>
      <c r="D296" s="86" t="s">
        <v>268</v>
      </c>
      <c r="E296" s="280" t="s">
        <v>502</v>
      </c>
      <c r="F296" s="281"/>
      <c r="G296" s="282"/>
      <c r="H296" s="256" t="s">
        <v>613</v>
      </c>
      <c r="I296" s="256" t="s">
        <v>614</v>
      </c>
      <c r="J296" s="256" t="s">
        <v>615</v>
      </c>
      <c r="K296" s="256" t="s">
        <v>616</v>
      </c>
      <c r="L296" s="256" t="s">
        <v>617</v>
      </c>
      <c r="M296" s="309" t="s">
        <v>618</v>
      </c>
      <c r="N296" s="313" t="s">
        <v>621</v>
      </c>
      <c r="O296" s="313" t="s">
        <v>622</v>
      </c>
      <c r="P296" s="313" t="s">
        <v>623</v>
      </c>
      <c r="Q296" s="313" t="s">
        <v>624</v>
      </c>
      <c r="R296" s="314" t="s">
        <v>625</v>
      </c>
      <c r="S296" s="313" t="s">
        <v>626</v>
      </c>
      <c r="T296" s="313" t="s">
        <v>627</v>
      </c>
      <c r="U296" s="313" t="s">
        <v>628</v>
      </c>
      <c r="V296" s="313" t="s">
        <v>629</v>
      </c>
      <c r="W296" s="314" t="s">
        <v>630</v>
      </c>
      <c r="X296" s="313" t="s">
        <v>631</v>
      </c>
      <c r="Y296" s="313" t="s">
        <v>632</v>
      </c>
      <c r="Z296" s="313" t="s">
        <v>633</v>
      </c>
      <c r="AA296" s="313" t="s">
        <v>634</v>
      </c>
      <c r="AB296" s="314" t="s">
        <v>635</v>
      </c>
      <c r="AC296" s="315"/>
      <c r="AD296" s="516"/>
      <c r="AE296" s="289"/>
      <c r="AF296" s="289"/>
      <c r="AG296" s="289"/>
      <c r="AH296" s="1"/>
      <c r="AI296" s="1"/>
    </row>
    <row r="297" spans="1:35" ht="9.9499999999999993" customHeight="1" x14ac:dyDescent="0.15">
      <c r="A297" s="1"/>
      <c r="B297" s="317" t="s">
        <v>417</v>
      </c>
      <c r="C297" s="290"/>
      <c r="D297" s="290"/>
      <c r="E297" s="299"/>
      <c r="F297" s="300"/>
      <c r="G297" s="301"/>
      <c r="H297" s="318" t="s">
        <v>234</v>
      </c>
      <c r="I297" s="319" t="s">
        <v>235</v>
      </c>
      <c r="J297" s="319" t="s">
        <v>236</v>
      </c>
      <c r="K297" s="319" t="s">
        <v>237</v>
      </c>
      <c r="L297" s="319" t="s">
        <v>238</v>
      </c>
      <c r="M297" s="320" t="s">
        <v>239</v>
      </c>
      <c r="N297" s="318" t="s">
        <v>234</v>
      </c>
      <c r="O297" s="319" t="s">
        <v>235</v>
      </c>
      <c r="P297" s="319" t="s">
        <v>236</v>
      </c>
      <c r="Q297" s="319" t="s">
        <v>237</v>
      </c>
      <c r="R297" s="320" t="s">
        <v>238</v>
      </c>
      <c r="S297" s="318" t="s">
        <v>234</v>
      </c>
      <c r="T297" s="319" t="s">
        <v>235</v>
      </c>
      <c r="U297" s="319" t="s">
        <v>236</v>
      </c>
      <c r="V297" s="319" t="s">
        <v>237</v>
      </c>
      <c r="W297" s="320" t="s">
        <v>238</v>
      </c>
      <c r="X297" s="318" t="s">
        <v>234</v>
      </c>
      <c r="Y297" s="319" t="s">
        <v>235</v>
      </c>
      <c r="Z297" s="319" t="s">
        <v>236</v>
      </c>
      <c r="AA297" s="319" t="s">
        <v>237</v>
      </c>
      <c r="AB297" s="320" t="s">
        <v>238</v>
      </c>
      <c r="AC297" s="296"/>
      <c r="AD297" s="321"/>
      <c r="AE297" s="289"/>
      <c r="AF297" s="289"/>
      <c r="AG297" s="289"/>
      <c r="AH297" s="1"/>
      <c r="AI297" s="1"/>
    </row>
    <row r="298" spans="1:35" ht="9.9499999999999993" customHeight="1" x14ac:dyDescent="0.15">
      <c r="A298" s="1"/>
      <c r="B298" s="317"/>
      <c r="C298" s="290"/>
      <c r="D298" s="290"/>
      <c r="E298" s="87" t="s">
        <v>288</v>
      </c>
      <c r="F298" s="322"/>
      <c r="G298" s="323"/>
      <c r="H298" s="283" t="s">
        <v>289</v>
      </c>
      <c r="I298" s="284"/>
      <c r="J298" s="284"/>
      <c r="K298" s="284"/>
      <c r="L298" s="284"/>
      <c r="M298" s="286"/>
      <c r="N298" s="283" t="s">
        <v>289</v>
      </c>
      <c r="O298" s="285"/>
      <c r="P298" s="285"/>
      <c r="Q298" s="285"/>
      <c r="R298" s="286"/>
      <c r="S298" s="283" t="s">
        <v>289</v>
      </c>
      <c r="T298" s="285"/>
      <c r="U298" s="285"/>
      <c r="V298" s="285"/>
      <c r="W298" s="286"/>
      <c r="X298" s="283" t="s">
        <v>289</v>
      </c>
      <c r="Y298" s="285"/>
      <c r="Z298" s="285"/>
      <c r="AA298" s="285"/>
      <c r="AB298" s="286"/>
      <c r="AC298" s="307"/>
      <c r="AD298" s="324"/>
      <c r="AE298" s="289"/>
      <c r="AF298" s="289"/>
      <c r="AG298" s="289"/>
      <c r="AH298" s="1"/>
      <c r="AI298" s="1"/>
    </row>
    <row r="299" spans="1:35" ht="9.9499999999999993" customHeight="1" x14ac:dyDescent="0.15">
      <c r="A299" s="1"/>
      <c r="B299" s="317"/>
      <c r="C299" s="290"/>
      <c r="D299" s="290"/>
      <c r="E299" s="87" t="s">
        <v>480</v>
      </c>
      <c r="F299" s="322"/>
      <c r="G299" s="323"/>
      <c r="H299" s="325">
        <v>4.2000000000000003E-2</v>
      </c>
      <c r="I299" s="326">
        <v>5.1999999999999998E-2</v>
      </c>
      <c r="J299" s="326">
        <v>0.04</v>
      </c>
      <c r="K299" s="326">
        <v>4.3999999999999997E-2</v>
      </c>
      <c r="L299" s="326">
        <v>0.05</v>
      </c>
      <c r="M299" s="327">
        <v>0.05</v>
      </c>
      <c r="N299" s="325">
        <v>0.05</v>
      </c>
      <c r="O299" s="326">
        <v>4.5999999999999999E-2</v>
      </c>
      <c r="P299" s="326">
        <v>4.5999999999999999E-2</v>
      </c>
      <c r="Q299" s="326">
        <v>4.3999999999999997E-2</v>
      </c>
      <c r="R299" s="327">
        <v>4.8000000000000001E-2</v>
      </c>
      <c r="S299" s="325">
        <v>0.05</v>
      </c>
      <c r="T299" s="326">
        <v>0.04</v>
      </c>
      <c r="U299" s="326">
        <v>0.05</v>
      </c>
      <c r="V299" s="326">
        <v>4.3999999999999997E-2</v>
      </c>
      <c r="W299" s="327">
        <v>4.3999999999999997E-2</v>
      </c>
      <c r="X299" s="325">
        <v>4.3999999999999997E-2</v>
      </c>
      <c r="Y299" s="326">
        <v>4.5999999999999999E-2</v>
      </c>
      <c r="Z299" s="326">
        <v>0.05</v>
      </c>
      <c r="AA299" s="326">
        <v>0.05</v>
      </c>
      <c r="AB299" s="327">
        <v>4.5999999999999999E-2</v>
      </c>
      <c r="AC299" s="328" t="s">
        <v>291</v>
      </c>
      <c r="AD299" s="329" t="s">
        <v>292</v>
      </c>
      <c r="AE299" s="289"/>
      <c r="AF299" s="289"/>
      <c r="AG299" s="289"/>
      <c r="AH299" s="1"/>
      <c r="AI299" s="1"/>
    </row>
    <row r="300" spans="1:35" ht="9.9499999999999993" customHeight="1" x14ac:dyDescent="0.15">
      <c r="A300" s="1"/>
      <c r="B300" s="317"/>
      <c r="C300" s="290"/>
      <c r="D300" s="290"/>
      <c r="E300" s="87" t="s">
        <v>481</v>
      </c>
      <c r="F300" s="322"/>
      <c r="G300" s="323"/>
      <c r="H300" s="330">
        <v>8.4000000000000005E-2</v>
      </c>
      <c r="I300" s="272">
        <v>7.8E-2</v>
      </c>
      <c r="J300" s="272">
        <v>7.5999999999999998E-2</v>
      </c>
      <c r="K300" s="272">
        <v>7.5999999999999998E-2</v>
      </c>
      <c r="L300" s="272">
        <v>8.5999999999999993E-2</v>
      </c>
      <c r="M300" s="331">
        <v>6.8000000000000005E-2</v>
      </c>
      <c r="N300" s="330">
        <v>7.3999999999999996E-2</v>
      </c>
      <c r="O300" s="272">
        <v>6.8000000000000005E-2</v>
      </c>
      <c r="P300" s="272">
        <v>8.4000000000000005E-2</v>
      </c>
      <c r="Q300" s="272">
        <v>6.6000000000000003E-2</v>
      </c>
      <c r="R300" s="331">
        <v>8.4000000000000005E-2</v>
      </c>
      <c r="S300" s="330">
        <v>8.4000000000000005E-2</v>
      </c>
      <c r="T300" s="272">
        <v>7.3999999999999996E-2</v>
      </c>
      <c r="U300" s="272">
        <v>8.4000000000000005E-2</v>
      </c>
      <c r="V300" s="272">
        <v>0.09</v>
      </c>
      <c r="W300" s="331">
        <v>7.3999999999999996E-2</v>
      </c>
      <c r="X300" s="330">
        <v>8.2000000000000003E-2</v>
      </c>
      <c r="Y300" s="272">
        <v>8.4000000000000005E-2</v>
      </c>
      <c r="Z300" s="272">
        <v>7.0000000000000007E-2</v>
      </c>
      <c r="AA300" s="272">
        <v>7.8E-2</v>
      </c>
      <c r="AB300" s="331">
        <v>0.08</v>
      </c>
      <c r="AC300" s="332" t="s">
        <v>294</v>
      </c>
      <c r="AD300" s="329" t="s">
        <v>295</v>
      </c>
      <c r="AE300" s="289"/>
      <c r="AF300" s="289"/>
      <c r="AG300" s="289"/>
      <c r="AH300" s="1"/>
      <c r="AI300" s="1"/>
    </row>
    <row r="301" spans="1:35" ht="9.9499999999999993" customHeight="1" x14ac:dyDescent="0.15">
      <c r="A301" s="1"/>
      <c r="B301" s="317"/>
      <c r="C301" s="290"/>
      <c r="D301" s="290"/>
      <c r="E301" s="87" t="s">
        <v>482</v>
      </c>
      <c r="F301" s="322"/>
      <c r="G301" s="323"/>
      <c r="H301" s="330">
        <v>4.8000000000000001E-2</v>
      </c>
      <c r="I301" s="272">
        <v>0.05</v>
      </c>
      <c r="J301" s="272">
        <v>4.5999999999999999E-2</v>
      </c>
      <c r="K301" s="272">
        <v>5.6000000000000001E-2</v>
      </c>
      <c r="L301" s="272">
        <v>4.3999999999999997E-2</v>
      </c>
      <c r="M301" s="331">
        <v>5.1999999999999998E-2</v>
      </c>
      <c r="N301" s="330">
        <v>0.05</v>
      </c>
      <c r="O301" s="272">
        <v>0.06</v>
      </c>
      <c r="P301" s="272">
        <v>0.05</v>
      </c>
      <c r="Q301" s="272">
        <v>0.05</v>
      </c>
      <c r="R301" s="331">
        <v>4.8000000000000001E-2</v>
      </c>
      <c r="S301" s="330">
        <v>0.05</v>
      </c>
      <c r="T301" s="272">
        <v>5.1999999999999998E-2</v>
      </c>
      <c r="U301" s="272">
        <v>5.6000000000000001E-2</v>
      </c>
      <c r="V301" s="272">
        <v>5.1999999999999998E-2</v>
      </c>
      <c r="W301" s="331">
        <v>0.05</v>
      </c>
      <c r="X301" s="330">
        <v>0.05</v>
      </c>
      <c r="Y301" s="272">
        <v>4.8000000000000001E-2</v>
      </c>
      <c r="Z301" s="272">
        <v>5.1999999999999998E-2</v>
      </c>
      <c r="AA301" s="272">
        <v>5.3999999999999999E-2</v>
      </c>
      <c r="AB301" s="331">
        <v>5.6000000000000001E-2</v>
      </c>
      <c r="AC301" s="332" t="s">
        <v>297</v>
      </c>
      <c r="AD301" s="329" t="s">
        <v>298</v>
      </c>
      <c r="AE301" s="289"/>
      <c r="AF301" s="289"/>
      <c r="AG301" s="289"/>
      <c r="AH301" s="1"/>
      <c r="AI301" s="1"/>
    </row>
    <row r="302" spans="1:35" ht="9.9499999999999993" customHeight="1" x14ac:dyDescent="0.15">
      <c r="A302" s="1"/>
      <c r="B302" s="333"/>
      <c r="C302" s="261"/>
      <c r="D302" s="261"/>
      <c r="E302" s="87" t="s">
        <v>483</v>
      </c>
      <c r="F302" s="322"/>
      <c r="G302" s="323"/>
      <c r="H302" s="330">
        <v>4.5999999999999999E-2</v>
      </c>
      <c r="I302" s="272">
        <v>4.5999999999999999E-2</v>
      </c>
      <c r="J302" s="272">
        <v>4.2000000000000003E-2</v>
      </c>
      <c r="K302" s="272">
        <v>0.04</v>
      </c>
      <c r="L302" s="272">
        <v>4.8000000000000001E-2</v>
      </c>
      <c r="M302" s="331">
        <v>0.04</v>
      </c>
      <c r="N302" s="330">
        <v>3.7999999999999999E-2</v>
      </c>
      <c r="O302" s="272">
        <v>4.3999999999999997E-2</v>
      </c>
      <c r="P302" s="272">
        <v>0.04</v>
      </c>
      <c r="Q302" s="272">
        <v>4.2000000000000003E-2</v>
      </c>
      <c r="R302" s="331">
        <v>4.2000000000000003E-2</v>
      </c>
      <c r="S302" s="330">
        <v>4.2000000000000003E-2</v>
      </c>
      <c r="T302" s="272">
        <v>3.7999999999999999E-2</v>
      </c>
      <c r="U302" s="272">
        <v>4.2000000000000003E-2</v>
      </c>
      <c r="V302" s="272">
        <v>0.04</v>
      </c>
      <c r="W302" s="331">
        <v>0.04</v>
      </c>
      <c r="X302" s="330">
        <v>4.3999999999999997E-2</v>
      </c>
      <c r="Y302" s="272">
        <v>0.04</v>
      </c>
      <c r="Z302" s="272">
        <v>0.04</v>
      </c>
      <c r="AA302" s="272">
        <v>4.3999999999999997E-2</v>
      </c>
      <c r="AB302" s="331">
        <v>4.5999999999999999E-2</v>
      </c>
      <c r="AC302" s="332" t="s">
        <v>300</v>
      </c>
      <c r="AD302" s="329" t="s">
        <v>301</v>
      </c>
      <c r="AE302" s="289"/>
      <c r="AF302" s="289"/>
      <c r="AG302" s="289"/>
      <c r="AH302" s="1"/>
      <c r="AI302" s="1"/>
    </row>
    <row r="303" spans="1:35" ht="9.9499999999999993" customHeight="1" x14ac:dyDescent="0.15">
      <c r="A303" s="1"/>
      <c r="B303" s="334" t="s">
        <v>302</v>
      </c>
      <c r="C303" s="335" t="s">
        <v>303</v>
      </c>
      <c r="D303" s="336" t="s">
        <v>602</v>
      </c>
      <c r="E303" s="347" t="s">
        <v>485</v>
      </c>
      <c r="F303" s="322"/>
      <c r="G303" s="323"/>
      <c r="H303" s="337"/>
      <c r="I303" s="338" t="s">
        <v>306</v>
      </c>
      <c r="J303" s="338" t="s">
        <v>306</v>
      </c>
      <c r="K303" s="339" t="s">
        <v>306</v>
      </c>
      <c r="L303" s="339" t="s">
        <v>306</v>
      </c>
      <c r="M303" s="340" t="s">
        <v>306</v>
      </c>
      <c r="N303" s="341"/>
      <c r="O303" s="285"/>
      <c r="P303" s="285"/>
      <c r="Q303" s="285"/>
      <c r="R303" s="285"/>
      <c r="S303" s="285"/>
      <c r="T303" s="285"/>
      <c r="U303" s="285"/>
      <c r="V303" s="285"/>
      <c r="W303" s="285"/>
      <c r="X303" s="285"/>
      <c r="Y303" s="285"/>
      <c r="Z303" s="285"/>
      <c r="AA303" s="285"/>
      <c r="AB303" s="286"/>
      <c r="AC303" s="357" t="s">
        <v>285</v>
      </c>
      <c r="AD303" s="522" t="s">
        <v>286</v>
      </c>
      <c r="AE303" s="289"/>
      <c r="AF303" s="289"/>
      <c r="AG303" s="289"/>
      <c r="AH303" s="1"/>
      <c r="AI303" s="1"/>
    </row>
    <row r="304" spans="1:35" ht="9.9499999999999993" customHeight="1" x14ac:dyDescent="0.15">
      <c r="A304" s="1"/>
      <c r="B304" s="344" t="s">
        <v>308</v>
      </c>
      <c r="C304" s="345" t="s">
        <v>309</v>
      </c>
      <c r="D304" s="346" t="s">
        <v>328</v>
      </c>
      <c r="E304" s="347" t="s">
        <v>487</v>
      </c>
      <c r="F304" s="322"/>
      <c r="G304" s="323"/>
      <c r="H304" s="348" t="s">
        <v>636</v>
      </c>
      <c r="I304" s="284"/>
      <c r="J304" s="284"/>
      <c r="K304" s="284"/>
      <c r="L304" s="284"/>
      <c r="M304" s="286"/>
      <c r="N304" s="348" t="s">
        <v>307</v>
      </c>
      <c r="O304" s="285"/>
      <c r="P304" s="285"/>
      <c r="Q304" s="285"/>
      <c r="R304" s="285"/>
      <c r="S304" s="285"/>
      <c r="T304" s="285"/>
      <c r="U304" s="285"/>
      <c r="V304" s="285"/>
      <c r="W304" s="285"/>
      <c r="X304" s="285"/>
      <c r="Y304" s="285"/>
      <c r="Z304" s="285"/>
      <c r="AA304" s="285"/>
      <c r="AB304" s="286"/>
      <c r="AC304" s="342" t="s">
        <v>314</v>
      </c>
      <c r="AD304" s="349" t="s">
        <v>315</v>
      </c>
      <c r="AE304" s="289"/>
      <c r="AF304" s="289"/>
      <c r="AG304" s="289"/>
      <c r="AH304" s="1"/>
      <c r="AI304" s="1"/>
    </row>
    <row r="305" spans="1:35" ht="9.9499999999999993" customHeight="1" x14ac:dyDescent="0.15">
      <c r="A305" s="1"/>
      <c r="B305" s="523"/>
      <c r="C305" s="351"/>
      <c r="D305" s="261"/>
      <c r="E305" s="352" t="s">
        <v>490</v>
      </c>
      <c r="F305" s="281"/>
      <c r="G305" s="282"/>
      <c r="H305" s="348" t="s">
        <v>637</v>
      </c>
      <c r="I305" s="284"/>
      <c r="J305" s="284"/>
      <c r="K305" s="284"/>
      <c r="L305" s="284"/>
      <c r="M305" s="286"/>
      <c r="N305" s="348" t="s">
        <v>637</v>
      </c>
      <c r="O305" s="285"/>
      <c r="P305" s="285"/>
      <c r="Q305" s="285"/>
      <c r="R305" s="285"/>
      <c r="S305" s="285"/>
      <c r="T305" s="285"/>
      <c r="U305" s="285"/>
      <c r="V305" s="285"/>
      <c r="W305" s="285"/>
      <c r="X305" s="285"/>
      <c r="Y305" s="285"/>
      <c r="Z305" s="285"/>
      <c r="AA305" s="285"/>
      <c r="AB305" s="286"/>
      <c r="AC305" s="353" t="s">
        <v>318</v>
      </c>
      <c r="AD305" s="349" t="s">
        <v>319</v>
      </c>
      <c r="AE305" s="289"/>
      <c r="AF305" s="289"/>
      <c r="AG305" s="289"/>
      <c r="AH305" s="1"/>
      <c r="AI305" s="1"/>
    </row>
    <row r="306" spans="1:35" ht="9.9499999999999993" customHeight="1" x14ac:dyDescent="0.15">
      <c r="A306" s="1"/>
      <c r="B306" s="308" t="s">
        <v>320</v>
      </c>
      <c r="C306" s="519" t="s">
        <v>493</v>
      </c>
      <c r="D306" s="336" t="s">
        <v>322</v>
      </c>
      <c r="E306" s="355" t="s">
        <v>323</v>
      </c>
      <c r="F306" s="322"/>
      <c r="G306" s="323"/>
      <c r="H306" s="337"/>
      <c r="I306" s="270"/>
      <c r="J306" s="270"/>
      <c r="K306" s="645" t="s">
        <v>638</v>
      </c>
      <c r="L306" s="270"/>
      <c r="M306" s="356"/>
      <c r="N306" s="341"/>
      <c r="O306" s="285"/>
      <c r="P306" s="285"/>
      <c r="Q306" s="285"/>
      <c r="R306" s="285"/>
      <c r="S306" s="285"/>
      <c r="T306" s="285"/>
      <c r="U306" s="285"/>
      <c r="V306" s="285"/>
      <c r="W306" s="285"/>
      <c r="X306" s="285"/>
      <c r="Y306" s="285"/>
      <c r="Z306" s="285"/>
      <c r="AA306" s="285"/>
      <c r="AB306" s="286"/>
      <c r="AC306" s="357" t="s">
        <v>285</v>
      </c>
      <c r="AD306" s="520" t="s">
        <v>286</v>
      </c>
      <c r="AE306" s="289"/>
      <c r="AF306" s="289"/>
      <c r="AG306" s="289"/>
      <c r="AH306" s="1"/>
      <c r="AI306" s="1"/>
    </row>
    <row r="307" spans="1:35" ht="9.9499999999999993" customHeight="1" x14ac:dyDescent="0.15">
      <c r="A307" s="1"/>
      <c r="B307" s="317" t="s">
        <v>326</v>
      </c>
      <c r="C307" s="521" t="s">
        <v>327</v>
      </c>
      <c r="D307" s="346" t="s">
        <v>328</v>
      </c>
      <c r="E307" s="359" t="s">
        <v>329</v>
      </c>
      <c r="F307" s="281"/>
      <c r="G307" s="282"/>
      <c r="H307" s="293" t="s">
        <v>110</v>
      </c>
      <c r="I307" s="360"/>
      <c r="J307" s="360"/>
      <c r="K307" s="651"/>
      <c r="L307" s="360"/>
      <c r="M307" s="295"/>
      <c r="N307" s="249" t="s">
        <v>639</v>
      </c>
      <c r="O307" s="79"/>
      <c r="P307" s="79"/>
      <c r="Q307" s="79"/>
      <c r="R307" s="79"/>
      <c r="S307" s="79"/>
      <c r="T307" s="79"/>
      <c r="U307" s="79"/>
      <c r="V307" s="79"/>
      <c r="W307" s="79"/>
      <c r="X307" s="79"/>
      <c r="Y307" s="79"/>
      <c r="Z307" s="79"/>
      <c r="AA307" s="79"/>
      <c r="AB307" s="361"/>
      <c r="AC307" s="362" t="s">
        <v>329</v>
      </c>
      <c r="AD307" s="363" t="s">
        <v>110</v>
      </c>
      <c r="AE307" s="289"/>
      <c r="AF307" s="289"/>
      <c r="AG307" s="289"/>
      <c r="AH307" s="1"/>
      <c r="AI307" s="1"/>
    </row>
    <row r="308" spans="1:35" ht="9.9499999999999993" customHeight="1" x14ac:dyDescent="0.15">
      <c r="A308" s="1"/>
      <c r="B308" s="290"/>
      <c r="C308" s="516" t="s">
        <v>330</v>
      </c>
      <c r="D308" s="346"/>
      <c r="E308" s="299"/>
      <c r="F308" s="300"/>
      <c r="G308" s="301"/>
      <c r="H308" s="305"/>
      <c r="I308" s="364"/>
      <c r="J308" s="364"/>
      <c r="K308" s="652"/>
      <c r="L308" s="364"/>
      <c r="M308" s="306"/>
      <c r="N308" s="305"/>
      <c r="O308" s="305"/>
      <c r="P308" s="305"/>
      <c r="Q308" s="305"/>
      <c r="R308" s="305"/>
      <c r="S308" s="305"/>
      <c r="T308" s="305"/>
      <c r="U308" s="305"/>
      <c r="V308" s="305"/>
      <c r="W308" s="305"/>
      <c r="X308" s="305"/>
      <c r="Y308" s="305"/>
      <c r="Z308" s="305"/>
      <c r="AA308" s="305"/>
      <c r="AB308" s="306"/>
      <c r="AC308" s="307"/>
      <c r="AD308" s="324"/>
      <c r="AE308" s="289"/>
      <c r="AF308" s="289"/>
      <c r="AG308" s="289"/>
      <c r="AH308" s="1"/>
      <c r="AI308" s="1"/>
    </row>
    <row r="309" spans="1:35" ht="9.9499999999999993" customHeight="1" x14ac:dyDescent="0.15">
      <c r="A309" s="1"/>
      <c r="B309" s="261"/>
      <c r="C309" s="577" t="s">
        <v>331</v>
      </c>
      <c r="D309" s="365"/>
      <c r="E309" s="366" t="s">
        <v>332</v>
      </c>
      <c r="F309" s="322"/>
      <c r="G309" s="323"/>
      <c r="H309" s="283" t="s">
        <v>110</v>
      </c>
      <c r="I309" s="284"/>
      <c r="J309" s="284"/>
      <c r="K309" s="284"/>
      <c r="L309" s="284"/>
      <c r="M309" s="286"/>
      <c r="N309" s="283" t="s">
        <v>637</v>
      </c>
      <c r="O309" s="285"/>
      <c r="P309" s="285"/>
      <c r="Q309" s="285"/>
      <c r="R309" s="285"/>
      <c r="S309" s="285"/>
      <c r="T309" s="285"/>
      <c r="U309" s="285"/>
      <c r="V309" s="285"/>
      <c r="W309" s="285"/>
      <c r="X309" s="285"/>
      <c r="Y309" s="285"/>
      <c r="Z309" s="285"/>
      <c r="AA309" s="285"/>
      <c r="AB309" s="286"/>
      <c r="AC309" s="367" t="s">
        <v>640</v>
      </c>
      <c r="AD309" s="88" t="s">
        <v>110</v>
      </c>
      <c r="AE309" s="289"/>
      <c r="AF309" s="289"/>
      <c r="AG309" s="289"/>
      <c r="AH309" s="1"/>
      <c r="AI309" s="1"/>
    </row>
    <row r="310" spans="1:35" ht="9.9499999999999993" customHeight="1" x14ac:dyDescent="0.15">
      <c r="A310" s="1"/>
      <c r="B310" s="368" t="s">
        <v>333</v>
      </c>
      <c r="C310" s="578"/>
      <c r="D310" s="369"/>
      <c r="E310" s="370"/>
      <c r="F310" s="250"/>
      <c r="G310" s="250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</row>
    <row r="311" spans="1:35" ht="9.9499999999999993" customHeight="1" x14ac:dyDescent="0.15">
      <c r="A311" s="1"/>
      <c r="B311" s="368" t="s">
        <v>334</v>
      </c>
      <c r="C311" s="578"/>
      <c r="D311" s="369"/>
      <c r="E311" s="370"/>
      <c r="F311" s="250"/>
      <c r="G311" s="250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</row>
    <row r="312" spans="1:35" ht="9.9499999999999993" customHeight="1" x14ac:dyDescent="0.15">
      <c r="A312" s="1"/>
      <c r="B312" s="368" t="s">
        <v>335</v>
      </c>
      <c r="C312" s="578"/>
      <c r="D312" s="369"/>
      <c r="E312" s="370"/>
      <c r="F312" s="250"/>
      <c r="G312" s="250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</row>
    <row r="313" spans="1:35" ht="9.9499999999999993" customHeight="1" x14ac:dyDescent="0.15">
      <c r="A313" s="1"/>
      <c r="B313" s="1"/>
      <c r="C313" s="1"/>
      <c r="D313" s="1"/>
      <c r="E313" s="1"/>
      <c r="F313" s="81" t="s">
        <v>336</v>
      </c>
      <c r="G313" s="81"/>
      <c r="H313" s="81"/>
      <c r="I313" s="81"/>
      <c r="J313" s="81" t="s">
        <v>337</v>
      </c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</row>
    <row r="314" spans="1:35" ht="9.9499999999999993" customHeight="1" x14ac:dyDescent="0.15">
      <c r="A314" s="1"/>
      <c r="B314" s="372" t="s">
        <v>338</v>
      </c>
      <c r="C314" s="86" t="s">
        <v>339</v>
      </c>
      <c r="D314" s="86" t="s">
        <v>496</v>
      </c>
      <c r="E314" s="373" t="s">
        <v>341</v>
      </c>
      <c r="F314" s="374" t="s">
        <v>434</v>
      </c>
      <c r="G314" s="375"/>
      <c r="I314" s="377" t="s">
        <v>341</v>
      </c>
      <c r="J314" s="375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</row>
    <row r="315" spans="1:35" ht="9.9499999999999993" customHeight="1" x14ac:dyDescent="0.15">
      <c r="A315" s="1"/>
      <c r="B315" s="378" t="s">
        <v>308</v>
      </c>
      <c r="C315" s="379" t="s">
        <v>343</v>
      </c>
      <c r="D315" s="379" t="s">
        <v>344</v>
      </c>
      <c r="E315" s="380" t="s">
        <v>291</v>
      </c>
      <c r="F315" s="381">
        <v>10.8</v>
      </c>
      <c r="G315" s="382"/>
      <c r="I315" s="377" t="s">
        <v>291</v>
      </c>
      <c r="J315" s="375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</row>
    <row r="316" spans="1:35" ht="9.9499999999999993" customHeight="1" x14ac:dyDescent="0.15">
      <c r="A316" s="1"/>
      <c r="B316" s="321"/>
      <c r="C316" s="321"/>
      <c r="D316" s="321"/>
      <c r="E316" s="380" t="s">
        <v>294</v>
      </c>
      <c r="F316" s="381">
        <v>56.9</v>
      </c>
      <c r="G316" s="382"/>
      <c r="I316" s="383" t="s">
        <v>294</v>
      </c>
      <c r="J316" s="384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</row>
    <row r="317" spans="1:35" ht="9.9499999999999993" customHeight="1" x14ac:dyDescent="0.15">
      <c r="A317" s="1"/>
      <c r="B317" s="321"/>
      <c r="C317" s="321"/>
      <c r="D317" s="321"/>
      <c r="E317" s="380" t="s">
        <v>297</v>
      </c>
      <c r="F317" s="381">
        <v>27.8</v>
      </c>
      <c r="G317" s="382"/>
      <c r="I317" s="383" t="s">
        <v>297</v>
      </c>
      <c r="J317" s="384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</row>
    <row r="318" spans="1:35" ht="9.9499999999999993" customHeight="1" x14ac:dyDescent="0.15">
      <c r="A318" s="1"/>
      <c r="B318" s="324"/>
      <c r="C318" s="324"/>
      <c r="D318" s="324"/>
      <c r="E318" s="380" t="s">
        <v>300</v>
      </c>
      <c r="F318" s="381">
        <v>4.5999999999999996</v>
      </c>
      <c r="G318" s="382"/>
      <c r="I318" s="383" t="s">
        <v>300</v>
      </c>
      <c r="J318" s="384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</row>
    <row r="319" spans="1:35" ht="9.9499999999999993" customHeight="1" x14ac:dyDescent="0.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</row>
    <row r="320" spans="1:35" ht="9.9499999999999993" customHeight="1" x14ac:dyDescent="0.15">
      <c r="A320" s="1"/>
      <c r="B320" s="240" t="s">
        <v>345</v>
      </c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289"/>
      <c r="AF320" s="289"/>
      <c r="AG320" s="1"/>
      <c r="AH320" s="1"/>
      <c r="AI320" s="1"/>
    </row>
    <row r="321" spans="1:35" ht="9.9499999999999993" customHeight="1" x14ac:dyDescent="0.15">
      <c r="A321" s="1"/>
      <c r="B321" s="642"/>
      <c r="C321" s="278" t="s">
        <v>256</v>
      </c>
      <c r="D321" s="279" t="s">
        <v>497</v>
      </c>
      <c r="E321" s="280" t="s">
        <v>258</v>
      </c>
      <c r="F321" s="281"/>
      <c r="G321" s="282"/>
      <c r="H321" s="283" t="s">
        <v>259</v>
      </c>
      <c r="I321" s="284"/>
      <c r="J321" s="284"/>
      <c r="K321" s="284"/>
      <c r="L321" s="284"/>
      <c r="M321" s="285"/>
      <c r="N321" s="285"/>
      <c r="O321" s="285"/>
      <c r="P321" s="285"/>
      <c r="Q321" s="285"/>
      <c r="R321" s="285"/>
      <c r="S321" s="285"/>
      <c r="T321" s="285"/>
      <c r="U321" s="285"/>
      <c r="V321" s="285"/>
      <c r="W321" s="285"/>
      <c r="X321" s="285"/>
      <c r="Y321" s="285"/>
      <c r="Z321" s="285"/>
      <c r="AA321" s="285"/>
      <c r="AB321" s="286"/>
      <c r="AC321" s="287" t="s">
        <v>260</v>
      </c>
      <c r="AD321" s="288"/>
      <c r="AE321" s="289"/>
      <c r="AF321" s="289"/>
      <c r="AG321" s="1"/>
      <c r="AH321" s="1"/>
      <c r="AI321" s="1"/>
    </row>
    <row r="322" spans="1:35" ht="9.9499999999999993" customHeight="1" x14ac:dyDescent="0.15">
      <c r="A322" s="1"/>
      <c r="B322" s="643"/>
      <c r="C322" s="290"/>
      <c r="D322" s="290"/>
      <c r="E322" s="291"/>
      <c r="F322" s="250"/>
      <c r="G322" s="292"/>
      <c r="H322" s="293" t="s">
        <v>261</v>
      </c>
      <c r="I322" s="294"/>
      <c r="J322" s="294"/>
      <c r="K322" s="294"/>
      <c r="L322" s="294"/>
      <c r="M322" s="295"/>
      <c r="N322" s="283" t="s">
        <v>262</v>
      </c>
      <c r="O322" s="285"/>
      <c r="P322" s="285"/>
      <c r="Q322" s="285"/>
      <c r="R322" s="286"/>
      <c r="S322" s="283" t="s">
        <v>609</v>
      </c>
      <c r="T322" s="285"/>
      <c r="U322" s="285"/>
      <c r="V322" s="285"/>
      <c r="W322" s="286"/>
      <c r="X322" s="283" t="s">
        <v>264</v>
      </c>
      <c r="Y322" s="285"/>
      <c r="Z322" s="285"/>
      <c r="AA322" s="285"/>
      <c r="AB322" s="286"/>
      <c r="AC322" s="79"/>
      <c r="AD322" s="296"/>
      <c r="AE322" s="289"/>
      <c r="AF322" s="289"/>
      <c r="AG322" s="1"/>
      <c r="AH322" s="1"/>
      <c r="AI322" s="1"/>
    </row>
    <row r="323" spans="1:35" ht="9.9499999999999993" customHeight="1" x14ac:dyDescent="0.15">
      <c r="A323" s="1"/>
      <c r="B323" s="643"/>
      <c r="C323" s="290"/>
      <c r="D323" s="290"/>
      <c r="E323" s="291"/>
      <c r="F323" s="250"/>
      <c r="G323" s="292"/>
      <c r="H323" s="297" t="s">
        <v>218</v>
      </c>
      <c r="I323" s="297"/>
      <c r="J323" s="297"/>
      <c r="K323" s="297"/>
      <c r="L323" s="297"/>
      <c r="M323" s="298"/>
      <c r="N323" s="293"/>
      <c r="O323" s="294"/>
      <c r="P323" s="294"/>
      <c r="Q323" s="294"/>
      <c r="R323" s="294"/>
      <c r="S323" s="293"/>
      <c r="T323" s="294" t="s">
        <v>610</v>
      </c>
      <c r="U323" s="294"/>
      <c r="V323" s="294"/>
      <c r="W323" s="294"/>
      <c r="X323" s="293"/>
      <c r="Y323" s="294"/>
      <c r="Z323" s="294"/>
      <c r="AA323" s="294"/>
      <c r="AB323" s="295"/>
      <c r="AC323" s="79"/>
      <c r="AD323" s="296"/>
      <c r="AE323" s="289"/>
      <c r="AF323" s="289"/>
      <c r="AG323" s="1"/>
      <c r="AH323" s="1"/>
      <c r="AI323" s="1"/>
    </row>
    <row r="324" spans="1:35" ht="9.9499999999999993" customHeight="1" x14ac:dyDescent="0.15">
      <c r="A324" s="1"/>
      <c r="B324" s="644"/>
      <c r="C324" s="261"/>
      <c r="D324" s="261"/>
      <c r="E324" s="299"/>
      <c r="F324" s="300"/>
      <c r="G324" s="301"/>
      <c r="H324" s="302"/>
      <c r="I324" s="303" t="s">
        <v>220</v>
      </c>
      <c r="J324" s="303"/>
      <c r="K324" s="303"/>
      <c r="L324" s="303"/>
      <c r="M324" s="304"/>
      <c r="N324" s="305"/>
      <c r="O324" s="305"/>
      <c r="P324" s="305"/>
      <c r="Q324" s="305"/>
      <c r="R324" s="305"/>
      <c r="S324" s="305"/>
      <c r="T324" s="305"/>
      <c r="U324" s="305"/>
      <c r="V324" s="305"/>
      <c r="W324" s="305"/>
      <c r="X324" s="305"/>
      <c r="Y324" s="305"/>
      <c r="Z324" s="305"/>
      <c r="AA324" s="305"/>
      <c r="AB324" s="306"/>
      <c r="AC324" s="305"/>
      <c r="AD324" s="307"/>
      <c r="AE324" s="289"/>
      <c r="AF324" s="289"/>
      <c r="AG324" s="1"/>
      <c r="AH324" s="1"/>
      <c r="AI324" s="1"/>
    </row>
    <row r="325" spans="1:35" ht="9.9499999999999993" customHeight="1" x14ac:dyDescent="0.15">
      <c r="A325" s="1"/>
      <c r="B325" s="86" t="s">
        <v>499</v>
      </c>
      <c r="C325" s="278" t="s">
        <v>500</v>
      </c>
      <c r="D325" s="278" t="s">
        <v>501</v>
      </c>
      <c r="E325" s="280" t="s">
        <v>502</v>
      </c>
      <c r="F325" s="281"/>
      <c r="G325" s="282"/>
      <c r="H325" s="524" t="s">
        <v>613</v>
      </c>
      <c r="I325" s="524" t="s">
        <v>614</v>
      </c>
      <c r="J325" s="524" t="s">
        <v>615</v>
      </c>
      <c r="K325" s="524" t="s">
        <v>616</v>
      </c>
      <c r="L325" s="524" t="s">
        <v>617</v>
      </c>
      <c r="M325" s="525" t="s">
        <v>618</v>
      </c>
      <c r="N325" s="526" t="s">
        <v>621</v>
      </c>
      <c r="O325" s="526" t="s">
        <v>622</v>
      </c>
      <c r="P325" s="526" t="s">
        <v>623</v>
      </c>
      <c r="Q325" s="526" t="s">
        <v>624</v>
      </c>
      <c r="R325" s="527" t="s">
        <v>625</v>
      </c>
      <c r="S325" s="526" t="s">
        <v>626</v>
      </c>
      <c r="T325" s="526" t="s">
        <v>627</v>
      </c>
      <c r="U325" s="526" t="s">
        <v>628</v>
      </c>
      <c r="V325" s="526" t="s">
        <v>629</v>
      </c>
      <c r="W325" s="527" t="s">
        <v>630</v>
      </c>
      <c r="X325" s="526" t="s">
        <v>631</v>
      </c>
      <c r="Y325" s="526" t="s">
        <v>632</v>
      </c>
      <c r="Z325" s="526" t="s">
        <v>633</v>
      </c>
      <c r="AA325" s="526" t="s">
        <v>634</v>
      </c>
      <c r="AB325" s="527" t="s">
        <v>635</v>
      </c>
      <c r="AC325" s="357" t="s">
        <v>285</v>
      </c>
      <c r="AD325" s="376" t="s">
        <v>641</v>
      </c>
      <c r="AE325" s="289"/>
      <c r="AF325" s="289"/>
      <c r="AG325" s="1"/>
      <c r="AH325" s="1"/>
      <c r="AI325" s="1"/>
    </row>
    <row r="326" spans="1:35" ht="9.9499999999999993" customHeight="1" x14ac:dyDescent="0.15">
      <c r="A326" s="1"/>
      <c r="B326" s="379" t="s">
        <v>441</v>
      </c>
      <c r="C326" s="290"/>
      <c r="D326" s="290" t="s">
        <v>354</v>
      </c>
      <c r="E326" s="299"/>
      <c r="F326" s="300"/>
      <c r="G326" s="301"/>
      <c r="H326" s="318" t="s">
        <v>234</v>
      </c>
      <c r="I326" s="319" t="s">
        <v>235</v>
      </c>
      <c r="J326" s="319" t="s">
        <v>236</v>
      </c>
      <c r="K326" s="319" t="s">
        <v>237</v>
      </c>
      <c r="L326" s="319" t="s">
        <v>238</v>
      </c>
      <c r="M326" s="320" t="s">
        <v>239</v>
      </c>
      <c r="N326" s="318" t="s">
        <v>234</v>
      </c>
      <c r="O326" s="319" t="s">
        <v>235</v>
      </c>
      <c r="P326" s="319" t="s">
        <v>236</v>
      </c>
      <c r="Q326" s="319" t="s">
        <v>237</v>
      </c>
      <c r="R326" s="320" t="s">
        <v>238</v>
      </c>
      <c r="S326" s="318" t="s">
        <v>234</v>
      </c>
      <c r="T326" s="319" t="s">
        <v>235</v>
      </c>
      <c r="U326" s="319" t="s">
        <v>236</v>
      </c>
      <c r="V326" s="319" t="s">
        <v>237</v>
      </c>
      <c r="W326" s="320" t="s">
        <v>238</v>
      </c>
      <c r="X326" s="318" t="s">
        <v>234</v>
      </c>
      <c r="Y326" s="319" t="s">
        <v>235</v>
      </c>
      <c r="Z326" s="319" t="s">
        <v>236</v>
      </c>
      <c r="AA326" s="319" t="s">
        <v>237</v>
      </c>
      <c r="AB326" s="320" t="s">
        <v>238</v>
      </c>
      <c r="AC326" s="296"/>
      <c r="AD326" s="321"/>
      <c r="AE326" s="289"/>
      <c r="AF326" s="289"/>
      <c r="AG326" s="1"/>
      <c r="AH326" s="1"/>
      <c r="AI326" s="1"/>
    </row>
    <row r="327" spans="1:35" ht="9.9499999999999993" customHeight="1" x14ac:dyDescent="0.15">
      <c r="A327" s="1"/>
      <c r="B327" s="317"/>
      <c r="C327" s="290"/>
      <c r="D327" s="290"/>
      <c r="E327" s="87" t="s">
        <v>288</v>
      </c>
      <c r="F327" s="322"/>
      <c r="G327" s="323"/>
      <c r="H327" s="283" t="s">
        <v>355</v>
      </c>
      <c r="I327" s="284"/>
      <c r="J327" s="284"/>
      <c r="K327" s="284"/>
      <c r="L327" s="284"/>
      <c r="M327" s="286"/>
      <c r="N327" s="283" t="s">
        <v>355</v>
      </c>
      <c r="O327" s="285"/>
      <c r="P327" s="285"/>
      <c r="Q327" s="285"/>
      <c r="R327" s="286"/>
      <c r="S327" s="283" t="s">
        <v>355</v>
      </c>
      <c r="T327" s="285"/>
      <c r="U327" s="285"/>
      <c r="V327" s="285"/>
      <c r="W327" s="286"/>
      <c r="X327" s="283" t="s">
        <v>355</v>
      </c>
      <c r="Y327" s="285"/>
      <c r="Z327" s="285"/>
      <c r="AA327" s="285"/>
      <c r="AB327" s="286"/>
      <c r="AC327" s="307"/>
      <c r="AD327" s="324"/>
      <c r="AE327" s="289"/>
      <c r="AF327" s="289"/>
      <c r="AG327" s="1"/>
      <c r="AH327" s="1"/>
      <c r="AI327" s="1"/>
    </row>
    <row r="328" spans="1:35" ht="9.9499999999999993" customHeight="1" x14ac:dyDescent="0.15">
      <c r="A328" s="1"/>
      <c r="B328" s="317"/>
      <c r="C328" s="290"/>
      <c r="D328" s="290"/>
      <c r="E328" s="87" t="s">
        <v>480</v>
      </c>
      <c r="F328" s="322"/>
      <c r="G328" s="323"/>
      <c r="H328" s="325">
        <v>8.2000000000000003E-2</v>
      </c>
      <c r="I328" s="326">
        <v>8.7999999999999995E-2</v>
      </c>
      <c r="J328" s="326">
        <v>8.4000000000000005E-2</v>
      </c>
      <c r="K328" s="326">
        <v>0.09</v>
      </c>
      <c r="L328" s="326">
        <v>9.4E-2</v>
      </c>
      <c r="M328" s="327">
        <v>0.09</v>
      </c>
      <c r="N328" s="325">
        <v>8.4000000000000005E-2</v>
      </c>
      <c r="O328" s="326">
        <v>9.4E-2</v>
      </c>
      <c r="P328" s="326">
        <v>7.8E-2</v>
      </c>
      <c r="Q328" s="326">
        <v>8.7999999999999995E-2</v>
      </c>
      <c r="R328" s="327">
        <v>9.6000000000000002E-2</v>
      </c>
      <c r="S328" s="325">
        <v>8.7999999999999995E-2</v>
      </c>
      <c r="T328" s="326">
        <v>8.2000000000000003E-2</v>
      </c>
      <c r="U328" s="326">
        <v>9.1999999999999998E-2</v>
      </c>
      <c r="V328" s="326">
        <v>8.4000000000000005E-2</v>
      </c>
      <c r="W328" s="327">
        <v>0.08</v>
      </c>
      <c r="X328" s="325">
        <v>8.4000000000000005E-2</v>
      </c>
      <c r="Y328" s="326">
        <v>8.2000000000000003E-2</v>
      </c>
      <c r="Z328" s="326">
        <v>8.2000000000000003E-2</v>
      </c>
      <c r="AA328" s="326">
        <v>0.09</v>
      </c>
      <c r="AB328" s="327">
        <v>0.09</v>
      </c>
      <c r="AC328" s="328" t="s">
        <v>291</v>
      </c>
      <c r="AD328" s="329" t="s">
        <v>357</v>
      </c>
      <c r="AE328" s="289"/>
      <c r="AF328" s="289"/>
      <c r="AG328" s="1"/>
      <c r="AH328" s="1"/>
      <c r="AI328" s="1"/>
    </row>
    <row r="329" spans="1:35" ht="9.9499999999999993" customHeight="1" x14ac:dyDescent="0.15">
      <c r="A329" s="1"/>
      <c r="B329" s="317"/>
      <c r="C329" s="290"/>
      <c r="D329" s="290"/>
      <c r="E329" s="87" t="s">
        <v>481</v>
      </c>
      <c r="F329" s="322"/>
      <c r="G329" s="323"/>
      <c r="H329" s="330">
        <v>6.2E-2</v>
      </c>
      <c r="I329" s="272">
        <v>0.06</v>
      </c>
      <c r="J329" s="272">
        <v>0.06</v>
      </c>
      <c r="K329" s="272">
        <v>5.1999999999999998E-2</v>
      </c>
      <c r="L329" s="272">
        <v>6.6000000000000003E-2</v>
      </c>
      <c r="M329" s="331">
        <v>6.6000000000000003E-2</v>
      </c>
      <c r="N329" s="330">
        <v>6.4000000000000001E-2</v>
      </c>
      <c r="O329" s="272">
        <v>6.4000000000000001E-2</v>
      </c>
      <c r="P329" s="272">
        <v>5.8000000000000003E-2</v>
      </c>
      <c r="Q329" s="272">
        <v>6.8000000000000005E-2</v>
      </c>
      <c r="R329" s="331">
        <v>6.4000000000000001E-2</v>
      </c>
      <c r="S329" s="330">
        <v>5.8000000000000003E-2</v>
      </c>
      <c r="T329" s="272">
        <v>0.05</v>
      </c>
      <c r="U329" s="272">
        <v>6.2E-2</v>
      </c>
      <c r="V329" s="272">
        <v>6.4000000000000001E-2</v>
      </c>
      <c r="W329" s="331">
        <v>6.8000000000000005E-2</v>
      </c>
      <c r="X329" s="330">
        <v>5.8000000000000003E-2</v>
      </c>
      <c r="Y329" s="272">
        <v>0.06</v>
      </c>
      <c r="Z329" s="272">
        <v>5.8000000000000003E-2</v>
      </c>
      <c r="AA329" s="272">
        <v>0.06</v>
      </c>
      <c r="AB329" s="331">
        <v>6.4000000000000001E-2</v>
      </c>
      <c r="AC329" s="332" t="s">
        <v>294</v>
      </c>
      <c r="AD329" s="329" t="s">
        <v>358</v>
      </c>
      <c r="AE329" s="289"/>
      <c r="AF329" s="289"/>
      <c r="AG329" s="1"/>
      <c r="AH329" s="1"/>
      <c r="AI329" s="1"/>
    </row>
    <row r="330" spans="1:35" ht="9.9499999999999993" customHeight="1" x14ac:dyDescent="0.15">
      <c r="A330" s="1"/>
      <c r="B330" s="317"/>
      <c r="C330" s="290"/>
      <c r="D330" s="290"/>
      <c r="E330" s="87" t="s">
        <v>482</v>
      </c>
      <c r="F330" s="322"/>
      <c r="G330" s="323"/>
      <c r="H330" s="330">
        <v>7.0000000000000007E-2</v>
      </c>
      <c r="I330" s="272">
        <v>6.2E-2</v>
      </c>
      <c r="J330" s="272">
        <v>6.4000000000000001E-2</v>
      </c>
      <c r="K330" s="272">
        <v>6.6000000000000003E-2</v>
      </c>
      <c r="L330" s="272">
        <v>6.8000000000000005E-2</v>
      </c>
      <c r="M330" s="331">
        <v>6.2E-2</v>
      </c>
      <c r="N330" s="330">
        <v>5.8000000000000003E-2</v>
      </c>
      <c r="O330" s="272">
        <v>0.06</v>
      </c>
      <c r="P330" s="272">
        <v>6.4000000000000001E-2</v>
      </c>
      <c r="Q330" s="272">
        <v>0.06</v>
      </c>
      <c r="R330" s="331">
        <v>6.6000000000000003E-2</v>
      </c>
      <c r="S330" s="330">
        <v>6.4000000000000001E-2</v>
      </c>
      <c r="T330" s="272">
        <v>6.2E-2</v>
      </c>
      <c r="U330" s="272">
        <v>6.2E-2</v>
      </c>
      <c r="V330" s="272">
        <v>6.4000000000000001E-2</v>
      </c>
      <c r="W330" s="331">
        <v>6.6000000000000003E-2</v>
      </c>
      <c r="X330" s="330">
        <v>6.6000000000000003E-2</v>
      </c>
      <c r="Y330" s="272">
        <v>6.2E-2</v>
      </c>
      <c r="Z330" s="272">
        <v>7.0000000000000007E-2</v>
      </c>
      <c r="AA330" s="272">
        <v>6.6000000000000003E-2</v>
      </c>
      <c r="AB330" s="331">
        <v>0.06</v>
      </c>
      <c r="AC330" s="332" t="s">
        <v>297</v>
      </c>
      <c r="AD330" s="329" t="s">
        <v>359</v>
      </c>
      <c r="AE330" s="289"/>
      <c r="AF330" s="289"/>
      <c r="AG330" s="1"/>
      <c r="AH330" s="1"/>
      <c r="AI330" s="1"/>
    </row>
    <row r="331" spans="1:35" ht="9.9499999999999993" customHeight="1" x14ac:dyDescent="0.15">
      <c r="A331" s="1"/>
      <c r="B331" s="317"/>
      <c r="C331" s="290"/>
      <c r="D331" s="290"/>
      <c r="E331" s="87" t="s">
        <v>483</v>
      </c>
      <c r="F331" s="322"/>
      <c r="G331" s="323"/>
      <c r="H331" s="330">
        <v>7.3999999999999996E-2</v>
      </c>
      <c r="I331" s="272">
        <v>8.2000000000000003E-2</v>
      </c>
      <c r="J331" s="272">
        <v>8.4000000000000005E-2</v>
      </c>
      <c r="K331" s="272">
        <v>8.5999999999999993E-2</v>
      </c>
      <c r="L331" s="272">
        <v>7.8E-2</v>
      </c>
      <c r="M331" s="331">
        <v>0.08</v>
      </c>
      <c r="N331" s="330">
        <v>8.4000000000000005E-2</v>
      </c>
      <c r="O331" s="272">
        <v>8.4000000000000005E-2</v>
      </c>
      <c r="P331" s="272">
        <v>7.8E-2</v>
      </c>
      <c r="Q331" s="272">
        <v>7.0000000000000007E-2</v>
      </c>
      <c r="R331" s="331">
        <v>8.5999999999999993E-2</v>
      </c>
      <c r="S331" s="330">
        <v>8.2000000000000003E-2</v>
      </c>
      <c r="T331" s="272">
        <v>7.5999999999999998E-2</v>
      </c>
      <c r="U331" s="272">
        <v>0.09</v>
      </c>
      <c r="V331" s="272">
        <v>0.08</v>
      </c>
      <c r="W331" s="331">
        <v>7.3999999999999996E-2</v>
      </c>
      <c r="X331" s="330">
        <v>8.5999999999999993E-2</v>
      </c>
      <c r="Y331" s="272">
        <v>0.08</v>
      </c>
      <c r="Z331" s="272">
        <v>8.4000000000000005E-2</v>
      </c>
      <c r="AA331" s="272">
        <v>8.5999999999999993E-2</v>
      </c>
      <c r="AB331" s="331">
        <v>8.7999999999999995E-2</v>
      </c>
      <c r="AC331" s="388" t="s">
        <v>300</v>
      </c>
      <c r="AD331" s="389" t="s">
        <v>360</v>
      </c>
      <c r="AE331" s="289"/>
      <c r="AF331" s="289"/>
      <c r="AG331" s="1"/>
      <c r="AH331" s="1"/>
      <c r="AI331" s="1"/>
    </row>
    <row r="332" spans="1:35" ht="9.9499999999999993" customHeight="1" x14ac:dyDescent="0.15">
      <c r="A332" s="1"/>
      <c r="B332" s="333"/>
      <c r="C332" s="261"/>
      <c r="D332" s="261"/>
      <c r="E332" s="87" t="s">
        <v>513</v>
      </c>
      <c r="F332" s="322"/>
      <c r="G332" s="323"/>
      <c r="H332" s="390">
        <v>0.05</v>
      </c>
      <c r="I332" s="391">
        <v>4.8000000000000001E-2</v>
      </c>
      <c r="J332" s="391">
        <v>4.3999999999999997E-2</v>
      </c>
      <c r="K332" s="391">
        <v>4.2000000000000003E-2</v>
      </c>
      <c r="L332" s="391">
        <v>0.05</v>
      </c>
      <c r="M332" s="392">
        <v>4.3999999999999997E-2</v>
      </c>
      <c r="N332" s="390">
        <v>4.8000000000000001E-2</v>
      </c>
      <c r="O332" s="391">
        <v>5.1999999999999998E-2</v>
      </c>
      <c r="P332" s="391">
        <v>4.5999999999999999E-2</v>
      </c>
      <c r="Q332" s="391">
        <v>0.05</v>
      </c>
      <c r="R332" s="392">
        <v>0.05</v>
      </c>
      <c r="S332" s="390">
        <v>5.1999999999999998E-2</v>
      </c>
      <c r="T332" s="391">
        <v>0.05</v>
      </c>
      <c r="U332" s="391">
        <v>4.8000000000000001E-2</v>
      </c>
      <c r="V332" s="391">
        <v>4.5999999999999999E-2</v>
      </c>
      <c r="W332" s="392">
        <v>0.05</v>
      </c>
      <c r="X332" s="390">
        <v>4.3999999999999997E-2</v>
      </c>
      <c r="Y332" s="391">
        <v>4.3999999999999997E-2</v>
      </c>
      <c r="Z332" s="391">
        <v>5.8000000000000003E-2</v>
      </c>
      <c r="AA332" s="391">
        <v>5.1999999999999998E-2</v>
      </c>
      <c r="AB332" s="393">
        <v>5.1999999999999998E-2</v>
      </c>
      <c r="AC332" s="357" t="s">
        <v>362</v>
      </c>
      <c r="AD332" s="394" t="s">
        <v>363</v>
      </c>
      <c r="AE332" s="289"/>
      <c r="AF332" s="289"/>
      <c r="AG332" s="1"/>
      <c r="AH332" s="1"/>
      <c r="AI332" s="1"/>
    </row>
    <row r="333" spans="1:35" ht="9.9499999999999993" customHeight="1" x14ac:dyDescent="0.15">
      <c r="A333" s="1"/>
      <c r="B333" s="86" t="s">
        <v>514</v>
      </c>
      <c r="C333" s="395" t="s">
        <v>515</v>
      </c>
      <c r="D333" s="290" t="s">
        <v>366</v>
      </c>
      <c r="E333" s="87" t="s">
        <v>516</v>
      </c>
      <c r="F333" s="322"/>
      <c r="G333" s="323"/>
      <c r="H333" s="396" t="s">
        <v>642</v>
      </c>
      <c r="I333" s="285"/>
      <c r="J333" s="285"/>
      <c r="K333" s="285"/>
      <c r="L333" s="285"/>
      <c r="M333" s="286"/>
      <c r="N333" s="285"/>
      <c r="O333" s="285"/>
      <c r="P333" s="285"/>
      <c r="Q333" s="285"/>
      <c r="R333" s="285"/>
      <c r="S333" s="285"/>
      <c r="T333" s="285"/>
      <c r="U333" s="285"/>
      <c r="V333" s="285"/>
      <c r="W333" s="285"/>
      <c r="X333" s="285"/>
      <c r="Y333" s="285"/>
      <c r="Z333" s="285"/>
      <c r="AA333" s="285"/>
      <c r="AB333" s="397"/>
      <c r="AC333" s="357" t="s">
        <v>285</v>
      </c>
      <c r="AD333" s="376" t="s">
        <v>286</v>
      </c>
      <c r="AE333" s="289"/>
      <c r="AF333" s="289"/>
      <c r="AG333" s="1"/>
      <c r="AH333" s="1"/>
      <c r="AI333" s="1"/>
    </row>
    <row r="334" spans="1:35" ht="9.9499999999999993" customHeight="1" x14ac:dyDescent="0.15">
      <c r="A334" s="1"/>
      <c r="B334" s="350" t="s">
        <v>369</v>
      </c>
      <c r="C334" s="350" t="s">
        <v>343</v>
      </c>
      <c r="D334" s="261"/>
      <c r="E334" s="87" t="s">
        <v>519</v>
      </c>
      <c r="F334" s="322"/>
      <c r="G334" s="323"/>
      <c r="H334" s="283" t="s">
        <v>110</v>
      </c>
      <c r="I334" s="285"/>
      <c r="J334" s="285"/>
      <c r="K334" s="285"/>
      <c r="L334" s="285"/>
      <c r="M334" s="286"/>
      <c r="N334" s="285"/>
      <c r="O334" s="285"/>
      <c r="P334" s="285"/>
      <c r="Q334" s="285"/>
      <c r="R334" s="285"/>
      <c r="S334" s="285"/>
      <c r="T334" s="285"/>
      <c r="U334" s="285"/>
      <c r="V334" s="285"/>
      <c r="W334" s="285"/>
      <c r="X334" s="285"/>
      <c r="Y334" s="285"/>
      <c r="Z334" s="285"/>
      <c r="AA334" s="285"/>
      <c r="AB334" s="397"/>
      <c r="AC334" s="357" t="s">
        <v>371</v>
      </c>
      <c r="AD334" s="88" t="s">
        <v>110</v>
      </c>
      <c r="AE334" s="289"/>
      <c r="AF334" s="289"/>
      <c r="AG334" s="1"/>
      <c r="AH334" s="1"/>
      <c r="AI334" s="1"/>
    </row>
    <row r="335" spans="1:35" ht="9.9499999999999993" customHeight="1" x14ac:dyDescent="0.15">
      <c r="A335" s="1"/>
      <c r="B335" s="81" t="s">
        <v>372</v>
      </c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</row>
    <row r="336" spans="1:35" ht="9.9499999999999993" customHeight="1" x14ac:dyDescent="0.15">
      <c r="A336" s="1"/>
      <c r="B336" s="81" t="s">
        <v>373</v>
      </c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</row>
  </sheetData>
  <mergeCells count="18">
    <mergeCell ref="B321:B324"/>
    <mergeCell ref="B124:B127"/>
    <mergeCell ref="K138:K140"/>
    <mergeCell ref="B153:B156"/>
    <mergeCell ref="B180:B183"/>
    <mergeCell ref="K194:K196"/>
    <mergeCell ref="B209:B212"/>
    <mergeCell ref="B236:B239"/>
    <mergeCell ref="K250:K252"/>
    <mergeCell ref="B265:B268"/>
    <mergeCell ref="B292:B295"/>
    <mergeCell ref="K306:K308"/>
    <mergeCell ref="B12:B15"/>
    <mergeCell ref="K26:K28"/>
    <mergeCell ref="B41:B44"/>
    <mergeCell ref="B97:B100"/>
    <mergeCell ref="C97:C100"/>
    <mergeCell ref="D97:D100"/>
  </mergeCells>
  <phoneticPr fontId="3"/>
  <pageMargins left="0.75" right="0.75" top="1" bottom="1" header="0" footer="0"/>
  <pageSetup paperSize="8" orientation="portrait" verticalDpi="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162"/>
  <sheetViews>
    <sheetView zoomScale="75" zoomScaleNormal="75" workbookViewId="0">
      <selection activeCell="AS44" sqref="AS44"/>
    </sheetView>
  </sheetViews>
  <sheetFormatPr defaultColWidth="4.875" defaultRowHeight="9.9499999999999993" customHeight="1" x14ac:dyDescent="0.15"/>
  <cols>
    <col min="1" max="1" width="2.375" style="8" customWidth="1"/>
    <col min="2" max="5" width="4.375" style="30" customWidth="1"/>
    <col min="6" max="6" width="4.375" style="6" customWidth="1"/>
    <col min="7" max="8" width="4.375" style="8" customWidth="1"/>
    <col min="9" max="9" width="1.75" style="8" customWidth="1"/>
    <col min="10" max="16" width="4.375" style="8" customWidth="1"/>
    <col min="17" max="17" width="1.625" style="8" customWidth="1"/>
    <col min="18" max="25" width="4.375" style="8" customWidth="1"/>
    <col min="26" max="26" width="4.375" style="6" customWidth="1"/>
    <col min="27" max="28" width="4.375" style="8" customWidth="1"/>
    <col min="29" max="16384" width="4.875" style="8"/>
  </cols>
  <sheetData>
    <row r="2" spans="2:28" ht="16.5" customHeight="1" x14ac:dyDescent="0.15">
      <c r="B2" s="47" t="s">
        <v>63</v>
      </c>
    </row>
    <row r="3" spans="2:28" ht="9.9499999999999993" customHeight="1" x14ac:dyDescent="0.15">
      <c r="B3" s="8"/>
      <c r="C3" s="33" t="s">
        <v>47</v>
      </c>
      <c r="D3" s="40"/>
      <c r="E3" s="40"/>
      <c r="F3" s="6" t="s">
        <v>39</v>
      </c>
      <c r="J3" s="8" t="s">
        <v>115</v>
      </c>
      <c r="M3" s="8" t="s">
        <v>41</v>
      </c>
      <c r="R3" s="6" t="s">
        <v>42</v>
      </c>
      <c r="S3" s="6"/>
      <c r="T3" s="6"/>
      <c r="U3" s="6"/>
      <c r="V3" s="6" t="s">
        <v>43</v>
      </c>
      <c r="W3" s="6"/>
      <c r="AB3" s="8" t="s">
        <v>114</v>
      </c>
    </row>
    <row r="4" spans="2:28" ht="33" customHeight="1" x14ac:dyDescent="0.15">
      <c r="C4" s="93" t="s">
        <v>38</v>
      </c>
      <c r="D4" s="91" t="s">
        <v>64</v>
      </c>
      <c r="E4" s="91" t="s">
        <v>49</v>
      </c>
      <c r="F4" s="94" t="s">
        <v>40</v>
      </c>
      <c r="G4" s="91" t="s">
        <v>64</v>
      </c>
      <c r="H4" s="91" t="s">
        <v>49</v>
      </c>
      <c r="I4" s="92"/>
      <c r="J4" s="93" t="s">
        <v>113</v>
      </c>
      <c r="K4" s="91"/>
      <c r="L4" s="91"/>
      <c r="M4" s="95" t="s">
        <v>44</v>
      </c>
      <c r="N4" s="91" t="s">
        <v>64</v>
      </c>
      <c r="O4" s="91" t="s">
        <v>49</v>
      </c>
      <c r="P4" s="91" t="s">
        <v>49</v>
      </c>
      <c r="Q4" s="92"/>
      <c r="R4" s="95" t="s">
        <v>45</v>
      </c>
      <c r="S4" s="91" t="s">
        <v>64</v>
      </c>
      <c r="T4" s="91" t="s">
        <v>49</v>
      </c>
      <c r="U4" s="91" t="s">
        <v>49</v>
      </c>
      <c r="V4" s="95" t="s">
        <v>46</v>
      </c>
      <c r="W4" s="91" t="s">
        <v>64</v>
      </c>
      <c r="X4" s="91" t="s">
        <v>49</v>
      </c>
      <c r="Y4" s="91" t="s">
        <v>49</v>
      </c>
      <c r="Z4" s="36"/>
      <c r="AB4" s="30"/>
    </row>
    <row r="5" spans="2:28" ht="9.9499999999999993" customHeight="1" x14ac:dyDescent="0.15">
      <c r="B5" s="44" t="s">
        <v>50</v>
      </c>
      <c r="C5" s="29"/>
      <c r="D5" s="29"/>
      <c r="E5" s="42">
        <f t="shared" ref="E5:E16" si="0">AVERAGE(E92,E80,E68,E56,E44,E32,E20)</f>
        <v>7.9992816066502742E-2</v>
      </c>
      <c r="F5" s="15"/>
      <c r="G5" s="15"/>
      <c r="H5" s="42">
        <f t="shared" ref="H5:H16" si="1">AVERAGE(H92,H80,H68,H56,H44,H32,H20)</f>
        <v>7.6501400928994254E-2</v>
      </c>
      <c r="I5" s="15"/>
      <c r="J5" s="42">
        <f>AVERAGE(O5,T5,X5)</f>
        <v>8.1909646666620983E-2</v>
      </c>
      <c r="K5" s="42"/>
      <c r="L5" s="42"/>
      <c r="M5" s="15"/>
      <c r="N5" s="15"/>
      <c r="O5" s="42">
        <f t="shared" ref="O5:P9" si="2">AVERAGE(O68,O56,O44,O32)</f>
        <v>8.1239374070688875E-2</v>
      </c>
      <c r="P5" s="42">
        <f t="shared" si="2"/>
        <v>8.1971266995696179E-2</v>
      </c>
      <c r="Q5" s="15"/>
      <c r="R5" s="15"/>
      <c r="S5" s="15"/>
      <c r="T5" s="42">
        <f t="shared" ref="T5:U9" si="3">AVERAGE(T68,T56,T44,T32)</f>
        <v>7.9764127092520801E-2</v>
      </c>
      <c r="U5" s="42">
        <f t="shared" si="3"/>
        <v>8.1971266995696179E-2</v>
      </c>
      <c r="V5" s="15"/>
      <c r="W5" s="15"/>
      <c r="X5" s="42">
        <f t="shared" ref="X5:Y9" si="4">AVERAGE(X68,X56,X44,X32)</f>
        <v>8.4725438836653288E-2</v>
      </c>
      <c r="Y5" s="42">
        <f t="shared" si="4"/>
        <v>8.1675098411791908E-2</v>
      </c>
      <c r="Z5" s="15"/>
      <c r="AB5" s="42">
        <f t="shared" ref="AB5:AB16" si="5">AVERAGE(AB92,AB80,AB68,AB56,AB44,AB32,AB20)</f>
        <v>7.9322176308980252E-2</v>
      </c>
    </row>
    <row r="6" spans="2:28" ht="9.9499999999999993" customHeight="1" x14ac:dyDescent="0.15">
      <c r="B6" s="44" t="s">
        <v>51</v>
      </c>
      <c r="C6" s="29"/>
      <c r="D6" s="29"/>
      <c r="E6" s="42">
        <f t="shared" si="0"/>
        <v>9.0772615392838429E-2</v>
      </c>
      <c r="F6" s="15"/>
      <c r="G6" s="29"/>
      <c r="H6" s="42">
        <f t="shared" si="1"/>
        <v>8.6293553760327171E-2</v>
      </c>
      <c r="I6" s="15"/>
      <c r="J6" s="42">
        <f t="shared" ref="J6:J16" si="6">AVERAGE(O6,T6,X6)</f>
        <v>8.6068480465540276E-2</v>
      </c>
      <c r="K6" s="42"/>
      <c r="L6" s="42"/>
      <c r="M6" s="15"/>
      <c r="N6" s="15"/>
      <c r="O6" s="42">
        <f t="shared" si="2"/>
        <v>8.5327029837802548E-2</v>
      </c>
      <c r="P6" s="42">
        <f t="shared" si="2"/>
        <v>8.61486694425114E-2</v>
      </c>
      <c r="Q6" s="15"/>
      <c r="R6" s="15"/>
      <c r="S6" s="15"/>
      <c r="T6" s="42">
        <f t="shared" si="3"/>
        <v>8.3799309417239079E-2</v>
      </c>
      <c r="U6" s="42">
        <f t="shared" si="3"/>
        <v>8.61486694425114E-2</v>
      </c>
      <c r="V6" s="15"/>
      <c r="W6" s="15"/>
      <c r="X6" s="42">
        <f t="shared" si="4"/>
        <v>8.9079102141579242E-2</v>
      </c>
      <c r="Y6" s="42">
        <f t="shared" si="4"/>
        <v>8.5843363132333275E-2</v>
      </c>
      <c r="Z6" s="15"/>
      <c r="AB6" s="42">
        <f t="shared" si="5"/>
        <v>8.9128643618102618E-2</v>
      </c>
    </row>
    <row r="7" spans="2:28" ht="9.9499999999999993" customHeight="1" x14ac:dyDescent="0.15">
      <c r="B7" s="44" t="s">
        <v>52</v>
      </c>
      <c r="C7" s="29"/>
      <c r="D7" s="29"/>
      <c r="E7" s="42">
        <f t="shared" si="0"/>
        <v>8.6804076534505711E-2</v>
      </c>
      <c r="F7" s="15"/>
      <c r="G7" s="29"/>
      <c r="H7" s="42">
        <f t="shared" si="1"/>
        <v>8.8658664053806027E-2</v>
      </c>
      <c r="I7" s="15"/>
      <c r="J7" s="42">
        <f t="shared" si="6"/>
        <v>8.5374176276098876E-2</v>
      </c>
      <c r="K7" s="42"/>
      <c r="L7" s="42"/>
      <c r="M7" s="15"/>
      <c r="N7" s="15"/>
      <c r="O7" s="42">
        <f t="shared" si="2"/>
        <v>8.4678586523712462E-2</v>
      </c>
      <c r="P7" s="42">
        <f t="shared" si="2"/>
        <v>8.5459112238232091E-2</v>
      </c>
      <c r="Q7" s="15"/>
      <c r="R7" s="15"/>
      <c r="S7" s="15"/>
      <c r="T7" s="42">
        <f t="shared" si="3"/>
        <v>8.3103797373363625E-2</v>
      </c>
      <c r="U7" s="42">
        <f t="shared" si="3"/>
        <v>8.5459112238232091E-2</v>
      </c>
      <c r="V7" s="15"/>
      <c r="W7" s="15"/>
      <c r="X7" s="42">
        <f t="shared" si="4"/>
        <v>8.8340144931220527E-2</v>
      </c>
      <c r="Y7" s="42">
        <f t="shared" si="4"/>
        <v>8.5159968580657261E-2</v>
      </c>
      <c r="Z7" s="15"/>
      <c r="AB7" s="42">
        <f t="shared" si="5"/>
        <v>8.7466418700092655E-2</v>
      </c>
    </row>
    <row r="8" spans="2:28" ht="9.9499999999999993" customHeight="1" x14ac:dyDescent="0.15">
      <c r="B8" s="44" t="s">
        <v>53</v>
      </c>
      <c r="C8" s="29"/>
      <c r="D8" s="29"/>
      <c r="E8" s="42">
        <f t="shared" si="0"/>
        <v>9.0079743785774907E-2</v>
      </c>
      <c r="F8" s="15"/>
      <c r="G8" s="29"/>
      <c r="H8" s="42">
        <f t="shared" si="1"/>
        <v>9.4654152965531743E-2</v>
      </c>
      <c r="I8" s="15"/>
      <c r="J8" s="42">
        <f t="shared" si="6"/>
        <v>9.2787099121771743E-2</v>
      </c>
      <c r="K8" s="42"/>
      <c r="L8" s="42"/>
      <c r="M8" s="15"/>
      <c r="N8" s="15"/>
      <c r="O8" s="42">
        <f t="shared" si="2"/>
        <v>9.1952753314051006E-2</v>
      </c>
      <c r="P8" s="42">
        <f t="shared" si="2"/>
        <v>9.284376445839071E-2</v>
      </c>
      <c r="Q8" s="15"/>
      <c r="R8" s="15"/>
      <c r="S8" s="15"/>
      <c r="T8" s="42">
        <f t="shared" si="3"/>
        <v>9.0364302113771361E-2</v>
      </c>
      <c r="U8" s="42">
        <f t="shared" si="3"/>
        <v>9.284376445839071E-2</v>
      </c>
      <c r="V8" s="15"/>
      <c r="W8" s="15"/>
      <c r="X8" s="42">
        <f t="shared" si="4"/>
        <v>9.6044241937492891E-2</v>
      </c>
      <c r="Y8" s="42">
        <f t="shared" si="4"/>
        <v>9.2512458129384509E-2</v>
      </c>
      <c r="Z8" s="15"/>
      <c r="AB8" s="42">
        <f t="shared" si="5"/>
        <v>9.3057188641443564E-2</v>
      </c>
    </row>
    <row r="9" spans="2:28" ht="9.9499999999999993" customHeight="1" x14ac:dyDescent="0.15">
      <c r="B9" s="44" t="s">
        <v>54</v>
      </c>
      <c r="C9" s="29"/>
      <c r="D9" s="29"/>
      <c r="E9" s="42">
        <f t="shared" si="0"/>
        <v>9.5056963183888205E-2</v>
      </c>
      <c r="F9" s="15"/>
      <c r="G9" s="29"/>
      <c r="H9" s="42">
        <f t="shared" si="1"/>
        <v>9.8234579568867289E-2</v>
      </c>
      <c r="I9" s="15"/>
      <c r="J9" s="42">
        <f t="shared" si="6"/>
        <v>9.083122103373531E-2</v>
      </c>
      <c r="K9" s="42"/>
      <c r="L9" s="42"/>
      <c r="M9" s="15"/>
      <c r="N9" s="15"/>
      <c r="O9" s="42">
        <f t="shared" si="2"/>
        <v>9.0022862004074347E-2</v>
      </c>
      <c r="P9" s="42">
        <f t="shared" si="2"/>
        <v>9.0918583138403744E-2</v>
      </c>
      <c r="Q9" s="15"/>
      <c r="R9" s="15"/>
      <c r="S9" s="15"/>
      <c r="T9" s="42">
        <f t="shared" si="3"/>
        <v>8.8422789661505491E-2</v>
      </c>
      <c r="U9" s="42">
        <f t="shared" si="3"/>
        <v>9.0918583138403758E-2</v>
      </c>
      <c r="V9" s="15"/>
      <c r="W9" s="15"/>
      <c r="X9" s="42">
        <f t="shared" si="4"/>
        <v>9.404801143562605E-2</v>
      </c>
      <c r="Y9" s="42">
        <f t="shared" si="4"/>
        <v>9.0602864070378653E-2</v>
      </c>
      <c r="Z9" s="15"/>
      <c r="AB9" s="42">
        <f t="shared" si="5"/>
        <v>9.4364251114423536E-2</v>
      </c>
    </row>
    <row r="10" spans="2:28" ht="9.9499999999999993" customHeight="1" x14ac:dyDescent="0.15">
      <c r="B10" s="44" t="s">
        <v>55</v>
      </c>
      <c r="C10" s="29"/>
      <c r="D10" s="29"/>
      <c r="E10" s="42">
        <f t="shared" si="0"/>
        <v>8.5050031214917471E-2</v>
      </c>
      <c r="F10" s="15"/>
      <c r="G10" s="29"/>
      <c r="H10" s="42">
        <f t="shared" si="1"/>
        <v>9.1272178635522935E-2</v>
      </c>
      <c r="I10" s="15"/>
      <c r="J10" s="42">
        <f t="shared" si="6"/>
        <v>8.6963735240668624E-2</v>
      </c>
      <c r="K10" s="42"/>
      <c r="L10" s="42"/>
      <c r="M10" s="15"/>
      <c r="N10" s="15"/>
      <c r="O10" s="42">
        <f t="shared" ref="O10:O16" si="7">AVERAGE(O61,O49,O37,O25)</f>
        <v>8.7477464038360042E-2</v>
      </c>
      <c r="P10" s="42">
        <f t="shared" ref="P10:P16" si="8">AVERAGE(P73,P61,P49,P37)</f>
        <v>8.8268380080710113E-2</v>
      </c>
      <c r="Q10" s="15"/>
      <c r="R10" s="15"/>
      <c r="S10" s="15"/>
      <c r="T10" s="42">
        <f t="shared" ref="T10:T16" si="9">AVERAGE(T61,T49,T37,T25)</f>
        <v>8.8762891285185219E-2</v>
      </c>
      <c r="U10" s="42">
        <f t="shared" ref="U10:U16" si="10">AVERAGE(U73,U61,U49,U37)</f>
        <v>8.8268380080710113E-2</v>
      </c>
      <c r="V10" s="15"/>
      <c r="W10" s="15"/>
      <c r="X10" s="42">
        <f t="shared" ref="X10:X16" si="11">AVERAGE(X61,X49,X37,X25)</f>
        <v>8.4650850398460598E-2</v>
      </c>
      <c r="Y10" s="42">
        <f t="shared" ref="Y10:Y16" si="12">AVERAGE(Y73,Y61,Y49,Y37)</f>
        <v>8.7951035347429332E-2</v>
      </c>
      <c r="Z10" s="15"/>
      <c r="AB10" s="42">
        <f t="shared" si="5"/>
        <v>8.7498753172037952E-2</v>
      </c>
    </row>
    <row r="11" spans="2:28" ht="9.9499999999999993" customHeight="1" x14ac:dyDescent="0.15">
      <c r="B11" s="44" t="s">
        <v>56</v>
      </c>
      <c r="C11" s="29"/>
      <c r="D11" s="29"/>
      <c r="E11" s="42">
        <f t="shared" si="0"/>
        <v>8.6599482936585273E-2</v>
      </c>
      <c r="F11" s="15"/>
      <c r="G11" s="29"/>
      <c r="H11" s="42">
        <f t="shared" si="1"/>
        <v>9.4203355868508101E-2</v>
      </c>
      <c r="I11" s="15"/>
      <c r="J11" s="42">
        <f t="shared" si="6"/>
        <v>8.9279536996980921E-2</v>
      </c>
      <c r="K11" s="42"/>
      <c r="L11" s="42"/>
      <c r="M11" s="15"/>
      <c r="N11" s="15"/>
      <c r="O11" s="42">
        <f t="shared" si="7"/>
        <v>8.995767192741197E-2</v>
      </c>
      <c r="P11" s="42">
        <f t="shared" si="8"/>
        <v>8.7125754441793143E-2</v>
      </c>
      <c r="Q11" s="15"/>
      <c r="R11" s="15"/>
      <c r="S11" s="15"/>
      <c r="T11" s="42">
        <f t="shared" si="9"/>
        <v>9.1078895049848063E-2</v>
      </c>
      <c r="U11" s="42">
        <f t="shared" si="10"/>
        <v>8.7125754441793143E-2</v>
      </c>
      <c r="V11" s="15"/>
      <c r="W11" s="15"/>
      <c r="X11" s="42">
        <f t="shared" si="11"/>
        <v>8.6802044013682689E-2</v>
      </c>
      <c r="Y11" s="42">
        <f t="shared" si="12"/>
        <v>8.6815039872692457E-2</v>
      </c>
      <c r="Z11" s="15"/>
      <c r="AB11" s="42">
        <f t="shared" si="5"/>
        <v>9.00306780289966E-2</v>
      </c>
    </row>
    <row r="12" spans="2:28" ht="9.9499999999999993" customHeight="1" x14ac:dyDescent="0.15">
      <c r="B12" s="44" t="s">
        <v>57</v>
      </c>
      <c r="C12" s="29"/>
      <c r="D12" s="29"/>
      <c r="E12" s="42">
        <f t="shared" si="0"/>
        <v>8.0846255404083966E-2</v>
      </c>
      <c r="F12" s="15"/>
      <c r="G12" s="29"/>
      <c r="H12" s="42">
        <f t="shared" si="1"/>
        <v>8.3132019547620395E-2</v>
      </c>
      <c r="I12" s="15"/>
      <c r="J12" s="42">
        <f t="shared" si="6"/>
        <v>8.0812193271112762E-2</v>
      </c>
      <c r="K12" s="42"/>
      <c r="L12" s="42"/>
      <c r="M12" s="15"/>
      <c r="N12" s="15"/>
      <c r="O12" s="42">
        <f t="shared" si="7"/>
        <v>8.1386659452448384E-2</v>
      </c>
      <c r="P12" s="42">
        <f t="shared" si="8"/>
        <v>8.0589023142928984E-2</v>
      </c>
      <c r="Q12" s="15"/>
      <c r="R12" s="15"/>
      <c r="S12" s="15"/>
      <c r="T12" s="42">
        <f t="shared" si="9"/>
        <v>8.2451787157490741E-2</v>
      </c>
      <c r="U12" s="42">
        <f t="shared" si="10"/>
        <v>8.0589023142928984E-2</v>
      </c>
      <c r="V12" s="15"/>
      <c r="W12" s="15"/>
      <c r="X12" s="42">
        <f t="shared" si="11"/>
        <v>7.8598133203399173E-2</v>
      </c>
      <c r="Y12" s="42">
        <f t="shared" si="12"/>
        <v>8.0310364992628586E-2</v>
      </c>
      <c r="Z12" s="15"/>
      <c r="AB12" s="42">
        <f t="shared" si="5"/>
        <v>8.1438010045640843E-2</v>
      </c>
    </row>
    <row r="13" spans="2:28" ht="9.9499999999999993" customHeight="1" x14ac:dyDescent="0.15">
      <c r="B13" s="44" t="s">
        <v>58</v>
      </c>
      <c r="C13" s="29"/>
      <c r="D13" s="29"/>
      <c r="E13" s="42">
        <f t="shared" si="0"/>
        <v>8.1908249764947372E-2</v>
      </c>
      <c r="F13" s="15"/>
      <c r="G13" s="29"/>
      <c r="H13" s="42">
        <f t="shared" si="1"/>
        <v>8.0257245665374927E-2</v>
      </c>
      <c r="I13" s="15"/>
      <c r="J13" s="42">
        <f t="shared" si="6"/>
        <v>8.4692564918786017E-2</v>
      </c>
      <c r="K13" s="42"/>
      <c r="L13" s="42"/>
      <c r="M13" s="15"/>
      <c r="N13" s="15"/>
      <c r="O13" s="42">
        <f t="shared" si="7"/>
        <v>8.5204321406291902E-2</v>
      </c>
      <c r="P13" s="42">
        <f t="shared" si="8"/>
        <v>8.5368950939801916E-2</v>
      </c>
      <c r="Q13" s="15"/>
      <c r="R13" s="15"/>
      <c r="S13" s="15"/>
      <c r="T13" s="42">
        <f t="shared" si="9"/>
        <v>8.6443756868529398E-2</v>
      </c>
      <c r="U13" s="42">
        <f t="shared" si="10"/>
        <v>8.5368950939801916E-2</v>
      </c>
      <c r="V13" s="15"/>
      <c r="W13" s="15"/>
      <c r="X13" s="42">
        <f t="shared" si="11"/>
        <v>8.2429616481536724E-2</v>
      </c>
      <c r="Y13" s="42">
        <f t="shared" si="12"/>
        <v>8.5064324646462783E-2</v>
      </c>
      <c r="Z13" s="15"/>
      <c r="AB13" s="42">
        <f t="shared" si="5"/>
        <v>8.1735217189744303E-2</v>
      </c>
    </row>
    <row r="14" spans="2:28" ht="9.9499999999999993" customHeight="1" x14ac:dyDescent="0.15">
      <c r="B14" s="44" t="s">
        <v>59</v>
      </c>
      <c r="C14" s="29"/>
      <c r="D14" s="29"/>
      <c r="E14" s="42">
        <f t="shared" si="0"/>
        <v>7.7395832614512952E-2</v>
      </c>
      <c r="F14" s="15"/>
      <c r="G14" s="29"/>
      <c r="H14" s="42">
        <f t="shared" si="1"/>
        <v>7.2160448244430783E-2</v>
      </c>
      <c r="I14" s="15"/>
      <c r="J14" s="42">
        <f t="shared" si="6"/>
        <v>7.4823289491418629E-2</v>
      </c>
      <c r="K14" s="42"/>
      <c r="L14" s="42"/>
      <c r="M14" s="15"/>
      <c r="N14" s="15"/>
      <c r="O14" s="42">
        <f t="shared" si="7"/>
        <v>7.5322620124537651E-2</v>
      </c>
      <c r="P14" s="42">
        <f t="shared" si="8"/>
        <v>7.4432954139816931E-2</v>
      </c>
      <c r="Q14" s="15"/>
      <c r="R14" s="15"/>
      <c r="S14" s="15"/>
      <c r="T14" s="42">
        <f t="shared" si="9"/>
        <v>7.6331814131499115E-2</v>
      </c>
      <c r="U14" s="42">
        <f t="shared" si="10"/>
        <v>7.4432954139816931E-2</v>
      </c>
      <c r="V14" s="15"/>
      <c r="W14" s="15"/>
      <c r="X14" s="42">
        <f t="shared" si="11"/>
        <v>7.2815434218219122E-2</v>
      </c>
      <c r="Y14" s="42">
        <f t="shared" si="12"/>
        <v>7.4168161957873957E-2</v>
      </c>
      <c r="Z14" s="15"/>
      <c r="AB14" s="42">
        <f t="shared" si="5"/>
        <v>7.4890020694885998E-2</v>
      </c>
    </row>
    <row r="15" spans="2:28" ht="9.9499999999999993" customHeight="1" x14ac:dyDescent="0.15">
      <c r="B15" s="44" t="s">
        <v>60</v>
      </c>
      <c r="C15" s="29"/>
      <c r="D15" s="29"/>
      <c r="E15" s="42">
        <f t="shared" si="0"/>
        <v>6.6426641054386296E-2</v>
      </c>
      <c r="F15" s="15"/>
      <c r="G15" s="29"/>
      <c r="H15" s="42">
        <f t="shared" si="1"/>
        <v>6.084459991821816E-2</v>
      </c>
      <c r="I15" s="15"/>
      <c r="J15" s="42">
        <f t="shared" si="6"/>
        <v>6.5478390452945831E-2</v>
      </c>
      <c r="K15" s="42"/>
      <c r="L15" s="42"/>
      <c r="M15" s="15"/>
      <c r="N15" s="15"/>
      <c r="O15" s="42">
        <f t="shared" si="7"/>
        <v>6.5919258032213893E-2</v>
      </c>
      <c r="P15" s="42">
        <f t="shared" si="8"/>
        <v>6.5857499191818117E-2</v>
      </c>
      <c r="Q15" s="15"/>
      <c r="R15" s="15"/>
      <c r="S15" s="15"/>
      <c r="T15" s="42">
        <f t="shared" si="9"/>
        <v>6.6833216206414664E-2</v>
      </c>
      <c r="U15" s="42">
        <f t="shared" si="10"/>
        <v>6.5857499191818117E-2</v>
      </c>
      <c r="V15" s="15"/>
      <c r="W15" s="15"/>
      <c r="X15" s="42">
        <f t="shared" si="11"/>
        <v>6.3682697120208909E-2</v>
      </c>
      <c r="Y15" s="42">
        <f t="shared" si="12"/>
        <v>6.5627866005503313E-2</v>
      </c>
      <c r="Z15" s="15"/>
      <c r="AB15" s="42">
        <f t="shared" si="5"/>
        <v>6.4081858761377689E-2</v>
      </c>
    </row>
    <row r="16" spans="2:28" ht="9.9499999999999993" customHeight="1" x14ac:dyDescent="0.15">
      <c r="B16" s="44" t="s">
        <v>61</v>
      </c>
      <c r="C16" s="29"/>
      <c r="D16" s="29"/>
      <c r="E16" s="42">
        <f t="shared" si="0"/>
        <v>7.9067334425156469E-2</v>
      </c>
      <c r="F16" s="15"/>
      <c r="G16" s="29"/>
      <c r="H16" s="42">
        <f t="shared" si="1"/>
        <v>7.3789273141264447E-2</v>
      </c>
      <c r="I16" s="15"/>
      <c r="J16" s="42">
        <f t="shared" si="6"/>
        <v>8.0980022912335956E-2</v>
      </c>
      <c r="K16" s="42"/>
      <c r="L16" s="42"/>
      <c r="M16" s="15"/>
      <c r="N16" s="15"/>
      <c r="O16" s="42">
        <f t="shared" si="7"/>
        <v>8.151061085948054E-2</v>
      </c>
      <c r="P16" s="42">
        <f t="shared" si="8"/>
        <v>8.1016041789896673E-2</v>
      </c>
      <c r="Q16" s="15"/>
      <c r="R16" s="15"/>
      <c r="S16" s="15"/>
      <c r="T16" s="42">
        <f t="shared" si="9"/>
        <v>8.2645140506078171E-2</v>
      </c>
      <c r="U16" s="42">
        <f t="shared" si="10"/>
        <v>8.1167817239138546E-2</v>
      </c>
      <c r="V16" s="15"/>
      <c r="W16" s="15"/>
      <c r="X16" s="42">
        <f t="shared" si="11"/>
        <v>7.878431737144917E-2</v>
      </c>
      <c r="Y16" s="42">
        <f t="shared" si="12"/>
        <v>8.0726737125960915E-2</v>
      </c>
      <c r="Z16" s="15"/>
      <c r="AB16" s="42">
        <f t="shared" si="5"/>
        <v>7.7688555125821387E-2</v>
      </c>
    </row>
    <row r="17" spans="2:28" ht="9.9499999999999993" customHeight="1" thickBot="1" x14ac:dyDescent="0.2">
      <c r="B17" s="49" t="s">
        <v>62</v>
      </c>
      <c r="C17" s="50"/>
      <c r="D17" s="50"/>
      <c r="E17" s="51">
        <f>SUM(E5:E16)</f>
        <v>1.0000000423780999</v>
      </c>
      <c r="F17" s="52"/>
      <c r="G17" s="50"/>
      <c r="H17" s="51">
        <f>SUM(H5:H16)</f>
        <v>1.0000014722984663</v>
      </c>
      <c r="I17" s="52"/>
      <c r="J17" s="51">
        <f>SUM(J5:J16)</f>
        <v>1.0000003568480158</v>
      </c>
      <c r="K17" s="51"/>
      <c r="L17" s="51"/>
      <c r="M17" s="52"/>
      <c r="N17" s="52"/>
      <c r="O17" s="51">
        <f>SUM(O5:O16)</f>
        <v>0.99999921159107352</v>
      </c>
      <c r="P17" s="51">
        <f>SUM(P5:P16)</f>
        <v>1</v>
      </c>
      <c r="Q17" s="52"/>
      <c r="R17" s="52"/>
      <c r="S17" s="52"/>
      <c r="T17" s="51">
        <f>SUM(T5:T16)</f>
        <v>1.0000018268634459</v>
      </c>
      <c r="U17" s="51">
        <f>SUM(U5:U16)</f>
        <v>1.0001517754492419</v>
      </c>
      <c r="V17" s="52"/>
      <c r="W17" s="52"/>
      <c r="X17" s="51">
        <f>SUM(X5:X16)</f>
        <v>1.0000000320895284</v>
      </c>
      <c r="Y17" s="51">
        <f>SUM(Y5:Y16)</f>
        <v>0.99645728227309682</v>
      </c>
      <c r="Z17" s="52"/>
      <c r="AB17" s="51">
        <f>SUM(AB5:AB16)</f>
        <v>1.0007017714015474</v>
      </c>
    </row>
    <row r="18" spans="2:28" ht="9.9499999999999993" customHeight="1" thickTop="1" x14ac:dyDescent="0.15">
      <c r="B18" s="48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B18" s="34"/>
    </row>
    <row r="19" spans="2:28" ht="9.9499999999999993" customHeight="1" x14ac:dyDescent="0.15">
      <c r="B19" s="48"/>
      <c r="C19" s="34"/>
      <c r="D19" s="34"/>
      <c r="E19" s="34"/>
      <c r="F19" s="34"/>
      <c r="G19" s="34"/>
      <c r="H19" s="34"/>
      <c r="I19" s="34"/>
      <c r="J19" s="8" t="s">
        <v>111</v>
      </c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B19" s="34"/>
    </row>
    <row r="20" spans="2:28" ht="9.9499999999999993" customHeight="1" x14ac:dyDescent="0.15">
      <c r="B20" s="35">
        <v>41012</v>
      </c>
      <c r="C20" s="38">
        <v>5693.7099343496038</v>
      </c>
      <c r="D20" s="38"/>
      <c r="E20" s="42">
        <f>C20/71329</f>
        <v>7.9823212639313662E-2</v>
      </c>
      <c r="F20" s="31">
        <v>3453.58</v>
      </c>
      <c r="G20" s="38"/>
      <c r="H20" s="42">
        <f>F20/45887</f>
        <v>7.5262710571621594E-2</v>
      </c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5">
        <v>41000</v>
      </c>
      <c r="AB20" s="42"/>
    </row>
    <row r="21" spans="2:28" ht="9.9499999999999993" customHeight="1" x14ac:dyDescent="0.15">
      <c r="B21" s="35">
        <v>41045</v>
      </c>
      <c r="C21" s="38">
        <v>6461.0235251811728</v>
      </c>
      <c r="D21" s="38"/>
      <c r="E21" s="42">
        <f t="shared" ref="E21:E31" si="13">C21/71329</f>
        <v>9.0580598707134169E-2</v>
      </c>
      <c r="F21" s="32">
        <v>3056.66</v>
      </c>
      <c r="G21" s="38"/>
      <c r="H21" s="42">
        <f t="shared" ref="H21:H31" si="14">F21/45887</f>
        <v>6.6612766142916294E-2</v>
      </c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5">
        <v>41030</v>
      </c>
      <c r="AB21" s="42"/>
    </row>
    <row r="22" spans="2:28" ht="9.9499999999999993" customHeight="1" x14ac:dyDescent="0.15">
      <c r="B22" s="35">
        <v>41073</v>
      </c>
      <c r="C22" s="38">
        <v>6179.5927881937196</v>
      </c>
      <c r="D22" s="38"/>
      <c r="E22" s="42">
        <f t="shared" si="13"/>
        <v>8.663506831995009E-2</v>
      </c>
      <c r="F22" s="32">
        <v>3703.76</v>
      </c>
      <c r="G22" s="38"/>
      <c r="H22" s="42">
        <f t="shared" si="14"/>
        <v>8.0714799398522469E-2</v>
      </c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5">
        <v>41061</v>
      </c>
      <c r="AB22" s="42"/>
    </row>
    <row r="23" spans="2:28" ht="9.9499999999999993" customHeight="1" x14ac:dyDescent="0.15">
      <c r="B23" s="35">
        <v>41101</v>
      </c>
      <c r="C23" s="38">
        <v>6411.8394300434275</v>
      </c>
      <c r="D23" s="38"/>
      <c r="E23" s="42">
        <f t="shared" si="13"/>
        <v>8.9891060158468886E-2</v>
      </c>
      <c r="F23" s="32">
        <v>3890.44</v>
      </c>
      <c r="G23" s="38"/>
      <c r="H23" s="42">
        <f t="shared" si="14"/>
        <v>8.4783054024015522E-2</v>
      </c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5">
        <v>41091</v>
      </c>
      <c r="AB23" s="42"/>
    </row>
    <row r="24" spans="2:28" ht="9.9499999999999993" customHeight="1" x14ac:dyDescent="0.15">
      <c r="B24" s="35">
        <v>41129</v>
      </c>
      <c r="C24" s="38">
        <v>6767.281654590066</v>
      </c>
      <c r="D24" s="38"/>
      <c r="E24" s="42">
        <f t="shared" si="13"/>
        <v>9.4874197795988532E-2</v>
      </c>
      <c r="F24" s="32">
        <v>4693.46</v>
      </c>
      <c r="G24" s="38"/>
      <c r="H24" s="42">
        <f t="shared" si="14"/>
        <v>0.10228299954235405</v>
      </c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5">
        <v>41122</v>
      </c>
      <c r="AB24" s="42"/>
    </row>
    <row r="25" spans="2:28" ht="9.9499999999999993" customHeight="1" x14ac:dyDescent="0.15">
      <c r="B25" s="35">
        <v>41164</v>
      </c>
      <c r="C25" s="38">
        <v>6054.9434296986519</v>
      </c>
      <c r="D25" s="38"/>
      <c r="E25" s="42">
        <f t="shared" si="13"/>
        <v>8.4887541248281226E-2</v>
      </c>
      <c r="F25" s="32">
        <v>4639.37</v>
      </c>
      <c r="G25" s="38"/>
      <c r="H25" s="42">
        <f t="shared" si="14"/>
        <v>0.10110423431472966</v>
      </c>
      <c r="I25" s="37"/>
      <c r="J25" s="41">
        <f t="shared" ref="J25:J56" si="15">V25+R25+M25</f>
        <v>28079</v>
      </c>
      <c r="K25" s="42"/>
      <c r="L25" s="42"/>
      <c r="M25" s="32">
        <v>8409.4314775882813</v>
      </c>
      <c r="N25" s="32"/>
      <c r="O25" s="42">
        <f>M25/97243</f>
        <v>8.6478527786969558E-2</v>
      </c>
      <c r="P25" s="42"/>
      <c r="Q25" s="32"/>
      <c r="R25" s="32">
        <v>9981.4154262554948</v>
      </c>
      <c r="S25" s="32"/>
      <c r="T25" s="42">
        <f>R25/120438</f>
        <v>8.2875964614619102E-2</v>
      </c>
      <c r="U25" s="42"/>
      <c r="V25" s="32">
        <v>9688.1530961562239</v>
      </c>
      <c r="W25" s="32"/>
      <c r="X25" s="42">
        <f>V25/128327</f>
        <v>7.5495827816096567E-2</v>
      </c>
      <c r="Y25" s="42"/>
      <c r="Z25" s="35">
        <v>41153</v>
      </c>
      <c r="AB25" s="42">
        <f t="shared" ref="AB25:AB56" si="16">AVERAGE(E25,O25,T25,X25,H25)</f>
        <v>8.6168419156139209E-2</v>
      </c>
    </row>
    <row r="26" spans="2:28" ht="9.9499999999999993" customHeight="1" x14ac:dyDescent="0.15">
      <c r="B26" s="35">
        <v>41199</v>
      </c>
      <c r="C26" s="38">
        <v>6164.2626032404287</v>
      </c>
      <c r="D26" s="38"/>
      <c r="E26" s="42">
        <f t="shared" si="13"/>
        <v>8.6420146129069925E-2</v>
      </c>
      <c r="F26" s="32">
        <v>4819.8100000000004</v>
      </c>
      <c r="G26" s="38"/>
      <c r="H26" s="42">
        <f t="shared" si="14"/>
        <v>0.10503650271318675</v>
      </c>
      <c r="I26" s="37"/>
      <c r="J26" s="41">
        <f t="shared" si="15"/>
        <v>32007</v>
      </c>
      <c r="K26" s="42"/>
      <c r="L26" s="42"/>
      <c r="M26" s="32">
        <v>9585.8354394091002</v>
      </c>
      <c r="N26" s="32"/>
      <c r="O26" s="42">
        <f t="shared" ref="O26:O36" si="17">M26/97243</f>
        <v>9.8576097399392243E-2</v>
      </c>
      <c r="P26" s="42"/>
      <c r="Q26" s="32"/>
      <c r="R26" s="32">
        <v>11377.725828845743</v>
      </c>
      <c r="S26" s="32"/>
      <c r="T26" s="42">
        <f t="shared" ref="T26:T36" si="18">R26/120438</f>
        <v>9.4469567983906599E-2</v>
      </c>
      <c r="U26" s="42"/>
      <c r="V26" s="32">
        <v>11043.438731745156</v>
      </c>
      <c r="W26" s="32"/>
      <c r="X26" s="42">
        <f t="shared" ref="X26:X36" si="19">V26/128327</f>
        <v>8.605701630790992E-2</v>
      </c>
      <c r="Y26" s="42"/>
      <c r="Z26" s="35">
        <v>41183</v>
      </c>
      <c r="AB26" s="42">
        <f t="shared" si="16"/>
        <v>9.4111866106693087E-2</v>
      </c>
    </row>
    <row r="27" spans="2:28" ht="9.9499999999999993" customHeight="1" x14ac:dyDescent="0.15">
      <c r="B27" s="35">
        <v>41234</v>
      </c>
      <c r="C27" s="38">
        <v>5754.4110320193013</v>
      </c>
      <c r="D27" s="38"/>
      <c r="E27" s="42">
        <f t="shared" si="13"/>
        <v>8.0674214303008612E-2</v>
      </c>
      <c r="F27" s="32">
        <v>4550.29</v>
      </c>
      <c r="G27" s="38"/>
      <c r="H27" s="42">
        <f t="shared" si="14"/>
        <v>9.9162943753132698E-2</v>
      </c>
      <c r="I27" s="37"/>
      <c r="J27" s="41">
        <f t="shared" si="15"/>
        <v>27906</v>
      </c>
      <c r="K27" s="42"/>
      <c r="L27" s="42"/>
      <c r="M27" s="32">
        <v>8357.6193886384335</v>
      </c>
      <c r="N27" s="32"/>
      <c r="O27" s="42">
        <f t="shared" si="17"/>
        <v>8.5945717312695347E-2</v>
      </c>
      <c r="P27" s="42"/>
      <c r="Q27" s="32"/>
      <c r="R27" s="32">
        <v>9919.9180485446723</v>
      </c>
      <c r="S27" s="32"/>
      <c r="T27" s="42">
        <f t="shared" si="18"/>
        <v>8.2365350209607197E-2</v>
      </c>
      <c r="U27" s="42"/>
      <c r="V27" s="32">
        <v>9628.4625628168942</v>
      </c>
      <c r="W27" s="32"/>
      <c r="X27" s="42">
        <f t="shared" si="19"/>
        <v>7.5030683821930649E-2</v>
      </c>
      <c r="Y27" s="42"/>
      <c r="Z27" s="35">
        <v>41214</v>
      </c>
      <c r="AB27" s="42">
        <f t="shared" si="16"/>
        <v>8.4635781880074895E-2</v>
      </c>
    </row>
    <row r="28" spans="2:28" ht="9.9499999999999993" customHeight="1" x14ac:dyDescent="0.15">
      <c r="B28" s="35">
        <v>41262</v>
      </c>
      <c r="C28" s="38">
        <v>5830.9070462498912</v>
      </c>
      <c r="D28" s="38"/>
      <c r="E28" s="42">
        <f t="shared" si="13"/>
        <v>8.1746653482453011E-2</v>
      </c>
      <c r="F28" s="32">
        <v>4161.66</v>
      </c>
      <c r="G28" s="38"/>
      <c r="H28" s="42">
        <f t="shared" si="14"/>
        <v>9.0693660513871024E-2</v>
      </c>
      <c r="I28" s="37"/>
      <c r="J28" s="41">
        <f t="shared" si="15"/>
        <v>27426</v>
      </c>
      <c r="K28" s="42"/>
      <c r="L28" s="42"/>
      <c r="M28" s="32">
        <v>8213.8633036908795</v>
      </c>
      <c r="N28" s="32"/>
      <c r="O28" s="42">
        <f t="shared" si="17"/>
        <v>8.4467399233784227E-2</v>
      </c>
      <c r="P28" s="42"/>
      <c r="Q28" s="32"/>
      <c r="R28" s="32">
        <v>9749.2894861100176</v>
      </c>
      <c r="S28" s="32"/>
      <c r="T28" s="42">
        <f t="shared" si="18"/>
        <v>8.0948616600325624E-2</v>
      </c>
      <c r="U28" s="42"/>
      <c r="V28" s="32">
        <v>9462.8472101991028</v>
      </c>
      <c r="W28" s="32"/>
      <c r="X28" s="42">
        <f t="shared" si="19"/>
        <v>7.3740110890140834E-2</v>
      </c>
      <c r="Y28" s="42"/>
      <c r="Z28" s="35">
        <v>41244</v>
      </c>
      <c r="AB28" s="42">
        <f t="shared" si="16"/>
        <v>8.2319288144114947E-2</v>
      </c>
    </row>
    <row r="29" spans="2:28" ht="9.9499999999999993" customHeight="1" x14ac:dyDescent="0.15">
      <c r="B29" s="35">
        <v>41290</v>
      </c>
      <c r="C29" s="38">
        <v>5508.7884612072394</v>
      </c>
      <c r="D29" s="38"/>
      <c r="E29" s="42">
        <f t="shared" si="13"/>
        <v>7.7230698049983032E-2</v>
      </c>
      <c r="F29" s="32">
        <v>3121.59</v>
      </c>
      <c r="G29" s="38"/>
      <c r="H29" s="42">
        <f t="shared" si="14"/>
        <v>6.8027763854686521E-2</v>
      </c>
      <c r="I29" s="37"/>
      <c r="J29" s="41">
        <f t="shared" si="15"/>
        <v>25536</v>
      </c>
      <c r="K29" s="42"/>
      <c r="L29" s="42"/>
      <c r="M29" s="32">
        <v>7647.8237192098841</v>
      </c>
      <c r="N29" s="32"/>
      <c r="O29" s="42">
        <f t="shared" si="17"/>
        <v>7.8646521798071675E-2</v>
      </c>
      <c r="P29" s="42"/>
      <c r="Q29" s="32"/>
      <c r="R29" s="32">
        <v>9077.4395215235691</v>
      </c>
      <c r="S29" s="32"/>
      <c r="T29" s="42">
        <f t="shared" si="18"/>
        <v>7.5370228013779447E-2</v>
      </c>
      <c r="U29" s="42"/>
      <c r="V29" s="32">
        <v>8810.7367592665469</v>
      </c>
      <c r="W29" s="32"/>
      <c r="X29" s="42">
        <f t="shared" si="19"/>
        <v>6.865847997121842E-2</v>
      </c>
      <c r="Y29" s="42"/>
      <c r="Z29" s="35">
        <v>41275</v>
      </c>
      <c r="AB29" s="42">
        <f t="shared" si="16"/>
        <v>7.3586738337547822E-2</v>
      </c>
    </row>
    <row r="30" spans="2:28" ht="9.9499999999999993" customHeight="1" x14ac:dyDescent="0.15">
      <c r="B30" s="35">
        <v>41318</v>
      </c>
      <c r="C30" s="38">
        <v>4728.3759929486159</v>
      </c>
      <c r="D30" s="38"/>
      <c r="E30" s="42">
        <f t="shared" si="13"/>
        <v>6.6289671703635492E-2</v>
      </c>
      <c r="F30" s="32">
        <v>2658.44</v>
      </c>
      <c r="G30" s="38"/>
      <c r="H30" s="42">
        <f t="shared" si="14"/>
        <v>5.7934491250245169E-2</v>
      </c>
      <c r="I30" s="37"/>
      <c r="J30" s="41">
        <f t="shared" si="15"/>
        <v>21915</v>
      </c>
      <c r="K30" s="42"/>
      <c r="L30" s="42"/>
      <c r="M30" s="32">
        <v>6563.3637533867723</v>
      </c>
      <c r="N30" s="32"/>
      <c r="O30" s="42">
        <f t="shared" si="17"/>
        <v>6.7494459790285899E-2</v>
      </c>
      <c r="P30" s="42"/>
      <c r="Q30" s="32"/>
      <c r="R30" s="32">
        <v>7790.2603036571518</v>
      </c>
      <c r="S30" s="32"/>
      <c r="T30" s="42">
        <f t="shared" si="18"/>
        <v>6.4682743848761617E-2</v>
      </c>
      <c r="U30" s="42"/>
      <c r="V30" s="32">
        <v>7561.375942956076</v>
      </c>
      <c r="W30" s="32"/>
      <c r="X30" s="42">
        <f t="shared" si="19"/>
        <v>5.8922720417028965E-2</v>
      </c>
      <c r="Y30" s="42"/>
      <c r="Z30" s="35">
        <v>41306</v>
      </c>
      <c r="AB30" s="42">
        <f t="shared" si="16"/>
        <v>6.3064817401991421E-2</v>
      </c>
    </row>
    <row r="31" spans="2:28" ht="9.9499999999999993" customHeight="1" x14ac:dyDescent="0.15">
      <c r="B31" s="35">
        <v>41346</v>
      </c>
      <c r="C31" s="38">
        <v>5774.2107831388548</v>
      </c>
      <c r="D31" s="41">
        <f>SUM(C20:C31)</f>
        <v>71329.346680860966</v>
      </c>
      <c r="E31" s="42">
        <f t="shared" si="13"/>
        <v>8.0951797770035402E-2</v>
      </c>
      <c r="F31" s="32">
        <v>3137.77</v>
      </c>
      <c r="G31" s="41">
        <f>SUM(F20:F31)</f>
        <v>45886.829999999994</v>
      </c>
      <c r="H31" s="42">
        <f t="shared" si="14"/>
        <v>6.8380369167738139E-2</v>
      </c>
      <c r="I31" s="37"/>
      <c r="J31" s="41">
        <f t="shared" si="15"/>
        <v>27132</v>
      </c>
      <c r="K31" s="42"/>
      <c r="L31" s="42"/>
      <c r="M31" s="32">
        <v>8125.8127016605022</v>
      </c>
      <c r="N31" s="32"/>
      <c r="O31" s="42">
        <f t="shared" si="17"/>
        <v>8.3561929410451166E-2</v>
      </c>
      <c r="P31" s="42"/>
      <c r="Q31" s="32"/>
      <c r="R31" s="32">
        <v>9644.7794916187922</v>
      </c>
      <c r="S31" s="32"/>
      <c r="T31" s="42">
        <f t="shared" si="18"/>
        <v>8.0080867264640657E-2</v>
      </c>
      <c r="U31" s="42"/>
      <c r="V31" s="32">
        <v>9361.4078067207047</v>
      </c>
      <c r="W31" s="32"/>
      <c r="X31" s="42">
        <f t="shared" si="19"/>
        <v>7.2949634969419572E-2</v>
      </c>
      <c r="Y31" s="42"/>
      <c r="Z31" s="35">
        <v>41334</v>
      </c>
      <c r="AB31" s="42">
        <f t="shared" si="16"/>
        <v>7.7184919716456996E-2</v>
      </c>
    </row>
    <row r="32" spans="2:28" ht="9.9499999999999993" customHeight="1" x14ac:dyDescent="0.15">
      <c r="B32" s="35">
        <v>41376</v>
      </c>
      <c r="C32" s="32">
        <v>5482.3589469097042</v>
      </c>
      <c r="D32" s="32"/>
      <c r="E32" s="42">
        <f>C32/68682</f>
        <v>7.9822354429249356E-2</v>
      </c>
      <c r="F32" s="32">
        <v>3274.12</v>
      </c>
      <c r="G32" s="32"/>
      <c r="H32" s="42">
        <f>F32/41759</f>
        <v>7.8405134222562803E-2</v>
      </c>
      <c r="I32" s="37"/>
      <c r="J32" s="41">
        <f t="shared" si="15"/>
        <v>29005.073669400437</v>
      </c>
      <c r="K32" s="42"/>
      <c r="L32" s="42"/>
      <c r="M32" s="32">
        <v>7499.9095391172968</v>
      </c>
      <c r="N32" s="32"/>
      <c r="O32" s="42">
        <f t="shared" si="17"/>
        <v>7.7125443878914651E-2</v>
      </c>
      <c r="P32" s="42">
        <f>M32/91177</f>
        <v>8.2256594745575062E-2</v>
      </c>
      <c r="Q32" s="32"/>
      <c r="R32" s="32">
        <v>9834.7629809704449</v>
      </c>
      <c r="S32" s="32"/>
      <c r="T32" s="42">
        <f t="shared" si="18"/>
        <v>8.1658305360189018E-2</v>
      </c>
      <c r="U32" s="42">
        <f>R32/119562</f>
        <v>8.2256594745575062E-2</v>
      </c>
      <c r="V32" s="32">
        <v>11670.401149312698</v>
      </c>
      <c r="W32" s="32"/>
      <c r="X32" s="42">
        <f t="shared" si="19"/>
        <v>9.0942678854120315E-2</v>
      </c>
      <c r="Y32" s="42">
        <f>V32/141878</f>
        <v>8.2256594745575062E-2</v>
      </c>
      <c r="Z32" s="35">
        <v>41365</v>
      </c>
      <c r="AB32" s="42">
        <f t="shared" si="16"/>
        <v>8.159078334900724E-2</v>
      </c>
    </row>
    <row r="33" spans="2:28" ht="9.9499999999999993" customHeight="1" x14ac:dyDescent="0.15">
      <c r="B33" s="35">
        <v>41410</v>
      </c>
      <c r="C33" s="32">
        <v>6221.1897932797165</v>
      </c>
      <c r="D33" s="32"/>
      <c r="E33" s="42">
        <f t="shared" ref="E33:E43" si="20">C33/68682</f>
        <v>9.057962484027425E-2</v>
      </c>
      <c r="F33" s="32">
        <v>3669.2</v>
      </c>
      <c r="G33" s="32"/>
      <c r="H33" s="42">
        <f t="shared" ref="H33:H43" si="21">F33/41759</f>
        <v>8.7866088747335896E-2</v>
      </c>
      <c r="I33" s="37"/>
      <c r="J33" s="41">
        <f t="shared" si="15"/>
        <v>30572.972065646176</v>
      </c>
      <c r="K33" s="42"/>
      <c r="L33" s="42"/>
      <c r="M33" s="32">
        <v>7905.3246838054365</v>
      </c>
      <c r="N33" s="32"/>
      <c r="O33" s="42">
        <f t="shared" si="17"/>
        <v>8.1294537229470873E-2</v>
      </c>
      <c r="P33" s="42">
        <f t="shared" ref="P33:P43" si="22">M33/91177</f>
        <v>8.6703057611079951E-2</v>
      </c>
      <c r="Q33" s="32"/>
      <c r="R33" s="32">
        <v>10366.390974095941</v>
      </c>
      <c r="S33" s="32"/>
      <c r="T33" s="42">
        <f t="shared" si="18"/>
        <v>8.6072427091914025E-2</v>
      </c>
      <c r="U33" s="42">
        <f t="shared" ref="U33:U42" si="23">R33/119562</f>
        <v>8.6703057611079951E-2</v>
      </c>
      <c r="V33" s="32">
        <v>12301.256407744801</v>
      </c>
      <c r="W33" s="32"/>
      <c r="X33" s="42">
        <f t="shared" si="19"/>
        <v>9.585867672231721E-2</v>
      </c>
      <c r="Y33" s="42">
        <f t="shared" ref="Y33:Y43" si="24">V33/141878</f>
        <v>8.6703057611079951E-2</v>
      </c>
      <c r="Z33" s="35">
        <v>41395</v>
      </c>
      <c r="AB33" s="42">
        <f t="shared" si="16"/>
        <v>8.8334270926262448E-2</v>
      </c>
    </row>
    <row r="34" spans="2:28" ht="9.9499999999999993" customHeight="1" x14ac:dyDescent="0.15">
      <c r="B34" s="35">
        <v>41437</v>
      </c>
      <c r="C34" s="32">
        <v>5950.2057887117353</v>
      </c>
      <c r="D34" s="32"/>
      <c r="E34" s="42">
        <f t="shared" si="20"/>
        <v>8.6634136873005085E-2</v>
      </c>
      <c r="F34" s="32">
        <v>3632.79</v>
      </c>
      <c r="G34" s="32"/>
      <c r="H34" s="42">
        <f t="shared" si="21"/>
        <v>8.6994180895136372E-2</v>
      </c>
      <c r="I34" s="37"/>
      <c r="J34" s="41">
        <f t="shared" si="15"/>
        <v>29842.402585953572</v>
      </c>
      <c r="K34" s="42"/>
      <c r="L34" s="42"/>
      <c r="M34" s="32">
        <v>7716.419629738466</v>
      </c>
      <c r="N34" s="32"/>
      <c r="O34" s="42">
        <f t="shared" si="17"/>
        <v>7.9351928979345204E-2</v>
      </c>
      <c r="P34" s="42">
        <f t="shared" si="22"/>
        <v>8.4631207757860705E-2</v>
      </c>
      <c r="Q34" s="32"/>
      <c r="R34" s="32">
        <v>10118.676461945342</v>
      </c>
      <c r="S34" s="32"/>
      <c r="T34" s="42">
        <f t="shared" si="18"/>
        <v>8.4015646738947361E-2</v>
      </c>
      <c r="U34" s="42">
        <f t="shared" si="23"/>
        <v>8.4631207757860719E-2</v>
      </c>
      <c r="V34" s="32">
        <v>12007.306494269762</v>
      </c>
      <c r="W34" s="32"/>
      <c r="X34" s="42">
        <f t="shared" si="19"/>
        <v>9.3568044871848957E-2</v>
      </c>
      <c r="Y34" s="42">
        <f t="shared" si="24"/>
        <v>8.4631207757860705E-2</v>
      </c>
      <c r="Z34" s="35">
        <v>41426</v>
      </c>
      <c r="AB34" s="42">
        <f t="shared" si="16"/>
        <v>8.6112787671656602E-2</v>
      </c>
    </row>
    <row r="35" spans="2:28" ht="9.9499999999999993" customHeight="1" x14ac:dyDescent="0.15">
      <c r="B35" s="35">
        <v>41465</v>
      </c>
      <c r="C35" s="32">
        <v>6173.8314158538951</v>
      </c>
      <c r="D35" s="32"/>
      <c r="E35" s="42">
        <f t="shared" si="20"/>
        <v>8.9890093705103161E-2</v>
      </c>
      <c r="F35" s="32">
        <v>4241.7700000000004</v>
      </c>
      <c r="G35" s="32"/>
      <c r="H35" s="42">
        <f t="shared" si="21"/>
        <v>0.10157738451591275</v>
      </c>
      <c r="I35" s="37"/>
      <c r="J35" s="41">
        <f t="shared" si="15"/>
        <v>34019.627218408001</v>
      </c>
      <c r="K35" s="42"/>
      <c r="L35" s="42"/>
      <c r="M35" s="32">
        <v>8796.5343443248239</v>
      </c>
      <c r="N35" s="32"/>
      <c r="O35" s="42">
        <f t="shared" si="17"/>
        <v>9.0459306524118183E-2</v>
      </c>
      <c r="P35" s="42">
        <f t="shared" si="22"/>
        <v>9.6477558422900775E-2</v>
      </c>
      <c r="Q35" s="32"/>
      <c r="R35" s="32">
        <v>11535.049840158861</v>
      </c>
      <c r="S35" s="32"/>
      <c r="T35" s="42">
        <f t="shared" si="18"/>
        <v>9.5775833542228045E-2</v>
      </c>
      <c r="U35" s="42">
        <f t="shared" si="23"/>
        <v>9.6477558422900761E-2</v>
      </c>
      <c r="V35" s="32">
        <v>13688.043033924316</v>
      </c>
      <c r="W35" s="32"/>
      <c r="X35" s="42">
        <f t="shared" si="19"/>
        <v>0.10666533959279276</v>
      </c>
      <c r="Y35" s="42">
        <f t="shared" si="24"/>
        <v>9.6477558422900775E-2</v>
      </c>
      <c r="Z35" s="35">
        <v>41456</v>
      </c>
      <c r="AB35" s="42">
        <f t="shared" si="16"/>
        <v>9.6873591576030982E-2</v>
      </c>
    </row>
    <row r="36" spans="2:28" ht="9.9499999999999993" customHeight="1" x14ac:dyDescent="0.15">
      <c r="B36" s="35">
        <v>41493</v>
      </c>
      <c r="C36" s="32">
        <v>6516.079595392629</v>
      </c>
      <c r="D36" s="32"/>
      <c r="E36" s="42">
        <f t="shared" si="20"/>
        <v>9.4873177766993236E-2</v>
      </c>
      <c r="F36" s="32">
        <v>4204.96</v>
      </c>
      <c r="G36" s="32"/>
      <c r="H36" s="42">
        <f t="shared" si="21"/>
        <v>0.10069589789027515</v>
      </c>
      <c r="I36" s="37"/>
      <c r="J36" s="41">
        <f t="shared" si="15"/>
        <v>32566.861548188321</v>
      </c>
      <c r="K36" s="42"/>
      <c r="L36" s="42"/>
      <c r="M36" s="32">
        <v>8420.8893370970945</v>
      </c>
      <c r="N36" s="41">
        <f>SUM(M25:M36)</f>
        <v>97242.827317666961</v>
      </c>
      <c r="O36" s="42">
        <f t="shared" si="17"/>
        <v>8.6596354874871148E-2</v>
      </c>
      <c r="P36" s="42">
        <f t="shared" si="22"/>
        <v>9.2357604846585159E-2</v>
      </c>
      <c r="Q36" s="32"/>
      <c r="R36" s="32">
        <v>11042.459950667415</v>
      </c>
      <c r="S36" s="41">
        <f>SUM(R25:R36)</f>
        <v>120438.16831439344</v>
      </c>
      <c r="T36" s="42">
        <f t="shared" si="18"/>
        <v>9.1685846250082317E-2</v>
      </c>
      <c r="U36" s="42">
        <f t="shared" si="23"/>
        <v>9.2357604846585159E-2</v>
      </c>
      <c r="V36" s="32">
        <v>13103.512260423809</v>
      </c>
      <c r="W36" s="41">
        <f>SUM(V25:V36)</f>
        <v>128326.94145553611</v>
      </c>
      <c r="X36" s="42">
        <f t="shared" si="19"/>
        <v>0.10211032955203356</v>
      </c>
      <c r="Y36" s="42">
        <f t="shared" si="24"/>
        <v>9.2357604846585159E-2</v>
      </c>
      <c r="Z36" s="35">
        <v>41487</v>
      </c>
      <c r="AB36" s="42">
        <f t="shared" si="16"/>
        <v>9.5192321266851079E-2</v>
      </c>
    </row>
    <row r="37" spans="2:28" ht="9.9499999999999993" customHeight="1" x14ac:dyDescent="0.15">
      <c r="B37" s="35">
        <v>41521</v>
      </c>
      <c r="C37" s="32">
        <v>5830.1834247958523</v>
      </c>
      <c r="D37" s="32"/>
      <c r="E37" s="42">
        <f t="shared" si="20"/>
        <v>8.4886628589671997E-2</v>
      </c>
      <c r="F37" s="32">
        <v>3639.07</v>
      </c>
      <c r="G37" s="32"/>
      <c r="H37" s="42">
        <f t="shared" si="21"/>
        <v>8.7144567638113943E-2</v>
      </c>
      <c r="I37" s="37"/>
      <c r="J37" s="41">
        <f t="shared" si="15"/>
        <v>30173.147507992056</v>
      </c>
      <c r="K37" s="42"/>
      <c r="L37" s="42"/>
      <c r="M37" s="32">
        <v>7801.9411155338275</v>
      </c>
      <c r="N37" s="32"/>
      <c r="O37" s="42">
        <f>M37/91774</f>
        <v>8.5012542937366001E-2</v>
      </c>
      <c r="P37" s="42">
        <f t="shared" si="22"/>
        <v>8.5569179897713538E-2</v>
      </c>
      <c r="Q37" s="32"/>
      <c r="R37" s="32">
        <v>10230.822286930426</v>
      </c>
      <c r="S37" s="32"/>
      <c r="T37" s="42">
        <f>R37/118499</f>
        <v>8.6336781634700932E-2</v>
      </c>
      <c r="U37" s="42">
        <f t="shared" si="23"/>
        <v>8.5569179897713538E-2</v>
      </c>
      <c r="V37" s="32">
        <v>12140.384105527803</v>
      </c>
      <c r="W37" s="32"/>
      <c r="X37" s="42">
        <f>V37/138947</f>
        <v>8.7374208191093025E-2</v>
      </c>
      <c r="Y37" s="42">
        <f t="shared" si="24"/>
        <v>8.5569179897713551E-2</v>
      </c>
      <c r="Z37" s="35">
        <v>41518</v>
      </c>
      <c r="AB37" s="42">
        <f t="shared" si="16"/>
        <v>8.6150945798189188E-2</v>
      </c>
    </row>
    <row r="38" spans="2:28" ht="9.9499999999999993" customHeight="1" x14ac:dyDescent="0.15">
      <c r="B38" s="35">
        <v>41557</v>
      </c>
      <c r="C38" s="32">
        <v>5935.444661501966</v>
      </c>
      <c r="D38" s="32"/>
      <c r="E38" s="42">
        <f t="shared" si="20"/>
        <v>8.6419216992836057E-2</v>
      </c>
      <c r="F38" s="32">
        <v>3922.53</v>
      </c>
      <c r="G38" s="32"/>
      <c r="H38" s="42">
        <f t="shared" si="21"/>
        <v>9.3932565434996049E-2</v>
      </c>
      <c r="I38" s="37"/>
      <c r="J38" s="41">
        <f t="shared" si="15"/>
        <v>31359.014586060432</v>
      </c>
      <c r="K38" s="42"/>
      <c r="L38" s="42"/>
      <c r="M38" s="32">
        <v>8108.5735313760588</v>
      </c>
      <c r="N38" s="32"/>
      <c r="O38" s="42">
        <f t="shared" ref="O38:O48" si="25">M38/91774</f>
        <v>8.8353711632663492E-2</v>
      </c>
      <c r="P38" s="42">
        <f t="shared" si="22"/>
        <v>8.89322255763631E-2</v>
      </c>
      <c r="Q38" s="32"/>
      <c r="R38" s="32">
        <v>10632.914754361125</v>
      </c>
      <c r="S38" s="32"/>
      <c r="T38" s="42">
        <f t="shared" ref="T38:T48" si="26">R38/118499</f>
        <v>8.9729995648580363E-2</v>
      </c>
      <c r="U38" s="42">
        <f t="shared" si="23"/>
        <v>8.89322255763631E-2</v>
      </c>
      <c r="V38" s="32">
        <v>12617.526300323245</v>
      </c>
      <c r="W38" s="32"/>
      <c r="X38" s="42">
        <f t="shared" ref="X38:X48" si="27">V38/138947</f>
        <v>9.0808195213450058E-2</v>
      </c>
      <c r="Y38" s="42">
        <f t="shared" si="24"/>
        <v>8.8932225576363114E-2</v>
      </c>
      <c r="Z38" s="35">
        <v>41548</v>
      </c>
      <c r="AB38" s="42">
        <f t="shared" si="16"/>
        <v>8.9848736984505212E-2</v>
      </c>
    </row>
    <row r="39" spans="2:28" ht="9.9499999999999993" customHeight="1" x14ac:dyDescent="0.15">
      <c r="B39" s="35">
        <v>41591</v>
      </c>
      <c r="C39" s="32">
        <v>5540.8068147733347</v>
      </c>
      <c r="D39" s="32"/>
      <c r="E39" s="42">
        <f t="shared" si="20"/>
        <v>8.0673346943498078E-2</v>
      </c>
      <c r="F39" s="32">
        <v>3376.88</v>
      </c>
      <c r="G39" s="32"/>
      <c r="H39" s="42">
        <f t="shared" si="21"/>
        <v>8.086592111880074E-2</v>
      </c>
      <c r="I39" s="37"/>
      <c r="J39" s="41">
        <f t="shared" si="15"/>
        <v>28464.99651822367</v>
      </c>
      <c r="K39" s="42"/>
      <c r="L39" s="42"/>
      <c r="M39" s="32">
        <v>7360.2605306666428</v>
      </c>
      <c r="N39" s="32"/>
      <c r="O39" s="42">
        <f t="shared" si="25"/>
        <v>8.0199844516602115E-2</v>
      </c>
      <c r="P39" s="42">
        <f t="shared" si="22"/>
        <v>8.0724969352650805E-2</v>
      </c>
      <c r="Q39" s="32"/>
      <c r="R39" s="32">
        <v>9651.6387857416357</v>
      </c>
      <c r="S39" s="32"/>
      <c r="T39" s="42">
        <f t="shared" si="26"/>
        <v>8.1449115905970815E-2</v>
      </c>
      <c r="U39" s="42">
        <f t="shared" si="23"/>
        <v>8.0724969352650805E-2</v>
      </c>
      <c r="V39" s="32">
        <v>11453.097201815392</v>
      </c>
      <c r="W39" s="32"/>
      <c r="X39" s="42">
        <f t="shared" si="27"/>
        <v>8.2427812056506372E-2</v>
      </c>
      <c r="Y39" s="42">
        <f t="shared" si="24"/>
        <v>8.0724969352650805E-2</v>
      </c>
      <c r="Z39" s="35">
        <v>41579</v>
      </c>
      <c r="AB39" s="42">
        <f t="shared" si="16"/>
        <v>8.1123208108275627E-2</v>
      </c>
    </row>
    <row r="40" spans="2:28" ht="9.9499999999999993" customHeight="1" x14ac:dyDescent="0.15">
      <c r="B40" s="35">
        <v>41619</v>
      </c>
      <c r="C40" s="32">
        <v>5614.4632905783164</v>
      </c>
      <c r="D40" s="32"/>
      <c r="E40" s="42">
        <f t="shared" si="20"/>
        <v>8.1745774592736326E-2</v>
      </c>
      <c r="F40" s="32">
        <v>3260.82</v>
      </c>
      <c r="G40" s="32"/>
      <c r="H40" s="42">
        <f t="shared" si="21"/>
        <v>7.8086640005747263E-2</v>
      </c>
      <c r="I40" s="37"/>
      <c r="J40" s="41">
        <f t="shared" si="15"/>
        <v>29372.451731538127</v>
      </c>
      <c r="K40" s="42"/>
      <c r="L40" s="42"/>
      <c r="M40" s="32">
        <v>7594.903341377335</v>
      </c>
      <c r="N40" s="32"/>
      <c r="O40" s="42">
        <f t="shared" si="25"/>
        <v>8.275659055263293E-2</v>
      </c>
      <c r="P40" s="42">
        <f t="shared" si="22"/>
        <v>8.329845620471539E-2</v>
      </c>
      <c r="Q40" s="32"/>
      <c r="R40" s="32">
        <v>9959.3300207481807</v>
      </c>
      <c r="S40" s="32"/>
      <c r="T40" s="42">
        <f t="shared" si="26"/>
        <v>8.4045688324358686E-2</v>
      </c>
      <c r="U40" s="42">
        <f t="shared" si="23"/>
        <v>8.329845620471539E-2</v>
      </c>
      <c r="V40" s="32">
        <v>11818.218369412611</v>
      </c>
      <c r="W40" s="32"/>
      <c r="X40" s="42">
        <f t="shared" si="27"/>
        <v>8.5055585003005543E-2</v>
      </c>
      <c r="Y40" s="42">
        <f t="shared" si="24"/>
        <v>8.329845620471539E-2</v>
      </c>
      <c r="Z40" s="35">
        <v>41609</v>
      </c>
      <c r="AB40" s="42">
        <f t="shared" si="16"/>
        <v>8.2338055695696161E-2</v>
      </c>
    </row>
    <row r="41" spans="2:28" ht="9.9499999999999993" customHeight="1" x14ac:dyDescent="0.15">
      <c r="B41" s="35">
        <v>41647</v>
      </c>
      <c r="C41" s="32">
        <v>5304.3017742670354</v>
      </c>
      <c r="D41" s="32"/>
      <c r="E41" s="42">
        <f t="shared" si="20"/>
        <v>7.7229867713040329E-2</v>
      </c>
      <c r="F41" s="32">
        <v>3094.86</v>
      </c>
      <c r="G41" s="32"/>
      <c r="H41" s="42">
        <f t="shared" si="21"/>
        <v>7.4112406906295655E-2</v>
      </c>
      <c r="I41" s="37"/>
      <c r="J41" s="41">
        <f t="shared" si="15"/>
        <v>26973.504385613407</v>
      </c>
      <c r="K41" s="42"/>
      <c r="L41" s="42"/>
      <c r="M41" s="32">
        <v>6974.6019317476857</v>
      </c>
      <c r="N41" s="32"/>
      <c r="O41" s="42">
        <f t="shared" si="25"/>
        <v>7.5997580270530718E-2</v>
      </c>
      <c r="P41" s="42">
        <f t="shared" si="22"/>
        <v>7.6495189924516996E-2</v>
      </c>
      <c r="Q41" s="32"/>
      <c r="R41" s="32">
        <v>9145.9178977551001</v>
      </c>
      <c r="S41" s="32"/>
      <c r="T41" s="42">
        <f t="shared" si="26"/>
        <v>7.7181393072980359E-2</v>
      </c>
      <c r="U41" s="42">
        <f t="shared" si="23"/>
        <v>7.6495189924516982E-2</v>
      </c>
      <c r="V41" s="32">
        <v>10852.984556110621</v>
      </c>
      <c r="W41" s="32"/>
      <c r="X41" s="42">
        <f t="shared" si="27"/>
        <v>7.8108808078696343E-2</v>
      </c>
      <c r="Y41" s="42">
        <f t="shared" si="24"/>
        <v>7.6495189924516982E-2</v>
      </c>
      <c r="Z41" s="35">
        <v>41640</v>
      </c>
      <c r="AB41" s="42">
        <f t="shared" si="16"/>
        <v>7.6526011208308681E-2</v>
      </c>
    </row>
    <row r="42" spans="2:28" ht="9.9499999999999993" customHeight="1" x14ac:dyDescent="0.15">
      <c r="B42" s="35">
        <v>41675</v>
      </c>
      <c r="C42" s="32">
        <v>4552.8582818920968</v>
      </c>
      <c r="D42" s="32"/>
      <c r="E42" s="42">
        <f t="shared" si="20"/>
        <v>6.6288958997875666E-2</v>
      </c>
      <c r="F42" s="32">
        <v>2416.7399999999998</v>
      </c>
      <c r="G42" s="32"/>
      <c r="H42" s="42">
        <f t="shared" si="21"/>
        <v>5.7873512296750397E-2</v>
      </c>
      <c r="I42" s="37"/>
      <c r="J42" s="41">
        <f t="shared" si="15"/>
        <v>22261.435907710664</v>
      </c>
      <c r="K42" s="42"/>
      <c r="L42" s="42"/>
      <c r="M42" s="32">
        <v>5756.1913967770561</v>
      </c>
      <c r="N42" s="32"/>
      <c r="O42" s="42">
        <f t="shared" si="25"/>
        <v>6.2721374210310724E-2</v>
      </c>
      <c r="P42" s="42">
        <f t="shared" si="22"/>
        <v>6.3132055197879469E-2</v>
      </c>
      <c r="Q42" s="32"/>
      <c r="R42" s="32">
        <v>7548.1947835688652</v>
      </c>
      <c r="S42" s="32"/>
      <c r="T42" s="42">
        <f t="shared" si="26"/>
        <v>6.3698383813946657E-2</v>
      </c>
      <c r="U42" s="42">
        <f t="shared" si="23"/>
        <v>6.3132055197879469E-2</v>
      </c>
      <c r="V42" s="32">
        <v>8957.0497273647434</v>
      </c>
      <c r="W42" s="32"/>
      <c r="X42" s="42">
        <f t="shared" si="27"/>
        <v>6.4463786388801084E-2</v>
      </c>
      <c r="Y42" s="42">
        <f t="shared" si="24"/>
        <v>6.3132055197879469E-2</v>
      </c>
      <c r="Z42" s="35">
        <v>41671</v>
      </c>
      <c r="AB42" s="42">
        <f t="shared" si="16"/>
        <v>6.3009203141536907E-2</v>
      </c>
    </row>
    <row r="43" spans="2:28" ht="9.9499999999999993" customHeight="1" x14ac:dyDescent="0.15">
      <c r="B43" s="35">
        <v>41703</v>
      </c>
      <c r="C43" s="32">
        <v>5559.8715974806528</v>
      </c>
      <c r="D43" s="41">
        <f>SUM(C32:C43)</f>
        <v>68681.595385436929</v>
      </c>
      <c r="E43" s="42">
        <f t="shared" si="20"/>
        <v>8.0950927426118244E-2</v>
      </c>
      <c r="F43" s="31">
        <v>3025.7</v>
      </c>
      <c r="G43" s="41">
        <f>SUM(F32:F43)</f>
        <v>41759.439999999995</v>
      </c>
      <c r="H43" s="42">
        <f t="shared" si="21"/>
        <v>7.2456236978854852E-2</v>
      </c>
      <c r="I43" s="37"/>
      <c r="J43" s="41">
        <f t="shared" si="15"/>
        <v>28005.512275265144</v>
      </c>
      <c r="K43" s="42"/>
      <c r="L43" s="42"/>
      <c r="M43" s="32">
        <v>7241.4506184382763</v>
      </c>
      <c r="N43" s="41">
        <f>SUM(M32:M43)</f>
        <v>91177</v>
      </c>
      <c r="O43" s="42">
        <f t="shared" si="25"/>
        <v>7.8905252233075554E-2</v>
      </c>
      <c r="P43" s="42">
        <f t="shared" si="22"/>
        <v>7.9421900462159051E-2</v>
      </c>
      <c r="Q43" s="32"/>
      <c r="R43" s="32">
        <v>9495.8412630566618</v>
      </c>
      <c r="S43" s="41">
        <f>SUM(R32:R43)</f>
        <v>119562.00000000001</v>
      </c>
      <c r="T43" s="42">
        <f t="shared" si="26"/>
        <v>8.0134357784088145E-2</v>
      </c>
      <c r="U43" s="42">
        <f>R43/118655</f>
        <v>8.0029002259126555E-2</v>
      </c>
      <c r="V43" s="32">
        <v>11268.220393770203</v>
      </c>
      <c r="W43" s="41">
        <f>SUM(V32:V43)</f>
        <v>141878</v>
      </c>
      <c r="X43" s="42">
        <f t="shared" si="27"/>
        <v>8.109725574334245E-2</v>
      </c>
      <c r="Y43" s="42">
        <f t="shared" si="24"/>
        <v>7.9421900462159065E-2</v>
      </c>
      <c r="Z43" s="35">
        <v>41699</v>
      </c>
      <c r="AB43" s="42">
        <f t="shared" si="16"/>
        <v>7.8708806033095852E-2</v>
      </c>
    </row>
    <row r="44" spans="2:28" ht="9.9499999999999993" customHeight="1" x14ac:dyDescent="0.15">
      <c r="B44" s="35">
        <v>41739</v>
      </c>
      <c r="C44" s="32">
        <v>5397.9493997803338</v>
      </c>
      <c r="D44" s="32"/>
      <c r="E44" s="42">
        <f>C44/67624</f>
        <v>7.9822982961379602E-2</v>
      </c>
      <c r="F44" s="32">
        <v>3232.15</v>
      </c>
      <c r="G44" s="32"/>
      <c r="H44" s="42">
        <f>F44/41352</f>
        <v>7.8161878506480945E-2</v>
      </c>
      <c r="I44" s="37"/>
      <c r="J44" s="41">
        <f t="shared" si="15"/>
        <v>29204.565838092043</v>
      </c>
      <c r="K44" s="42"/>
      <c r="L44" s="42"/>
      <c r="M44" s="32">
        <v>7833.835950621431</v>
      </c>
      <c r="N44" s="32"/>
      <c r="O44" s="42">
        <f t="shared" si="25"/>
        <v>8.5360079658960392E-2</v>
      </c>
      <c r="P44" s="42">
        <f>M44/93707</f>
        <v>8.359926100100773E-2</v>
      </c>
      <c r="Q44" s="32"/>
      <c r="R44" s="32">
        <v>9919.4703140745714</v>
      </c>
      <c r="S44" s="32"/>
      <c r="T44" s="42">
        <f t="shared" si="26"/>
        <v>8.3709316653090504E-2</v>
      </c>
      <c r="U44" s="42">
        <f t="shared" ref="U44:U55" si="28">R44/118655</f>
        <v>8.359926100100773E-2</v>
      </c>
      <c r="V44" s="32">
        <v>11451.259573396037</v>
      </c>
      <c r="W44" s="32"/>
      <c r="X44" s="42">
        <f t="shared" si="27"/>
        <v>8.2414586665390671E-2</v>
      </c>
      <c r="Y44" s="42">
        <f>V44/138947</f>
        <v>8.2414586665390671E-2</v>
      </c>
      <c r="Z44" s="35">
        <v>41730</v>
      </c>
      <c r="AB44" s="42">
        <f t="shared" si="16"/>
        <v>8.1893768889060414E-2</v>
      </c>
    </row>
    <row r="45" spans="2:28" ht="9.9499999999999993" customHeight="1" x14ac:dyDescent="0.15">
      <c r="B45" s="35">
        <v>41773</v>
      </c>
      <c r="C45" s="32">
        <v>6125.4047820935002</v>
      </c>
      <c r="D45" s="32"/>
      <c r="E45" s="42">
        <f t="shared" ref="E45:E55" si="29">C45/67624</f>
        <v>9.0580338076622205E-2</v>
      </c>
      <c r="F45" s="31">
        <v>3633.7</v>
      </c>
      <c r="G45" s="32"/>
      <c r="H45" s="42">
        <f t="shared" ref="H45:H55" si="30">F45/41352</f>
        <v>8.7872412458889534E-2</v>
      </c>
      <c r="I45" s="37"/>
      <c r="J45" s="41">
        <f t="shared" si="15"/>
        <v>30105.61795191708</v>
      </c>
      <c r="K45" s="42"/>
      <c r="L45" s="42"/>
      <c r="M45" s="32">
        <v>8075.534268678919</v>
      </c>
      <c r="N45" s="32"/>
      <c r="O45" s="42">
        <f t="shared" si="25"/>
        <v>8.7993704847548537E-2</v>
      </c>
      <c r="P45" s="42">
        <f t="shared" ref="P45:P55" si="31">M45/93707</f>
        <v>8.6178559431834542E-2</v>
      </c>
      <c r="Q45" s="32"/>
      <c r="R45" s="32">
        <v>10225.516969384327</v>
      </c>
      <c r="S45" s="32"/>
      <c r="T45" s="42">
        <f t="shared" si="26"/>
        <v>8.6292010644683309E-2</v>
      </c>
      <c r="U45" s="42">
        <f t="shared" si="28"/>
        <v>8.6178559431834542E-2</v>
      </c>
      <c r="V45" s="32">
        <v>11804.566713853832</v>
      </c>
      <c r="W45" s="32"/>
      <c r="X45" s="42">
        <f t="shared" si="27"/>
        <v>8.495733419112203E-2</v>
      </c>
      <c r="Y45" s="42">
        <f t="shared" ref="Y45:Y55" si="32">V45/138947</f>
        <v>8.495733419112203E-2</v>
      </c>
      <c r="Z45" s="35">
        <v>41760</v>
      </c>
      <c r="AB45" s="42">
        <f t="shared" si="16"/>
        <v>8.7539160043773129E-2</v>
      </c>
    </row>
    <row r="46" spans="2:28" ht="9.9499999999999993" customHeight="1" x14ac:dyDescent="0.15">
      <c r="B46" s="35">
        <v>41801</v>
      </c>
      <c r="C46" s="32">
        <v>5858.5930028990097</v>
      </c>
      <c r="D46" s="32"/>
      <c r="E46" s="42">
        <f t="shared" si="29"/>
        <v>8.6634819042041428E-2</v>
      </c>
      <c r="F46" s="31">
        <v>3717.2</v>
      </c>
      <c r="G46" s="32"/>
      <c r="H46" s="42">
        <f t="shared" si="30"/>
        <v>8.9891661830141217E-2</v>
      </c>
      <c r="I46" s="37"/>
      <c r="J46" s="41">
        <f t="shared" si="15"/>
        <v>29497.931642593216</v>
      </c>
      <c r="K46" s="42"/>
      <c r="L46" s="42"/>
      <c r="M46" s="32">
        <v>7912.5284262680552</v>
      </c>
      <c r="N46" s="32"/>
      <c r="O46" s="42">
        <f t="shared" si="25"/>
        <v>8.6217539022686765E-2</v>
      </c>
      <c r="P46" s="42">
        <f t="shared" si="31"/>
        <v>8.4439032583137383E-2</v>
      </c>
      <c r="Q46" s="32"/>
      <c r="R46" s="32">
        <v>10019.113411152166</v>
      </c>
      <c r="S46" s="32"/>
      <c r="T46" s="42">
        <f t="shared" si="26"/>
        <v>8.4550193766632337E-2</v>
      </c>
      <c r="U46" s="42">
        <f t="shared" si="28"/>
        <v>8.4439032583137383E-2</v>
      </c>
      <c r="V46" s="32">
        <v>11566.289805172994</v>
      </c>
      <c r="W46" s="32"/>
      <c r="X46" s="42">
        <f t="shared" si="27"/>
        <v>8.3242457952838092E-2</v>
      </c>
      <c r="Y46" s="42">
        <f t="shared" si="32"/>
        <v>8.3242457952838092E-2</v>
      </c>
      <c r="Z46" s="35">
        <v>41791</v>
      </c>
      <c r="AB46" s="42">
        <f t="shared" si="16"/>
        <v>8.6107334322867962E-2</v>
      </c>
    </row>
    <row r="47" spans="2:28" ht="9.9499999999999993" customHeight="1" x14ac:dyDescent="0.15">
      <c r="B47" s="35">
        <v>41829</v>
      </c>
      <c r="C47" s="32">
        <v>6078.7755614467223</v>
      </c>
      <c r="D47" s="32"/>
      <c r="E47" s="42">
        <f t="shared" si="29"/>
        <v>8.989080151198868E-2</v>
      </c>
      <c r="F47" s="31">
        <v>3963.2</v>
      </c>
      <c r="G47" s="32"/>
      <c r="H47" s="42">
        <f t="shared" si="30"/>
        <v>9.5840588121493514E-2</v>
      </c>
      <c r="I47" s="37"/>
      <c r="J47" s="41">
        <f t="shared" si="15"/>
        <v>32669.425536254137</v>
      </c>
      <c r="K47" s="42"/>
      <c r="L47" s="42"/>
      <c r="M47" s="32">
        <v>8763.2502969192374</v>
      </c>
      <c r="N47" s="32"/>
      <c r="O47" s="42">
        <f t="shared" si="25"/>
        <v>9.5487287215542935E-2</v>
      </c>
      <c r="P47" s="42">
        <f t="shared" si="31"/>
        <v>9.3517563222803385E-2</v>
      </c>
      <c r="Q47" s="32"/>
      <c r="R47" s="32">
        <v>11096.326464201737</v>
      </c>
      <c r="S47" s="32"/>
      <c r="T47" s="42">
        <f t="shared" si="26"/>
        <v>9.3640675990529346E-2</v>
      </c>
      <c r="U47" s="42">
        <f t="shared" si="28"/>
        <v>9.3517563222803399E-2</v>
      </c>
      <c r="V47" s="32">
        <v>12809.848775133163</v>
      </c>
      <c r="W47" s="32"/>
      <c r="X47" s="42">
        <f t="shared" si="27"/>
        <v>9.2192337906778582E-2</v>
      </c>
      <c r="Y47" s="42">
        <f t="shared" si="32"/>
        <v>9.2192337906778582E-2</v>
      </c>
      <c r="Z47" s="35">
        <v>41821</v>
      </c>
      <c r="AB47" s="42">
        <f t="shared" si="16"/>
        <v>9.3410338149266622E-2</v>
      </c>
    </row>
    <row r="48" spans="2:28" ht="9.9499999999999993" customHeight="1" x14ac:dyDescent="0.15">
      <c r="B48" s="35">
        <v>41857</v>
      </c>
      <c r="C48" s="32">
        <v>6415.7542914436672</v>
      </c>
      <c r="D48" s="32"/>
      <c r="E48" s="42">
        <f t="shared" si="29"/>
        <v>9.4873924811363822E-2</v>
      </c>
      <c r="F48" s="32">
        <v>3892.13</v>
      </c>
      <c r="G48" s="32"/>
      <c r="H48" s="42">
        <f t="shared" si="30"/>
        <v>9.4121928806345526E-2</v>
      </c>
      <c r="I48" s="37"/>
      <c r="J48" s="41">
        <f t="shared" si="15"/>
        <v>31132.398267671193</v>
      </c>
      <c r="K48" s="42"/>
      <c r="L48" s="42"/>
      <c r="M48" s="32">
        <v>8350.9579334421032</v>
      </c>
      <c r="N48" s="41">
        <f>SUM(M37:M48)</f>
        <v>91774.029341846632</v>
      </c>
      <c r="O48" s="42">
        <f t="shared" si="25"/>
        <v>9.0994812620590837E-2</v>
      </c>
      <c r="P48" s="42">
        <f t="shared" si="31"/>
        <v>8.9117759969288349E-2</v>
      </c>
      <c r="Q48" s="32"/>
      <c r="R48" s="32">
        <v>10574.26780915591</v>
      </c>
      <c r="S48" s="41">
        <f>SUM(R37:R48)</f>
        <v>118499.35476013069</v>
      </c>
      <c r="T48" s="42">
        <f t="shared" si="26"/>
        <v>8.9235080542079764E-2</v>
      </c>
      <c r="U48" s="42">
        <f t="shared" si="28"/>
        <v>8.9117759969288363E-2</v>
      </c>
      <c r="V48" s="32">
        <v>12207.17252507318</v>
      </c>
      <c r="W48" s="41">
        <f>SUM(V37:V48)</f>
        <v>138946.61804695381</v>
      </c>
      <c r="X48" s="42">
        <f t="shared" si="27"/>
        <v>8.7854883697187997E-2</v>
      </c>
      <c r="Y48" s="42">
        <f t="shared" si="32"/>
        <v>8.7854883697187997E-2</v>
      </c>
      <c r="Z48" s="35">
        <v>41852</v>
      </c>
      <c r="AB48" s="42">
        <f t="shared" si="16"/>
        <v>9.141612609551357E-2</v>
      </c>
    </row>
    <row r="49" spans="2:28" ht="9.9499999999999993" customHeight="1" x14ac:dyDescent="0.15">
      <c r="B49" s="35">
        <v>41892</v>
      </c>
      <c r="C49" s="32">
        <v>5740.4185722325992</v>
      </c>
      <c r="D49" s="32"/>
      <c r="E49" s="42">
        <f t="shared" si="29"/>
        <v>8.488729699858924E-2</v>
      </c>
      <c r="F49" s="32">
        <v>3780.22</v>
      </c>
      <c r="G49" s="32"/>
      <c r="H49" s="42">
        <f t="shared" si="30"/>
        <v>9.1415650996324233E-2</v>
      </c>
      <c r="I49" s="37"/>
      <c r="J49" s="41">
        <f t="shared" si="15"/>
        <v>31292.701725130766</v>
      </c>
      <c r="K49" s="42"/>
      <c r="L49" s="42"/>
      <c r="M49" s="32">
        <v>8393.957750491867</v>
      </c>
      <c r="N49" s="32"/>
      <c r="O49" s="42">
        <f>M49/94827</f>
        <v>8.8518647120460064E-2</v>
      </c>
      <c r="P49" s="42">
        <f t="shared" si="31"/>
        <v>8.9576635155237783E-2</v>
      </c>
      <c r="Q49" s="32"/>
      <c r="R49" s="32">
        <v>10628.715644344738</v>
      </c>
      <c r="S49" s="32"/>
      <c r="T49" s="42">
        <f>R49/113756</f>
        <v>9.3434330007601693E-2</v>
      </c>
      <c r="U49" s="42">
        <f t="shared" si="28"/>
        <v>8.9576635155237783E-2</v>
      </c>
      <c r="V49" s="32">
        <v>12270.028330294161</v>
      </c>
      <c r="W49" s="32"/>
      <c r="X49" s="42">
        <f>V49/137220</f>
        <v>8.9418658579610552E-2</v>
      </c>
      <c r="Y49" s="42">
        <f t="shared" si="32"/>
        <v>8.8307256222114619E-2</v>
      </c>
      <c r="Z49" s="35">
        <v>41883</v>
      </c>
      <c r="AB49" s="42">
        <f t="shared" si="16"/>
        <v>8.9534916740517168E-2</v>
      </c>
    </row>
    <row r="50" spans="2:28" ht="9.9499999999999993" customHeight="1" x14ac:dyDescent="0.15">
      <c r="B50" s="35">
        <v>41920</v>
      </c>
      <c r="C50" s="32">
        <v>5844.0591464817899</v>
      </c>
      <c r="D50" s="32"/>
      <c r="E50" s="42">
        <f t="shared" si="29"/>
        <v>8.6419897469563911E-2</v>
      </c>
      <c r="F50" s="32">
        <v>3844.77</v>
      </c>
      <c r="G50" s="32"/>
      <c r="H50" s="42">
        <f t="shared" si="30"/>
        <v>9.2976639582124196E-2</v>
      </c>
      <c r="I50" s="37"/>
      <c r="J50" s="41">
        <f t="shared" si="15"/>
        <v>30638.915075099576</v>
      </c>
      <c r="K50" s="42"/>
      <c r="L50" s="42"/>
      <c r="M50" s="32">
        <v>8218.5859476222467</v>
      </c>
      <c r="N50" s="32"/>
      <c r="O50" s="42">
        <f t="shared" ref="O50:O60" si="33">M50/94827</f>
        <v>8.6669260312171079E-2</v>
      </c>
      <c r="P50" s="42">
        <f t="shared" si="31"/>
        <v>8.7705144200777393E-2</v>
      </c>
      <c r="Q50" s="32"/>
      <c r="R50" s="32">
        <v>10406.653885143241</v>
      </c>
      <c r="S50" s="32"/>
      <c r="T50" s="42">
        <f t="shared" ref="T50:T60" si="34">R50/113756</f>
        <v>9.1482241685214336E-2</v>
      </c>
      <c r="U50" s="42">
        <f t="shared" si="28"/>
        <v>8.7705144200777393E-2</v>
      </c>
      <c r="V50" s="32">
        <v>12013.675242334086</v>
      </c>
      <c r="W50" s="32"/>
      <c r="X50" s="42">
        <f t="shared" ref="X50:X60" si="35">V50/137220</f>
        <v>8.755046817034022E-2</v>
      </c>
      <c r="Y50" s="42">
        <f t="shared" si="32"/>
        <v>8.646228592437466E-2</v>
      </c>
      <c r="Z50" s="35">
        <v>41913</v>
      </c>
      <c r="AB50" s="42">
        <f t="shared" si="16"/>
        <v>8.9019701443882757E-2</v>
      </c>
    </row>
    <row r="51" spans="2:28" ht="9.9499999999999993" customHeight="1" x14ac:dyDescent="0.15">
      <c r="B51" s="35">
        <v>41948</v>
      </c>
      <c r="C51" s="32">
        <v>5455.4973707009112</v>
      </c>
      <c r="D51" s="32"/>
      <c r="E51" s="42">
        <f t="shared" si="29"/>
        <v>8.0673982176459713E-2</v>
      </c>
      <c r="F51" s="31">
        <v>3193.13</v>
      </c>
      <c r="G51" s="32"/>
      <c r="H51" s="42">
        <f t="shared" si="30"/>
        <v>7.7218272393112797E-2</v>
      </c>
      <c r="I51" s="37"/>
      <c r="J51" s="41">
        <f t="shared" si="15"/>
        <v>27477.898531599407</v>
      </c>
      <c r="K51" s="42"/>
      <c r="L51" s="42"/>
      <c r="M51" s="32">
        <v>7370.6745225298719</v>
      </c>
      <c r="N51" s="32"/>
      <c r="O51" s="42">
        <f t="shared" si="33"/>
        <v>7.7727593644530274E-2</v>
      </c>
      <c r="P51" s="42">
        <f t="shared" si="31"/>
        <v>7.865660540333029E-2</v>
      </c>
      <c r="Q51" s="32"/>
      <c r="R51" s="32">
        <v>9332.999514132156</v>
      </c>
      <c r="S51" s="32"/>
      <c r="T51" s="42">
        <f t="shared" si="34"/>
        <v>8.2044019780338234E-2</v>
      </c>
      <c r="U51" s="42">
        <f t="shared" si="28"/>
        <v>7.865660540333029E-2</v>
      </c>
      <c r="V51" s="32">
        <v>10774.224494937376</v>
      </c>
      <c r="W51" s="32"/>
      <c r="X51" s="42">
        <f t="shared" si="35"/>
        <v>7.8517887297313627E-2</v>
      </c>
      <c r="Y51" s="42">
        <f t="shared" si="32"/>
        <v>7.7541972802128697E-2</v>
      </c>
      <c r="Z51" s="35">
        <v>41944</v>
      </c>
      <c r="AB51" s="42">
        <f t="shared" si="16"/>
        <v>7.9236351058350932E-2</v>
      </c>
    </row>
    <row r="52" spans="2:28" ht="9.9499999999999993" customHeight="1" x14ac:dyDescent="0.15">
      <c r="B52" s="35">
        <v>41984</v>
      </c>
      <c r="C52" s="32">
        <v>5528.019789099938</v>
      </c>
      <c r="D52" s="32"/>
      <c r="E52" s="42">
        <f t="shared" si="29"/>
        <v>8.1746418270139856E-2</v>
      </c>
      <c r="F52" s="32">
        <v>3325.02</v>
      </c>
      <c r="G52" s="32"/>
      <c r="H52" s="42">
        <f t="shared" si="30"/>
        <v>8.0407719094602439E-2</v>
      </c>
      <c r="I52" s="37"/>
      <c r="J52" s="41">
        <f t="shared" si="15"/>
        <v>30038.562910888239</v>
      </c>
      <c r="K52" s="42"/>
      <c r="L52" s="42"/>
      <c r="M52" s="32">
        <v>8057.547417102548</v>
      </c>
      <c r="N52" s="32"/>
      <c r="O52" s="42">
        <f t="shared" si="33"/>
        <v>8.4971025310328782E-2</v>
      </c>
      <c r="P52" s="42">
        <f t="shared" si="31"/>
        <v>8.5986611641633473E-2</v>
      </c>
      <c r="Q52" s="32"/>
      <c r="R52" s="32">
        <v>10202.741404338019</v>
      </c>
      <c r="S52" s="32"/>
      <c r="T52" s="42">
        <f t="shared" si="34"/>
        <v>8.9689699043022084E-2</v>
      </c>
      <c r="U52" s="42">
        <f t="shared" si="28"/>
        <v>8.5986611641633473E-2</v>
      </c>
      <c r="V52" s="32">
        <v>11778.27408944767</v>
      </c>
      <c r="W52" s="32"/>
      <c r="X52" s="42">
        <f t="shared" si="35"/>
        <v>8.5834966400289092E-2</v>
      </c>
      <c r="Y52" s="42">
        <f t="shared" si="32"/>
        <v>8.4768106468276899E-2</v>
      </c>
      <c r="Z52" s="35">
        <v>41974</v>
      </c>
      <c r="AB52" s="42">
        <f t="shared" si="16"/>
        <v>8.4529965623676456E-2</v>
      </c>
    </row>
    <row r="53" spans="2:28" ht="9.9499999999999993" customHeight="1" x14ac:dyDescent="0.15">
      <c r="B53" s="35">
        <v>42012</v>
      </c>
      <c r="C53" s="32">
        <v>5222.633697634481</v>
      </c>
      <c r="D53" s="32"/>
      <c r="E53" s="42">
        <f t="shared" si="29"/>
        <v>7.7230475831575787E-2</v>
      </c>
      <c r="F53" s="31">
        <v>3093.86</v>
      </c>
      <c r="G53" s="32"/>
      <c r="H53" s="42">
        <f t="shared" si="30"/>
        <v>7.4817662990907335E-2</v>
      </c>
      <c r="I53" s="37"/>
      <c r="J53" s="41">
        <f t="shared" si="15"/>
        <v>26110.604335620708</v>
      </c>
      <c r="K53" s="42"/>
      <c r="L53" s="42"/>
      <c r="M53" s="32">
        <v>7003.9113771054272</v>
      </c>
      <c r="N53" s="32"/>
      <c r="O53" s="42">
        <f t="shared" si="33"/>
        <v>7.3859885656041291E-2</v>
      </c>
      <c r="P53" s="42">
        <f t="shared" si="31"/>
        <v>7.4742669993761696E-2</v>
      </c>
      <c r="Q53" s="32"/>
      <c r="R53" s="32">
        <v>8868.5915081097937</v>
      </c>
      <c r="S53" s="32"/>
      <c r="T53" s="42">
        <f t="shared" si="34"/>
        <v>7.7961527375345424E-2</v>
      </c>
      <c r="U53" s="42">
        <f t="shared" si="28"/>
        <v>7.4742669993761696E-2</v>
      </c>
      <c r="V53" s="32">
        <v>10238.101450405489</v>
      </c>
      <c r="W53" s="32"/>
      <c r="X53" s="42">
        <f t="shared" si="35"/>
        <v>7.4610854470233856E-2</v>
      </c>
      <c r="Y53" s="42">
        <f t="shared" si="32"/>
        <v>7.3683501265989826E-2</v>
      </c>
      <c r="Z53" s="35">
        <v>42005</v>
      </c>
      <c r="AB53" s="42">
        <f t="shared" si="16"/>
        <v>7.5696081264820719E-2</v>
      </c>
    </row>
    <row r="54" spans="2:28" ht="9.9499999999999993" customHeight="1" x14ac:dyDescent="0.15">
      <c r="B54" s="35">
        <v>42039</v>
      </c>
      <c r="C54" s="32">
        <v>4482.7598608583294</v>
      </c>
      <c r="D54" s="32"/>
      <c r="E54" s="42">
        <f t="shared" si="29"/>
        <v>6.6289480966200298E-2</v>
      </c>
      <c r="F54" s="31">
        <v>2539.4899999999998</v>
      </c>
      <c r="G54" s="32"/>
      <c r="H54" s="42">
        <f t="shared" si="30"/>
        <v>6.1411539949700132E-2</v>
      </c>
      <c r="I54" s="37"/>
      <c r="J54" s="41">
        <f t="shared" si="15"/>
        <v>22643.649167426462</v>
      </c>
      <c r="K54" s="42"/>
      <c r="L54" s="42"/>
      <c r="M54" s="32">
        <v>6073.9349416958585</v>
      </c>
      <c r="N54" s="32"/>
      <c r="O54" s="42">
        <f t="shared" si="33"/>
        <v>6.4052800802470375E-2</v>
      </c>
      <c r="P54" s="42">
        <f t="shared" si="31"/>
        <v>6.4818369403522244E-2</v>
      </c>
      <c r="Q54" s="32"/>
      <c r="R54" s="32">
        <v>7691.0236215749319</v>
      </c>
      <c r="S54" s="32"/>
      <c r="T54" s="42">
        <f t="shared" si="34"/>
        <v>6.7609828242685507E-2</v>
      </c>
      <c r="U54" s="42">
        <f t="shared" si="28"/>
        <v>6.4818369403522244E-2</v>
      </c>
      <c r="V54" s="32">
        <v>8878.6906041556704</v>
      </c>
      <c r="W54" s="32"/>
      <c r="X54" s="42">
        <f t="shared" si="35"/>
        <v>6.4704056290305137E-2</v>
      </c>
      <c r="Y54" s="42">
        <f t="shared" si="32"/>
        <v>6.3899836658263015E-2</v>
      </c>
      <c r="Z54" s="35">
        <v>42036</v>
      </c>
      <c r="AB54" s="42">
        <f t="shared" si="16"/>
        <v>6.4813541250272291E-2</v>
      </c>
    </row>
    <row r="55" spans="2:28" ht="9.9499999999999993" customHeight="1" x14ac:dyDescent="0.15">
      <c r="B55" s="35">
        <v>42067</v>
      </c>
      <c r="C55" s="32">
        <v>5474.268621063844</v>
      </c>
      <c r="D55" s="41">
        <f>SUM(C44:C55)</f>
        <v>67624.134095735135</v>
      </c>
      <c r="E55" s="42">
        <f t="shared" si="29"/>
        <v>8.0951564844786522E-2</v>
      </c>
      <c r="F55" s="31">
        <v>3137.62</v>
      </c>
      <c r="G55" s="41">
        <f>SUM(F44:F55)</f>
        <v>41352.490000000005</v>
      </c>
      <c r="H55" s="42">
        <f t="shared" si="30"/>
        <v>7.5875894757206422E-2</v>
      </c>
      <c r="I55" s="37"/>
      <c r="J55" s="41">
        <f t="shared" si="15"/>
        <v>28527.729017707181</v>
      </c>
      <c r="K55" s="42"/>
      <c r="L55" s="42"/>
      <c r="M55" s="32">
        <v>7652.2811675224339</v>
      </c>
      <c r="N55" s="41">
        <f>SUM(M44:M55)</f>
        <v>93707</v>
      </c>
      <c r="O55" s="42">
        <f t="shared" si="33"/>
        <v>8.0697282077071233E-2</v>
      </c>
      <c r="P55" s="42">
        <f t="shared" si="31"/>
        <v>8.1661787993665719E-2</v>
      </c>
      <c r="Q55" s="32"/>
      <c r="R55" s="32">
        <v>9689.5794543884058</v>
      </c>
      <c r="S55" s="41">
        <f>SUM(R44:R55)</f>
        <v>118654.99999999999</v>
      </c>
      <c r="T55" s="42">
        <f t="shared" si="34"/>
        <v>8.5178623144171781E-2</v>
      </c>
      <c r="U55" s="42">
        <f t="shared" si="28"/>
        <v>8.1661787993665719E-2</v>
      </c>
      <c r="V55" s="32">
        <v>11185.868395796344</v>
      </c>
      <c r="W55" s="41">
        <f>SUM(V44:V55)</f>
        <v>136977.99999999997</v>
      </c>
      <c r="X55" s="42">
        <f t="shared" si="35"/>
        <v>8.1517769973738108E-2</v>
      </c>
      <c r="Y55" s="42">
        <f t="shared" si="32"/>
        <v>8.0504569337922688E-2</v>
      </c>
      <c r="Z55" s="35">
        <v>42064</v>
      </c>
      <c r="AB55" s="42">
        <f t="shared" si="16"/>
        <v>8.0844226959394819E-2</v>
      </c>
    </row>
    <row r="56" spans="2:28" ht="9.9499999999999993" customHeight="1" x14ac:dyDescent="0.15">
      <c r="B56" s="35">
        <v>42095</v>
      </c>
      <c r="C56" s="32">
        <v>4911.22</v>
      </c>
      <c r="D56" s="32"/>
      <c r="E56" s="42">
        <f>C56/59766</f>
        <v>8.2174145835424831E-2</v>
      </c>
      <c r="F56" s="32">
        <v>3213.16</v>
      </c>
      <c r="G56" s="32"/>
      <c r="H56" s="42">
        <f>F56/40618</f>
        <v>7.9106799940912895E-2</v>
      </c>
      <c r="I56" s="37"/>
      <c r="J56" s="41">
        <f t="shared" si="15"/>
        <v>28392.12467885841</v>
      </c>
      <c r="K56" s="42"/>
      <c r="L56" s="42"/>
      <c r="M56" s="32">
        <v>8009.8359520671502</v>
      </c>
      <c r="N56" s="32"/>
      <c r="O56" s="42">
        <f t="shared" si="33"/>
        <v>8.4467883114167377E-2</v>
      </c>
      <c r="P56" s="42">
        <f>M56/97285</f>
        <v>8.2333720019192577E-2</v>
      </c>
      <c r="Q56" s="32"/>
      <c r="R56" s="32">
        <v>8939.3013173638155</v>
      </c>
      <c r="S56" s="32"/>
      <c r="T56" s="42">
        <f t="shared" si="34"/>
        <v>7.8583119284818523E-2</v>
      </c>
      <c r="U56" s="42">
        <f>R56/108574</f>
        <v>8.2333720019192577E-2</v>
      </c>
      <c r="V56" s="32">
        <v>11442.987409427442</v>
      </c>
      <c r="W56" s="32"/>
      <c r="X56" s="42">
        <f t="shared" si="35"/>
        <v>8.339154211796708E-2</v>
      </c>
      <c r="Y56" s="42">
        <f>V56/138983</f>
        <v>8.2333720019192577E-2</v>
      </c>
      <c r="Z56" s="35">
        <v>42095</v>
      </c>
      <c r="AB56" s="42">
        <f t="shared" si="16"/>
        <v>8.1544698058658133E-2</v>
      </c>
    </row>
    <row r="57" spans="2:28" ht="9.9499999999999993" customHeight="1" x14ac:dyDescent="0.15">
      <c r="B57" s="35">
        <v>42131</v>
      </c>
      <c r="C57" s="32">
        <v>5017.6899999999996</v>
      </c>
      <c r="D57" s="32"/>
      <c r="E57" s="42">
        <f t="shared" ref="E57:E67" si="36">C57/59766</f>
        <v>8.3955593481243512E-2</v>
      </c>
      <c r="F57" s="31">
        <v>3508.9</v>
      </c>
      <c r="G57" s="32"/>
      <c r="H57" s="42">
        <f t="shared" ref="H57:H67" si="37">F57/40618</f>
        <v>8.6387808360825255E-2</v>
      </c>
      <c r="I57" s="37"/>
      <c r="J57" s="41">
        <f t="shared" ref="J57:J88" si="38">V57+R57+M57</f>
        <v>28901.071735288224</v>
      </c>
      <c r="K57" s="42"/>
      <c r="L57" s="42"/>
      <c r="M57" s="32">
        <v>8153.4174020783857</v>
      </c>
      <c r="N57" s="32"/>
      <c r="O57" s="42">
        <f t="shared" si="33"/>
        <v>8.5982024128975779E-2</v>
      </c>
      <c r="P57" s="42">
        <f t="shared" ref="P57:P67" si="39">M57/97285</f>
        <v>8.3809604790855585E-2</v>
      </c>
      <c r="Q57" s="32"/>
      <c r="R57" s="32">
        <v>9099.5440305623542</v>
      </c>
      <c r="S57" s="32"/>
      <c r="T57" s="42">
        <f t="shared" si="34"/>
        <v>7.9991772131248945E-2</v>
      </c>
      <c r="U57" s="42">
        <f t="shared" ref="U57:U67" si="40">R57/108574</f>
        <v>8.3809604790855585E-2</v>
      </c>
      <c r="V57" s="32">
        <v>11648.110302647483</v>
      </c>
      <c r="W57" s="32"/>
      <c r="X57" s="42">
        <f t="shared" si="35"/>
        <v>8.4886389029642059E-2</v>
      </c>
      <c r="Y57" s="42">
        <f t="shared" ref="Y57:Y67" si="41">V57/138983</f>
        <v>8.3809604790855599E-2</v>
      </c>
      <c r="Z57" s="35">
        <v>42125</v>
      </c>
      <c r="AB57" s="42">
        <f t="shared" ref="AB57:AB88" si="42">AVERAGE(E57,O57,T57,X57,H57)</f>
        <v>8.4240717426387113E-2</v>
      </c>
    </row>
    <row r="58" spans="2:28" ht="9.9499999999999993" customHeight="1" x14ac:dyDescent="0.15">
      <c r="B58" s="35">
        <v>42158</v>
      </c>
      <c r="C58" s="32">
        <v>5245.7</v>
      </c>
      <c r="D58" s="32"/>
      <c r="E58" s="42">
        <f t="shared" si="36"/>
        <v>8.777063882474985E-2</v>
      </c>
      <c r="F58" s="31">
        <v>3648.39</v>
      </c>
      <c r="G58" s="32"/>
      <c r="H58" s="42">
        <f t="shared" si="37"/>
        <v>8.9822000098478502E-2</v>
      </c>
      <c r="I58" s="37"/>
      <c r="J58" s="41">
        <f t="shared" si="38"/>
        <v>29590.139972182911</v>
      </c>
      <c r="K58" s="42"/>
      <c r="L58" s="42"/>
      <c r="M58" s="32">
        <v>8347.8136862499778</v>
      </c>
      <c r="N58" s="32"/>
      <c r="O58" s="42">
        <f t="shared" si="33"/>
        <v>8.8032033980300739E-2</v>
      </c>
      <c r="P58" s="42">
        <f t="shared" si="39"/>
        <v>8.5807819152489875E-2</v>
      </c>
      <c r="Q58" s="32"/>
      <c r="R58" s="32">
        <v>9316.4981566624356</v>
      </c>
      <c r="S58" s="32"/>
      <c r="T58" s="42">
        <f t="shared" si="34"/>
        <v>8.1898960552959282E-2</v>
      </c>
      <c r="U58" s="42">
        <f t="shared" si="40"/>
        <v>8.5807819152489875E-2</v>
      </c>
      <c r="V58" s="32">
        <v>11925.8281292705</v>
      </c>
      <c r="W58" s="32"/>
      <c r="X58" s="42">
        <f t="shared" si="35"/>
        <v>8.6910276412115572E-2</v>
      </c>
      <c r="Y58" s="42">
        <f t="shared" si="41"/>
        <v>8.5807819152489875E-2</v>
      </c>
      <c r="Z58" s="35">
        <v>42156</v>
      </c>
      <c r="AB58" s="42">
        <f t="shared" si="42"/>
        <v>8.6886781973720795E-2</v>
      </c>
    </row>
    <row r="59" spans="2:28" ht="9.9499999999999993" customHeight="1" x14ac:dyDescent="0.15">
      <c r="B59" s="35">
        <v>42193</v>
      </c>
      <c r="C59" s="32">
        <v>5444.63</v>
      </c>
      <c r="D59" s="32"/>
      <c r="E59" s="42">
        <f t="shared" si="36"/>
        <v>9.1099119900947031E-2</v>
      </c>
      <c r="F59" s="31">
        <v>3828.38</v>
      </c>
      <c r="G59" s="32"/>
      <c r="H59" s="42">
        <f t="shared" si="37"/>
        <v>9.4253286720173329E-2</v>
      </c>
      <c r="I59" s="37"/>
      <c r="J59" s="41">
        <f t="shared" si="38"/>
        <v>31701.327761817705</v>
      </c>
      <c r="K59" s="42"/>
      <c r="L59" s="42"/>
      <c r="M59" s="32">
        <v>8943.4108122225116</v>
      </c>
      <c r="N59" s="32"/>
      <c r="O59" s="42">
        <f t="shared" si="33"/>
        <v>9.4312915226913346E-2</v>
      </c>
      <c r="P59" s="42">
        <f t="shared" si="39"/>
        <v>9.1930007834943844E-2</v>
      </c>
      <c r="Q59" s="32"/>
      <c r="R59" s="32">
        <v>9981.2086706711943</v>
      </c>
      <c r="S59" s="32"/>
      <c r="T59" s="42">
        <f t="shared" si="34"/>
        <v>8.7742261249263293E-2</v>
      </c>
      <c r="U59" s="42">
        <f t="shared" si="40"/>
        <v>9.1930007834943858E-2</v>
      </c>
      <c r="V59" s="32">
        <v>12776.708278924001</v>
      </c>
      <c r="W59" s="32"/>
      <c r="X59" s="42">
        <f t="shared" si="35"/>
        <v>9.3111122860545126E-2</v>
      </c>
      <c r="Y59" s="42">
        <f t="shared" si="41"/>
        <v>9.1930007834943844E-2</v>
      </c>
      <c r="Z59" s="35">
        <v>42186</v>
      </c>
      <c r="AB59" s="42">
        <f t="shared" si="42"/>
        <v>9.2103741191568417E-2</v>
      </c>
    </row>
    <row r="60" spans="2:28" ht="9.9499999999999993" customHeight="1" x14ac:dyDescent="0.15">
      <c r="B60" s="35">
        <v>42221</v>
      </c>
      <c r="C60" s="32">
        <v>5507.05</v>
      </c>
      <c r="D60" s="32"/>
      <c r="E60" s="42">
        <f t="shared" si="36"/>
        <v>9.2143526419703511E-2</v>
      </c>
      <c r="F60" s="32">
        <v>3788.74</v>
      </c>
      <c r="G60" s="32"/>
      <c r="H60" s="42">
        <f t="shared" si="37"/>
        <v>9.3277364715150912E-2</v>
      </c>
      <c r="I60" s="37"/>
      <c r="J60" s="41">
        <f t="shared" si="38"/>
        <v>30488.651442176291</v>
      </c>
      <c r="K60" s="42"/>
      <c r="L60" s="42"/>
      <c r="M60" s="32">
        <v>8601.2969868870987</v>
      </c>
      <c r="N60" s="41">
        <f>SUM(M49:M60)</f>
        <v>94826.667963575397</v>
      </c>
      <c r="O60" s="42">
        <f t="shared" si="33"/>
        <v>9.0705147129900757E-2</v>
      </c>
      <c r="P60" s="42">
        <f t="shared" si="39"/>
        <v>8.8413393502462856E-2</v>
      </c>
      <c r="Q60" s="32"/>
      <c r="R60" s="32">
        <v>9599.3957861364015</v>
      </c>
      <c r="S60" s="41">
        <f>SUM(R49:R60)</f>
        <v>113756.25299342749</v>
      </c>
      <c r="T60" s="42">
        <f t="shared" si="34"/>
        <v>8.4385841504064849E-2</v>
      </c>
      <c r="U60" s="42">
        <f t="shared" si="40"/>
        <v>8.8413393502462856E-2</v>
      </c>
      <c r="V60" s="32">
        <v>12287.958669152793</v>
      </c>
      <c r="W60" s="41">
        <f>SUM(V49:V60)</f>
        <v>137220.455396793</v>
      </c>
      <c r="X60" s="42">
        <f t="shared" si="35"/>
        <v>8.9549327132726952E-2</v>
      </c>
      <c r="Y60" s="42">
        <f t="shared" si="41"/>
        <v>8.8413393502462842E-2</v>
      </c>
      <c r="Z60" s="35">
        <v>42217</v>
      </c>
      <c r="AB60" s="42">
        <f t="shared" si="42"/>
        <v>9.0012241380309402E-2</v>
      </c>
    </row>
    <row r="61" spans="2:28" ht="9.9499999999999993" customHeight="1" x14ac:dyDescent="0.15">
      <c r="B61" s="35">
        <v>42249</v>
      </c>
      <c r="C61" s="32">
        <v>5124.37</v>
      </c>
      <c r="D61" s="32"/>
      <c r="E61" s="42">
        <f t="shared" si="36"/>
        <v>8.5740554830505633E-2</v>
      </c>
      <c r="F61" s="32">
        <v>3700.23</v>
      </c>
      <c r="G61" s="32"/>
      <c r="H61" s="42">
        <f t="shared" si="37"/>
        <v>9.1098281550051702E-2</v>
      </c>
      <c r="I61" s="37"/>
      <c r="J61" s="41">
        <f t="shared" si="38"/>
        <v>30795.485778665876</v>
      </c>
      <c r="K61" s="42"/>
      <c r="L61" s="42"/>
      <c r="M61" s="32">
        <v>8687.8594660090985</v>
      </c>
      <c r="N61" s="32"/>
      <c r="O61" s="42">
        <f>M61/96639</f>
        <v>8.9900138308644531E-2</v>
      </c>
      <c r="P61" s="42">
        <f t="shared" si="39"/>
        <v>8.9303175885379019E-2</v>
      </c>
      <c r="Q61" s="32"/>
      <c r="R61" s="32">
        <v>9696.003018579142</v>
      </c>
      <c r="S61" s="32"/>
      <c r="T61" s="42">
        <f>R61/104930</f>
        <v>9.2404488883819136E-2</v>
      </c>
      <c r="U61" s="42">
        <f t="shared" si="40"/>
        <v>8.9303175885379019E-2</v>
      </c>
      <c r="V61" s="32">
        <v>12411.623294077634</v>
      </c>
      <c r="W61" s="32"/>
      <c r="X61" s="42">
        <f>V61/143795</f>
        <v>8.6314707007042205E-2</v>
      </c>
      <c r="Y61" s="42">
        <f t="shared" si="41"/>
        <v>8.9303175885379033E-2</v>
      </c>
      <c r="Z61" s="35">
        <v>42248</v>
      </c>
      <c r="AB61" s="42">
        <f t="shared" si="42"/>
        <v>8.9091634116012647E-2</v>
      </c>
    </row>
    <row r="62" spans="2:28" ht="9.9499999999999993" customHeight="1" x14ac:dyDescent="0.15">
      <c r="B62" s="35">
        <v>42284</v>
      </c>
      <c r="C62" s="32">
        <v>5005.3</v>
      </c>
      <c r="D62" s="32"/>
      <c r="E62" s="42">
        <f t="shared" si="36"/>
        <v>8.3748284978081192E-2</v>
      </c>
      <c r="F62" s="31">
        <v>3571.69</v>
      </c>
      <c r="G62" s="32"/>
      <c r="H62" s="42">
        <f t="shared" si="37"/>
        <v>8.7933674725491157E-2</v>
      </c>
      <c r="I62" s="37"/>
      <c r="J62" s="41">
        <f t="shared" si="38"/>
        <v>29538.826380073733</v>
      </c>
      <c r="K62" s="42"/>
      <c r="L62" s="42"/>
      <c r="M62" s="32">
        <v>8333.3373672159232</v>
      </c>
      <c r="N62" s="32"/>
      <c r="O62" s="42">
        <f t="shared" ref="O62:O72" si="43">M62/96639</f>
        <v>8.6231618365421037E-2</v>
      </c>
      <c r="P62" s="42">
        <f t="shared" si="39"/>
        <v>8.5659015955346904E-2</v>
      </c>
      <c r="Q62" s="32"/>
      <c r="R62" s="32">
        <v>9300.3419983358344</v>
      </c>
      <c r="S62" s="32"/>
      <c r="T62" s="42">
        <f t="shared" ref="T62:T72" si="44">R62/104930</f>
        <v>8.8633774881690983E-2</v>
      </c>
      <c r="U62" s="42">
        <f t="shared" si="40"/>
        <v>8.5659015955346904E-2</v>
      </c>
      <c r="V62" s="32">
        <v>11905.147014521977</v>
      </c>
      <c r="W62" s="32"/>
      <c r="X62" s="42">
        <f t="shared" ref="X62:X72" si="45">V62/143795</f>
        <v>8.2792496363030543E-2</v>
      </c>
      <c r="Y62" s="42">
        <f t="shared" si="41"/>
        <v>8.565901595534689E-2</v>
      </c>
      <c r="Z62" s="35">
        <v>42278</v>
      </c>
      <c r="AB62" s="42">
        <f t="shared" si="42"/>
        <v>8.586796986274299E-2</v>
      </c>
    </row>
    <row r="63" spans="2:28" ht="9.9499999999999993" customHeight="1" x14ac:dyDescent="0.15">
      <c r="B63" s="35">
        <v>42312</v>
      </c>
      <c r="C63" s="32">
        <v>4810.2299999999996</v>
      </c>
      <c r="D63" s="32"/>
      <c r="E63" s="42">
        <f t="shared" si="36"/>
        <v>8.0484389117558466E-2</v>
      </c>
      <c r="F63" s="32">
        <v>3233.36</v>
      </c>
      <c r="G63" s="32"/>
      <c r="H63" s="42">
        <f t="shared" si="37"/>
        <v>7.9604116401595357E-2</v>
      </c>
      <c r="I63" s="37"/>
      <c r="J63" s="41">
        <f t="shared" si="38"/>
        <v>27977.427077322998</v>
      </c>
      <c r="K63" s="42"/>
      <c r="L63" s="42"/>
      <c r="M63" s="32">
        <v>7892.8436594654013</v>
      </c>
      <c r="N63" s="32"/>
      <c r="O63" s="42">
        <f t="shared" si="43"/>
        <v>8.167348233596583E-2</v>
      </c>
      <c r="P63" s="42">
        <f t="shared" si="39"/>
        <v>8.1131147242281973E-2</v>
      </c>
      <c r="Q63" s="32"/>
      <c r="R63" s="32">
        <v>8808.7331806835227</v>
      </c>
      <c r="S63" s="32"/>
      <c r="T63" s="42">
        <f t="shared" si="44"/>
        <v>8.394866273404672E-2</v>
      </c>
      <c r="U63" s="42">
        <f t="shared" si="40"/>
        <v>8.1131147242281973E-2</v>
      </c>
      <c r="V63" s="32">
        <v>11275.850237174076</v>
      </c>
      <c r="W63" s="32"/>
      <c r="X63" s="42">
        <f t="shared" si="45"/>
        <v>7.8416149637846072E-2</v>
      </c>
      <c r="Y63" s="42">
        <f t="shared" si="41"/>
        <v>8.1131147242281973E-2</v>
      </c>
      <c r="Z63" s="35">
        <v>42309</v>
      </c>
      <c r="AB63" s="42">
        <f t="shared" si="42"/>
        <v>8.0825360045402486E-2</v>
      </c>
    </row>
    <row r="64" spans="2:28" ht="9.9499999999999993" customHeight="1" x14ac:dyDescent="0.15">
      <c r="B64" s="35">
        <v>42340</v>
      </c>
      <c r="C64" s="32">
        <v>5090.9399999999996</v>
      </c>
      <c r="D64" s="32"/>
      <c r="E64" s="42">
        <f t="shared" si="36"/>
        <v>8.5181206706153992E-2</v>
      </c>
      <c r="F64" s="32">
        <v>3359.44</v>
      </c>
      <c r="G64" s="32"/>
      <c r="H64" s="42">
        <f t="shared" si="37"/>
        <v>8.2708158944310411E-2</v>
      </c>
      <c r="I64" s="37"/>
      <c r="J64" s="41">
        <f t="shared" si="38"/>
        <v>30357.749421489611</v>
      </c>
      <c r="K64" s="42"/>
      <c r="L64" s="42"/>
      <c r="M64" s="32">
        <v>8564.3676015961428</v>
      </c>
      <c r="N64" s="32"/>
      <c r="O64" s="42">
        <f t="shared" si="43"/>
        <v>8.8622270528421684E-2</v>
      </c>
      <c r="P64" s="42">
        <f t="shared" si="39"/>
        <v>8.8033793509751171E-2</v>
      </c>
      <c r="Q64" s="32"/>
      <c r="R64" s="32">
        <v>9558.1810965277236</v>
      </c>
      <c r="S64" s="32"/>
      <c r="T64" s="42">
        <f t="shared" si="44"/>
        <v>9.109102350641117E-2</v>
      </c>
      <c r="U64" s="42">
        <f t="shared" si="40"/>
        <v>8.8033793509751171E-2</v>
      </c>
      <c r="V64" s="32">
        <v>12235.200723365746</v>
      </c>
      <c r="W64" s="32"/>
      <c r="X64" s="42">
        <f t="shared" si="45"/>
        <v>8.508780363271147E-2</v>
      </c>
      <c r="Y64" s="42">
        <f t="shared" si="41"/>
        <v>8.8033793509751157E-2</v>
      </c>
      <c r="Z64" s="35">
        <v>42339</v>
      </c>
      <c r="AB64" s="42">
        <f t="shared" si="42"/>
        <v>8.6538092663601754E-2</v>
      </c>
    </row>
    <row r="65" spans="2:28" ht="9.9499999999999993" customHeight="1" x14ac:dyDescent="0.15">
      <c r="B65" s="35">
        <v>42375</v>
      </c>
      <c r="C65" s="32">
        <v>4515.71</v>
      </c>
      <c r="D65" s="32"/>
      <c r="E65" s="42">
        <f t="shared" si="36"/>
        <v>7.5556503697754573E-2</v>
      </c>
      <c r="F65" s="32">
        <v>2915.17</v>
      </c>
      <c r="G65" s="32"/>
      <c r="H65" s="42">
        <f t="shared" si="37"/>
        <v>7.1770397360776006E-2</v>
      </c>
      <c r="I65" s="37"/>
      <c r="J65" s="41">
        <f t="shared" si="38"/>
        <v>24933.169684233537</v>
      </c>
      <c r="K65" s="42"/>
      <c r="L65" s="42"/>
      <c r="M65" s="32">
        <v>7034.0138751389331</v>
      </c>
      <c r="N65" s="32"/>
      <c r="O65" s="42">
        <f t="shared" si="43"/>
        <v>7.2786492773506892E-2</v>
      </c>
      <c r="P65" s="42">
        <f t="shared" si="39"/>
        <v>7.230316981177913E-2</v>
      </c>
      <c r="Q65" s="32"/>
      <c r="R65" s="32">
        <v>7850.2443591441079</v>
      </c>
      <c r="S65" s="32"/>
      <c r="T65" s="42">
        <f t="shared" si="44"/>
        <v>7.4814108063891244E-2</v>
      </c>
      <c r="U65" s="42">
        <f t="shared" si="40"/>
        <v>7.230316981177913E-2</v>
      </c>
      <c r="V65" s="32">
        <v>10048.911449950499</v>
      </c>
      <c r="W65" s="32"/>
      <c r="X65" s="42">
        <f t="shared" si="45"/>
        <v>6.988359435272784E-2</v>
      </c>
      <c r="Y65" s="42">
        <f t="shared" si="41"/>
        <v>7.230316981177913E-2</v>
      </c>
      <c r="Z65" s="35">
        <v>42370</v>
      </c>
      <c r="AB65" s="42">
        <f t="shared" si="42"/>
        <v>7.2962219249731314E-2</v>
      </c>
    </row>
    <row r="66" spans="2:28" ht="9.9499999999999993" customHeight="1" x14ac:dyDescent="0.15">
      <c r="B66" s="35">
        <v>42403</v>
      </c>
      <c r="C66" s="32">
        <v>4193.24</v>
      </c>
      <c r="D66" s="32"/>
      <c r="E66" s="42">
        <f t="shared" si="36"/>
        <v>7.0160961081551385E-2</v>
      </c>
      <c r="F66" s="32">
        <v>2728.16</v>
      </c>
      <c r="G66" s="32"/>
      <c r="H66" s="42">
        <f t="shared" si="37"/>
        <v>6.716628095918066E-2</v>
      </c>
      <c r="I66" s="37"/>
      <c r="J66" s="41">
        <f t="shared" si="38"/>
        <v>23775.995821363278</v>
      </c>
      <c r="K66" s="42"/>
      <c r="L66" s="42"/>
      <c r="M66" s="32">
        <v>6707.5581091668846</v>
      </c>
      <c r="N66" s="32"/>
      <c r="O66" s="42">
        <f t="shared" si="43"/>
        <v>6.9408397325788601E-2</v>
      </c>
      <c r="P66" s="42">
        <f t="shared" si="39"/>
        <v>6.894750587620789E-2</v>
      </c>
      <c r="Q66" s="32"/>
      <c r="R66" s="32">
        <v>7485.9065030033953</v>
      </c>
      <c r="S66" s="32"/>
      <c r="T66" s="42">
        <f t="shared" si="44"/>
        <v>7.1341908920264888E-2</v>
      </c>
      <c r="U66" s="42">
        <f t="shared" si="40"/>
        <v>6.894750587620789E-2</v>
      </c>
      <c r="V66" s="32">
        <v>9582.5312091930009</v>
      </c>
      <c r="W66" s="32"/>
      <c r="X66" s="42">
        <f t="shared" si="45"/>
        <v>6.6640225384700449E-2</v>
      </c>
      <c r="Y66" s="42">
        <f t="shared" si="41"/>
        <v>6.894750587620789E-2</v>
      </c>
      <c r="Z66" s="35">
        <v>42401</v>
      </c>
      <c r="AB66" s="42">
        <f t="shared" si="42"/>
        <v>6.8943554734297183E-2</v>
      </c>
    </row>
    <row r="67" spans="2:28" ht="9.9499999999999993" customHeight="1" x14ac:dyDescent="0.15">
      <c r="B67" s="35">
        <v>42431</v>
      </c>
      <c r="C67" s="32">
        <v>4900.29</v>
      </c>
      <c r="D67" s="41">
        <f>SUM(C56:C67)</f>
        <v>59766.37</v>
      </c>
      <c r="E67" s="42">
        <f t="shared" si="36"/>
        <v>8.1991265937154903E-2</v>
      </c>
      <c r="F67" s="32">
        <v>3122.56</v>
      </c>
      <c r="G67" s="41">
        <f>SUM(F56:F67)</f>
        <v>40618.179999999993</v>
      </c>
      <c r="H67" s="42">
        <f t="shared" si="37"/>
        <v>7.6876261755871783E-2</v>
      </c>
      <c r="I67" s="37"/>
      <c r="J67" s="41">
        <f t="shared" si="38"/>
        <v>28390.030246527422</v>
      </c>
      <c r="K67" s="42"/>
      <c r="L67" s="42"/>
      <c r="M67" s="32">
        <v>8009.2450819024943</v>
      </c>
      <c r="N67" s="41">
        <f>SUM(M56:M67)</f>
        <v>97285</v>
      </c>
      <c r="O67" s="42">
        <f t="shared" si="43"/>
        <v>8.2877979717324204E-2</v>
      </c>
      <c r="P67" s="42">
        <f t="shared" si="39"/>
        <v>8.2327646419309189E-2</v>
      </c>
      <c r="Q67" s="32"/>
      <c r="R67" s="32">
        <v>8938.6418823300755</v>
      </c>
      <c r="S67" s="41">
        <f>SUM(R56:R67)</f>
        <v>108574.00000000001</v>
      </c>
      <c r="T67" s="42">
        <f t="shared" si="44"/>
        <v>8.5186713831412131E-2</v>
      </c>
      <c r="U67" s="42">
        <f t="shared" si="40"/>
        <v>8.2327646419309189E-2</v>
      </c>
      <c r="V67" s="32">
        <v>11442.143282294848</v>
      </c>
      <c r="W67" s="41">
        <f>SUM(V56:V67)</f>
        <v>138983</v>
      </c>
      <c r="X67" s="42">
        <f t="shared" si="45"/>
        <v>7.9572608799296549E-2</v>
      </c>
      <c r="Y67" s="42">
        <f t="shared" si="41"/>
        <v>8.2327646419309189E-2</v>
      </c>
      <c r="Z67" s="35">
        <v>42430</v>
      </c>
      <c r="AB67" s="42">
        <f t="shared" si="42"/>
        <v>8.1300966008211906E-2</v>
      </c>
    </row>
    <row r="68" spans="2:28" ht="9.9499999999999993" customHeight="1" x14ac:dyDescent="0.15">
      <c r="B68" s="35">
        <v>42461</v>
      </c>
      <c r="C68" s="32">
        <v>4802.12</v>
      </c>
      <c r="D68" s="32"/>
      <c r="E68" s="42">
        <f>C68/59719</f>
        <v>8.0411929201761587E-2</v>
      </c>
      <c r="F68" s="32">
        <v>3162.5</v>
      </c>
      <c r="G68" s="32"/>
      <c r="H68" s="42">
        <f>F68/40432</f>
        <v>7.8217748318163832E-2</v>
      </c>
      <c r="I68" s="37"/>
      <c r="J68" s="41">
        <f t="shared" si="38"/>
        <v>27232.268472520966</v>
      </c>
      <c r="K68" s="42"/>
      <c r="L68" s="42"/>
      <c r="M68" s="32">
        <v>7538.2372178224805</v>
      </c>
      <c r="N68" s="32"/>
      <c r="O68" s="42">
        <f t="shared" si="43"/>
        <v>7.8004089630713078E-2</v>
      </c>
      <c r="P68" s="42">
        <f>M68/94588</f>
        <v>7.9695492217009348E-2</v>
      </c>
      <c r="Q68" s="32"/>
      <c r="R68" s="32">
        <v>7880.8481388634045</v>
      </c>
      <c r="S68" s="32"/>
      <c r="T68" s="42">
        <f t="shared" si="44"/>
        <v>7.5105767071985172E-2</v>
      </c>
      <c r="U68" s="42">
        <f>R68/98887</f>
        <v>7.9695492217009362E-2</v>
      </c>
      <c r="V68" s="32">
        <v>11813.18311583508</v>
      </c>
      <c r="W68" s="32"/>
      <c r="X68" s="42">
        <f t="shared" si="45"/>
        <v>8.2152947709135088E-2</v>
      </c>
      <c r="Y68" s="42">
        <f>V68/148229</f>
        <v>7.9695492217009362E-2</v>
      </c>
      <c r="Z68" s="35">
        <v>42461</v>
      </c>
      <c r="AB68" s="42">
        <f t="shared" si="42"/>
        <v>7.8778496386351746E-2</v>
      </c>
    </row>
    <row r="69" spans="2:28" ht="9.9499999999999993" customHeight="1" x14ac:dyDescent="0.15">
      <c r="B69" s="35">
        <v>42492</v>
      </c>
      <c r="C69" s="32">
        <v>5502.55</v>
      </c>
      <c r="D69" s="32"/>
      <c r="E69" s="42">
        <f t="shared" ref="E69:E79" si="46">C69/59719</f>
        <v>9.2140692242000041E-2</v>
      </c>
      <c r="F69" s="32">
        <v>3654.06</v>
      </c>
      <c r="G69" s="32"/>
      <c r="H69" s="42">
        <f t="shared" ref="H69:H79" si="47">F69/40432</f>
        <v>9.0375445191927181E-2</v>
      </c>
      <c r="I69" s="37"/>
      <c r="J69" s="41">
        <f t="shared" si="38"/>
        <v>30036.962507249089</v>
      </c>
      <c r="K69" s="42"/>
      <c r="L69" s="42"/>
      <c r="M69" s="32">
        <v>8314.6120901004288</v>
      </c>
      <c r="N69" s="32"/>
      <c r="O69" s="42">
        <f t="shared" si="43"/>
        <v>8.6037853145214963E-2</v>
      </c>
      <c r="P69" s="42">
        <f t="shared" ref="P69:P79" si="48">M69/94588</f>
        <v>8.7903455936275521E-2</v>
      </c>
      <c r="Q69" s="32"/>
      <c r="R69" s="32">
        <v>8692.5090471704771</v>
      </c>
      <c r="S69" s="32"/>
      <c r="T69" s="42">
        <f t="shared" si="44"/>
        <v>8.2841027801110051E-2</v>
      </c>
      <c r="U69" s="42">
        <f t="shared" ref="U69:U79" si="49">R69/98887</f>
        <v>8.7903455936275521E-2</v>
      </c>
      <c r="V69" s="32">
        <v>13029.841369978183</v>
      </c>
      <c r="W69" s="32"/>
      <c r="X69" s="42">
        <f t="shared" si="45"/>
        <v>9.0614008623235737E-2</v>
      </c>
      <c r="Y69" s="42">
        <f t="shared" ref="Y69:Y79" si="50">V69/148229</f>
        <v>8.7903455936275507E-2</v>
      </c>
      <c r="Z69" s="35">
        <v>42491</v>
      </c>
      <c r="AB69" s="42">
        <f t="shared" si="42"/>
        <v>8.84018054006976E-2</v>
      </c>
    </row>
    <row r="70" spans="2:28" ht="9.9499999999999993" customHeight="1" x14ac:dyDescent="0.15">
      <c r="B70" s="35">
        <v>42522</v>
      </c>
      <c r="C70" s="32">
        <v>4991.43</v>
      </c>
      <c r="D70" s="32"/>
      <c r="E70" s="42">
        <f t="shared" si="46"/>
        <v>8.3581942095480505E-2</v>
      </c>
      <c r="F70" s="32">
        <v>3658.47</v>
      </c>
      <c r="G70" s="32"/>
      <c r="H70" s="42">
        <f t="shared" si="47"/>
        <v>9.0484517214087845E-2</v>
      </c>
      <c r="I70" s="37"/>
      <c r="J70" s="41">
        <f t="shared" si="38"/>
        <v>29714.029511848621</v>
      </c>
      <c r="K70" s="42"/>
      <c r="L70" s="42"/>
      <c r="M70" s="32">
        <v>8225.2201421895479</v>
      </c>
      <c r="N70" s="32"/>
      <c r="O70" s="42">
        <f t="shared" si="43"/>
        <v>8.5112844112517183E-2</v>
      </c>
      <c r="P70" s="42">
        <f t="shared" si="48"/>
        <v>8.6958389459440399E-2</v>
      </c>
      <c r="Q70" s="32"/>
      <c r="R70" s="32">
        <v>8599.0542584756822</v>
      </c>
      <c r="S70" s="32"/>
      <c r="T70" s="42">
        <f t="shared" si="44"/>
        <v>8.1950388434915492E-2</v>
      </c>
      <c r="U70" s="42">
        <f t="shared" si="49"/>
        <v>8.6958389459440399E-2</v>
      </c>
      <c r="V70" s="32">
        <v>12889.755111183389</v>
      </c>
      <c r="W70" s="32"/>
      <c r="X70" s="42">
        <f t="shared" si="45"/>
        <v>8.9639800488079485E-2</v>
      </c>
      <c r="Y70" s="42">
        <f t="shared" si="50"/>
        <v>8.6958389459440386E-2</v>
      </c>
      <c r="Z70" s="35">
        <v>42522</v>
      </c>
      <c r="AB70" s="42">
        <f t="shared" si="42"/>
        <v>8.6153898469016096E-2</v>
      </c>
    </row>
    <row r="71" spans="2:28" ht="9.9499999999999993" customHeight="1" x14ac:dyDescent="0.15">
      <c r="B71" s="35">
        <v>42552</v>
      </c>
      <c r="C71" s="32">
        <v>5226.55</v>
      </c>
      <c r="D71" s="32"/>
      <c r="E71" s="42">
        <f t="shared" si="46"/>
        <v>8.75190475393091E-2</v>
      </c>
      <c r="F71" s="32">
        <v>3848.64</v>
      </c>
      <c r="G71" s="32"/>
      <c r="H71" s="42">
        <f t="shared" si="47"/>
        <v>9.518796992481203E-2</v>
      </c>
      <c r="I71" s="37"/>
      <c r="J71" s="41">
        <f t="shared" si="38"/>
        <v>30565.398317904408</v>
      </c>
      <c r="K71" s="42"/>
      <c r="L71" s="42"/>
      <c r="M71" s="32">
        <v>8460.889823045507</v>
      </c>
      <c r="N71" s="32"/>
      <c r="O71" s="42">
        <f t="shared" si="43"/>
        <v>8.7551504289629517E-2</v>
      </c>
      <c r="P71" s="42">
        <f t="shared" si="48"/>
        <v>8.944992835291482E-2</v>
      </c>
      <c r="Q71" s="32"/>
      <c r="R71" s="32">
        <v>8845.4350650346878</v>
      </c>
      <c r="S71" s="32"/>
      <c r="T71" s="42">
        <f t="shared" si="44"/>
        <v>8.4298437673064788E-2</v>
      </c>
      <c r="U71" s="42">
        <f t="shared" si="49"/>
        <v>8.944992835291482E-2</v>
      </c>
      <c r="V71" s="32">
        <v>13259.073429824211</v>
      </c>
      <c r="W71" s="32"/>
      <c r="X71" s="42">
        <f t="shared" si="45"/>
        <v>9.2208167389855086E-2</v>
      </c>
      <c r="Y71" s="42">
        <f t="shared" si="50"/>
        <v>8.944992835291482E-2</v>
      </c>
      <c r="Z71" s="35">
        <v>42552</v>
      </c>
      <c r="AB71" s="42">
        <f t="shared" si="42"/>
        <v>8.9353025363334102E-2</v>
      </c>
    </row>
    <row r="72" spans="2:28" ht="9.9499999999999993" customHeight="1" x14ac:dyDescent="0.15">
      <c r="B72" s="35">
        <v>42585</v>
      </c>
      <c r="C72" s="32">
        <v>5805.25</v>
      </c>
      <c r="D72" s="32"/>
      <c r="E72" s="42">
        <f t="shared" si="46"/>
        <v>9.7209430834407806E-2</v>
      </c>
      <c r="F72" s="32">
        <v>3988.3</v>
      </c>
      <c r="G72" s="32"/>
      <c r="H72" s="42">
        <f t="shared" si="47"/>
        <v>9.864216462208153E-2</v>
      </c>
      <c r="I72" s="37"/>
      <c r="J72" s="41">
        <f t="shared" si="38"/>
        <v>32046.905858491638</v>
      </c>
      <c r="K72" s="42"/>
      <c r="L72" s="42"/>
      <c r="M72" s="32">
        <v>8870.9898957665318</v>
      </c>
      <c r="N72" s="41">
        <f>SUM(M61:M72)</f>
        <v>96639.174329419373</v>
      </c>
      <c r="O72" s="42">
        <f t="shared" si="43"/>
        <v>9.1795133390934633E-2</v>
      </c>
      <c r="P72" s="42">
        <f t="shared" si="48"/>
        <v>9.3785574235278599E-2</v>
      </c>
      <c r="Q72" s="32"/>
      <c r="R72" s="32">
        <v>9274.1740794039943</v>
      </c>
      <c r="S72" s="41">
        <f>SUM(R61:R72)</f>
        <v>104930.07262755206</v>
      </c>
      <c r="T72" s="42">
        <f t="shared" si="44"/>
        <v>8.8384390349795047E-2</v>
      </c>
      <c r="U72" s="42">
        <f t="shared" si="49"/>
        <v>9.3785574235278599E-2</v>
      </c>
      <c r="V72" s="32">
        <v>13901.74188332111</v>
      </c>
      <c r="W72" s="41">
        <f>SUM(V61:V72)</f>
        <v>143795.00212071976</v>
      </c>
      <c r="X72" s="42">
        <f t="shared" si="45"/>
        <v>9.6677505360555721E-2</v>
      </c>
      <c r="Y72" s="42">
        <f t="shared" si="50"/>
        <v>9.3785574235278599E-2</v>
      </c>
      <c r="Z72" s="35">
        <v>42583</v>
      </c>
      <c r="AB72" s="42">
        <f t="shared" si="42"/>
        <v>9.454172491155495E-2</v>
      </c>
    </row>
    <row r="73" spans="2:28" ht="9.9499999999999993" customHeight="1" x14ac:dyDescent="0.15">
      <c r="B73" s="35">
        <v>42614</v>
      </c>
      <c r="C73" s="32">
        <v>5310.79</v>
      </c>
      <c r="D73" s="32"/>
      <c r="E73" s="42">
        <f t="shared" si="46"/>
        <v>8.8929653878999981E-2</v>
      </c>
      <c r="F73" s="32">
        <v>3674.49</v>
      </c>
      <c r="G73" s="32"/>
      <c r="H73" s="42">
        <f t="shared" si="47"/>
        <v>9.0880738029283731E-2</v>
      </c>
      <c r="I73" s="37"/>
      <c r="J73" s="41">
        <f t="shared" si="38"/>
        <v>30283.356188804646</v>
      </c>
      <c r="K73" s="42"/>
      <c r="L73" s="42"/>
      <c r="M73" s="32">
        <v>8382.8169854220432</v>
      </c>
      <c r="N73" s="32"/>
      <c r="O73" s="32"/>
      <c r="P73" s="42">
        <f t="shared" si="48"/>
        <v>8.8624529384510126E-2</v>
      </c>
      <c r="Q73" s="32"/>
      <c r="R73" s="32">
        <v>8763.8138372460526</v>
      </c>
      <c r="S73" s="32"/>
      <c r="T73" s="32"/>
      <c r="U73" s="42">
        <f t="shared" si="49"/>
        <v>8.8624529384510126E-2</v>
      </c>
      <c r="V73" s="32">
        <v>13136.72536613655</v>
      </c>
      <c r="W73" s="32"/>
      <c r="X73" s="32"/>
      <c r="Y73" s="42">
        <f t="shared" si="50"/>
        <v>8.8624529384510112E-2</v>
      </c>
      <c r="Z73" s="35">
        <v>42614</v>
      </c>
      <c r="AB73" s="42">
        <f t="shared" si="42"/>
        <v>8.9905195954141856E-2</v>
      </c>
    </row>
    <row r="74" spans="2:28" ht="9.9499999999999993" customHeight="1" x14ac:dyDescent="0.15">
      <c r="B74" s="35">
        <v>42647</v>
      </c>
      <c r="C74" s="32">
        <v>4948.62</v>
      </c>
      <c r="D74" s="32"/>
      <c r="E74" s="42">
        <f t="shared" si="46"/>
        <v>8.2865084813878331E-2</v>
      </c>
      <c r="F74" s="32">
        <v>3668.54</v>
      </c>
      <c r="G74" s="32"/>
      <c r="H74" s="42">
        <f t="shared" si="47"/>
        <v>9.0733577364463788E-2</v>
      </c>
      <c r="I74" s="37"/>
      <c r="J74" s="41">
        <f t="shared" si="38"/>
        <v>29457.150992780062</v>
      </c>
      <c r="K74" s="42"/>
      <c r="L74" s="42"/>
      <c r="M74" s="32">
        <v>8154.1129108968007</v>
      </c>
      <c r="N74" s="32"/>
      <c r="O74" s="32"/>
      <c r="P74" s="42">
        <f t="shared" si="48"/>
        <v>8.6206632034685163E-2</v>
      </c>
      <c r="Q74" s="32"/>
      <c r="R74" s="32">
        <v>8524.7152220139124</v>
      </c>
      <c r="S74" s="32"/>
      <c r="T74" s="32"/>
      <c r="U74" s="42">
        <f t="shared" si="49"/>
        <v>8.6206632034685163E-2</v>
      </c>
      <c r="V74" s="32">
        <v>12778.322859869348</v>
      </c>
      <c r="W74" s="32"/>
      <c r="X74" s="32"/>
      <c r="Y74" s="42">
        <f t="shared" si="50"/>
        <v>8.6206632034685163E-2</v>
      </c>
      <c r="Z74" s="35">
        <v>42644</v>
      </c>
      <c r="AB74" s="42">
        <f t="shared" si="42"/>
        <v>8.6799331089171067E-2</v>
      </c>
    </row>
    <row r="75" spans="2:28" ht="9.9499999999999993" customHeight="1" x14ac:dyDescent="0.15">
      <c r="B75" s="35">
        <v>42678</v>
      </c>
      <c r="C75" s="32">
        <v>4702.2700000000004</v>
      </c>
      <c r="D75" s="32"/>
      <c r="E75" s="42">
        <f t="shared" si="46"/>
        <v>7.8739932014936634E-2</v>
      </c>
      <c r="F75" s="32">
        <v>3240.38</v>
      </c>
      <c r="G75" s="32"/>
      <c r="H75" s="42">
        <f t="shared" si="47"/>
        <v>8.0143945389790264E-2</v>
      </c>
      <c r="I75" s="37"/>
      <c r="J75" s="41">
        <f t="shared" si="38"/>
        <v>27966.207098431129</v>
      </c>
      <c r="K75" s="42"/>
      <c r="L75" s="42"/>
      <c r="M75" s="32">
        <v>7741.400735801757</v>
      </c>
      <c r="N75" s="32"/>
      <c r="O75" s="32"/>
      <c r="P75" s="42">
        <f t="shared" si="48"/>
        <v>8.1843370573452839E-2</v>
      </c>
      <c r="Q75" s="32"/>
      <c r="R75" s="32">
        <v>8093.2453858970312</v>
      </c>
      <c r="S75" s="32"/>
      <c r="T75" s="32"/>
      <c r="U75" s="42">
        <f t="shared" si="49"/>
        <v>8.1843370573452839E-2</v>
      </c>
      <c r="V75" s="32">
        <v>12131.56097673234</v>
      </c>
      <c r="W75" s="32"/>
      <c r="X75" s="32"/>
      <c r="Y75" s="42">
        <f t="shared" si="50"/>
        <v>8.1843370573452839E-2</v>
      </c>
      <c r="Z75" s="35">
        <v>42675</v>
      </c>
      <c r="AB75" s="42">
        <f t="shared" si="42"/>
        <v>7.9441938702363449E-2</v>
      </c>
    </row>
    <row r="76" spans="2:28" ht="9.9499999999999993" customHeight="1" x14ac:dyDescent="0.15">
      <c r="B76" s="35">
        <v>42705</v>
      </c>
      <c r="C76" s="32">
        <v>5076.05</v>
      </c>
      <c r="D76" s="32"/>
      <c r="E76" s="42">
        <f t="shared" si="46"/>
        <v>8.4998911569182337E-2</v>
      </c>
      <c r="F76" s="32">
        <v>3200.46</v>
      </c>
      <c r="G76" s="32"/>
      <c r="H76" s="42">
        <f t="shared" si="47"/>
        <v>7.915660862683023E-2</v>
      </c>
      <c r="I76" s="37"/>
      <c r="J76" s="41">
        <f t="shared" si="38"/>
        <v>28756.763846911505</v>
      </c>
      <c r="K76" s="42"/>
      <c r="L76" s="42"/>
      <c r="M76" s="32">
        <v>7960.2368680251484</v>
      </c>
      <c r="N76" s="32"/>
      <c r="O76" s="32"/>
      <c r="P76" s="42">
        <f t="shared" si="48"/>
        <v>8.4156942403107671E-2</v>
      </c>
      <c r="Q76" s="32"/>
      <c r="R76" s="32">
        <v>8322.027563416108</v>
      </c>
      <c r="S76" s="32"/>
      <c r="T76" s="32"/>
      <c r="U76" s="42">
        <f t="shared" si="49"/>
        <v>8.4156942403107671E-2</v>
      </c>
      <c r="V76" s="32">
        <v>12474.499415470247</v>
      </c>
      <c r="W76" s="32"/>
      <c r="X76" s="32"/>
      <c r="Y76" s="42">
        <f t="shared" si="50"/>
        <v>8.4156942403107671E-2</v>
      </c>
      <c r="Z76" s="35">
        <v>42705</v>
      </c>
      <c r="AB76" s="42">
        <f t="shared" si="42"/>
        <v>8.2077760098006283E-2</v>
      </c>
    </row>
    <row r="77" spans="2:28" ht="9.9499999999999993" customHeight="1" x14ac:dyDescent="0.15">
      <c r="B77" s="35">
        <v>42741</v>
      </c>
      <c r="C77" s="32">
        <v>4597.87</v>
      </c>
      <c r="D77" s="32"/>
      <c r="E77" s="42">
        <f t="shared" si="46"/>
        <v>7.6991744670875259E-2</v>
      </c>
      <c r="F77" s="32">
        <v>2885.05</v>
      </c>
      <c r="G77" s="32"/>
      <c r="H77" s="42">
        <f t="shared" si="47"/>
        <v>7.1355609418282548E-2</v>
      </c>
      <c r="I77" s="37"/>
      <c r="J77" s="41">
        <f t="shared" si="38"/>
        <v>25351.288622688349</v>
      </c>
      <c r="K77" s="42"/>
      <c r="L77" s="42"/>
      <c r="M77" s="32">
        <v>7017.5581446013075</v>
      </c>
      <c r="N77" s="32"/>
      <c r="O77" s="32"/>
      <c r="P77" s="42">
        <f t="shared" si="48"/>
        <v>7.4190786829209918E-2</v>
      </c>
      <c r="Q77" s="32"/>
      <c r="R77" s="32">
        <v>7336.5043371800812</v>
      </c>
      <c r="S77" s="32"/>
      <c r="T77" s="32"/>
      <c r="U77" s="42">
        <f t="shared" si="49"/>
        <v>7.4190786829209918E-2</v>
      </c>
      <c r="V77" s="32">
        <v>10997.226140906958</v>
      </c>
      <c r="W77" s="32"/>
      <c r="X77" s="32"/>
      <c r="Y77" s="42">
        <f t="shared" si="50"/>
        <v>7.4190786829209918E-2</v>
      </c>
      <c r="Z77" s="35">
        <v>42736</v>
      </c>
      <c r="AB77" s="42">
        <f t="shared" si="42"/>
        <v>7.4173677044578903E-2</v>
      </c>
    </row>
    <row r="78" spans="2:28" ht="9.9499999999999993" customHeight="1" x14ac:dyDescent="0.15">
      <c r="B78" s="35">
        <v>42767</v>
      </c>
      <c r="C78" s="32">
        <v>3936.52</v>
      </c>
      <c r="D78" s="32"/>
      <c r="E78" s="42">
        <f t="shared" si="46"/>
        <v>6.5917379728394648E-2</v>
      </c>
      <c r="F78" s="32">
        <v>2475.5</v>
      </c>
      <c r="G78" s="32"/>
      <c r="H78" s="42">
        <f t="shared" si="47"/>
        <v>6.1226256430550061E-2</v>
      </c>
      <c r="I78" s="37"/>
      <c r="J78" s="41">
        <f t="shared" si="38"/>
        <v>22734.273179442964</v>
      </c>
      <c r="K78" s="42"/>
      <c r="L78" s="42"/>
      <c r="M78" s="32">
        <v>6293.135086206632</v>
      </c>
      <c r="N78" s="32"/>
      <c r="O78" s="32"/>
      <c r="P78" s="42">
        <f t="shared" si="48"/>
        <v>6.6532066289662878E-2</v>
      </c>
      <c r="Q78" s="32"/>
      <c r="R78" s="32">
        <v>6579.1564391858929</v>
      </c>
      <c r="S78" s="32"/>
      <c r="T78" s="32"/>
      <c r="U78" s="42">
        <f t="shared" si="49"/>
        <v>6.6532066289662878E-2</v>
      </c>
      <c r="V78" s="32">
        <v>9861.981654050438</v>
      </c>
      <c r="W78" s="32"/>
      <c r="X78" s="32"/>
      <c r="Y78" s="42">
        <f t="shared" si="50"/>
        <v>6.6532066289662878E-2</v>
      </c>
      <c r="Z78" s="35">
        <v>42767</v>
      </c>
      <c r="AB78" s="42">
        <f t="shared" si="42"/>
        <v>6.3571818079472348E-2</v>
      </c>
    </row>
    <row r="79" spans="2:28" ht="9.9499999999999993" customHeight="1" x14ac:dyDescent="0.15">
      <c r="B79" s="35">
        <v>42797</v>
      </c>
      <c r="C79" s="32">
        <v>4818.8599999999997</v>
      </c>
      <c r="D79" s="41">
        <f>SUM(C68:C79)</f>
        <v>59718.880000000005</v>
      </c>
      <c r="E79" s="42">
        <f t="shared" si="46"/>
        <v>8.0692242000033484E-2</v>
      </c>
      <c r="F79" s="32">
        <v>2975.21</v>
      </c>
      <c r="G79" s="41">
        <f>SUM(F68:F79)</f>
        <v>40431.599999999999</v>
      </c>
      <c r="H79" s="42">
        <f t="shared" si="47"/>
        <v>7.3585526315789476E-2</v>
      </c>
      <c r="I79" s="37"/>
      <c r="J79" s="41">
        <f t="shared" si="38"/>
        <v>27559.395402926639</v>
      </c>
      <c r="K79" s="42"/>
      <c r="L79" s="42"/>
      <c r="M79" s="32">
        <v>7628.7901001218152</v>
      </c>
      <c r="N79" s="41">
        <f>SUM(M68:M79)</f>
        <v>94588</v>
      </c>
      <c r="O79" s="32"/>
      <c r="P79" s="42">
        <f t="shared" si="48"/>
        <v>8.0652832284452733E-2</v>
      </c>
      <c r="Q79" s="32"/>
      <c r="R79" s="32">
        <v>7975.5166261126778</v>
      </c>
      <c r="S79" s="41">
        <f>SUM(R68:R79)</f>
        <v>98887</v>
      </c>
      <c r="T79" s="32"/>
      <c r="U79" s="42">
        <f t="shared" si="49"/>
        <v>8.0652832284452733E-2</v>
      </c>
      <c r="V79" s="32">
        <v>11955.088676692145</v>
      </c>
      <c r="W79" s="41">
        <f>SUM(V68:V79)</f>
        <v>148229</v>
      </c>
      <c r="X79" s="32"/>
      <c r="Y79" s="42">
        <f t="shared" si="50"/>
        <v>8.0652832284452733E-2</v>
      </c>
      <c r="Z79" s="35">
        <v>42795</v>
      </c>
      <c r="AB79" s="42">
        <f t="shared" si="42"/>
        <v>7.713888415791148E-2</v>
      </c>
    </row>
    <row r="80" spans="2:28" ht="9.9499999999999993" customHeight="1" x14ac:dyDescent="0.15">
      <c r="B80" s="35">
        <v>42828</v>
      </c>
      <c r="C80" s="32">
        <v>4574.25</v>
      </c>
      <c r="D80" s="32"/>
      <c r="E80" s="42">
        <f>C80/60216</f>
        <v>7.5964029493822235E-2</v>
      </c>
      <c r="F80" s="32">
        <v>2943.86</v>
      </c>
      <c r="G80" s="32"/>
      <c r="H80" s="42">
        <f>F80/40748</f>
        <v>7.2245508982035925E-2</v>
      </c>
      <c r="I80" s="37"/>
      <c r="J80" s="41">
        <f t="shared" si="38"/>
        <v>24343.564904198178</v>
      </c>
      <c r="K80" s="37"/>
      <c r="L80" s="37"/>
      <c r="M80" s="53">
        <f>88886*AB80</f>
        <v>6586.8765184825643</v>
      </c>
      <c r="N80" s="32"/>
      <c r="O80" s="32"/>
      <c r="P80" s="32"/>
      <c r="Q80" s="32"/>
      <c r="R80" s="53">
        <f>116021*AB80</f>
        <v>8597.7094317537703</v>
      </c>
      <c r="S80" s="32"/>
      <c r="T80" s="32"/>
      <c r="U80" s="32"/>
      <c r="V80" s="53">
        <f>123595*AB80</f>
        <v>9158.978953961845</v>
      </c>
      <c r="W80" s="32"/>
      <c r="X80" s="37"/>
      <c r="Y80" s="37"/>
      <c r="Z80" s="35">
        <v>42826</v>
      </c>
      <c r="AB80" s="42">
        <f t="shared" si="42"/>
        <v>7.410476923792908E-2</v>
      </c>
    </row>
    <row r="81" spans="2:28" ht="9.9499999999999993" customHeight="1" x14ac:dyDescent="0.15">
      <c r="B81" s="35">
        <v>42857</v>
      </c>
      <c r="C81" s="32">
        <v>5535.09</v>
      </c>
      <c r="D81" s="32"/>
      <c r="E81" s="42">
        <f t="shared" ref="E81:E91" si="51">C81/60216</f>
        <v>9.1920585890793147E-2</v>
      </c>
      <c r="F81" s="32">
        <v>3705.96</v>
      </c>
      <c r="G81" s="32"/>
      <c r="H81" s="42">
        <f t="shared" ref="H81:H91" si="52">F81/40748</f>
        <v>9.094826739962697E-2</v>
      </c>
      <c r="I81" s="37"/>
      <c r="J81" s="41">
        <f t="shared" si="38"/>
        <v>30036.392021804797</v>
      </c>
      <c r="K81" s="37"/>
      <c r="L81" s="37"/>
      <c r="M81" s="53">
        <f t="shared" ref="M81:M91" si="53">88886*AB81</f>
        <v>8127.2404467861415</v>
      </c>
      <c r="N81" s="32"/>
      <c r="O81" s="32"/>
      <c r="P81" s="32"/>
      <c r="Q81" s="32"/>
      <c r="R81" s="53">
        <f t="shared" ref="R81:R91" si="54">116021*AB81</f>
        <v>10608.313613803917</v>
      </c>
      <c r="S81" s="32"/>
      <c r="T81" s="32"/>
      <c r="U81" s="32"/>
      <c r="V81" s="53">
        <f t="shared" ref="V81:V91" si="55">123595*AB81</f>
        <v>11300.837961214738</v>
      </c>
      <c r="W81" s="32"/>
      <c r="X81" s="37"/>
      <c r="Y81" s="37"/>
      <c r="Z81" s="35">
        <v>42856</v>
      </c>
      <c r="AB81" s="42">
        <f t="shared" si="42"/>
        <v>9.1434426645210065E-2</v>
      </c>
    </row>
    <row r="82" spans="2:28" ht="9.9499999999999993" customHeight="1" x14ac:dyDescent="0.15">
      <c r="B82" s="35">
        <v>42887</v>
      </c>
      <c r="C82" s="32">
        <v>5442.01</v>
      </c>
      <c r="D82" s="32"/>
      <c r="E82" s="42">
        <f t="shared" si="51"/>
        <v>9.0374817324299195E-2</v>
      </c>
      <c r="F82" s="32">
        <v>3770.52</v>
      </c>
      <c r="G82" s="32"/>
      <c r="H82" s="42">
        <f t="shared" si="52"/>
        <v>9.2532639638755271E-2</v>
      </c>
      <c r="I82" s="37"/>
      <c r="J82" s="41">
        <f t="shared" si="38"/>
        <v>30042.732713638659</v>
      </c>
      <c r="K82" s="37"/>
      <c r="L82" s="37"/>
      <c r="M82" s="53">
        <f t="shared" si="53"/>
        <v>8128.9561098090298</v>
      </c>
      <c r="N82" s="32"/>
      <c r="O82" s="32"/>
      <c r="P82" s="32"/>
      <c r="Q82" s="32"/>
      <c r="R82" s="53">
        <f t="shared" si="54"/>
        <v>10610.553032155271</v>
      </c>
      <c r="S82" s="32"/>
      <c r="T82" s="32"/>
      <c r="U82" s="32"/>
      <c r="V82" s="53">
        <f t="shared" si="55"/>
        <v>11303.223571674358</v>
      </c>
      <c r="W82" s="32"/>
      <c r="X82" s="37"/>
      <c r="Y82" s="37"/>
      <c r="Z82" s="35">
        <v>42887</v>
      </c>
      <c r="AB82" s="42">
        <f t="shared" si="42"/>
        <v>9.1453728481527233E-2</v>
      </c>
    </row>
    <row r="83" spans="2:28" ht="9.9499999999999993" customHeight="1" x14ac:dyDescent="0.15">
      <c r="B83" s="35">
        <v>42919</v>
      </c>
      <c r="C83" s="32">
        <v>5365.97</v>
      </c>
      <c r="D83" s="32"/>
      <c r="E83" s="42">
        <f t="shared" si="51"/>
        <v>8.911203002524247E-2</v>
      </c>
      <c r="F83" s="32">
        <v>3885.4</v>
      </c>
      <c r="G83" s="32"/>
      <c r="H83" s="42">
        <f t="shared" si="52"/>
        <v>9.5351919112594483E-2</v>
      </c>
      <c r="I83" s="37"/>
      <c r="J83" s="41">
        <f t="shared" si="38"/>
        <v>30298.388109838859</v>
      </c>
      <c r="K83" s="37"/>
      <c r="L83" s="37"/>
      <c r="M83" s="53">
        <f t="shared" si="53"/>
        <v>8198.1312915328872</v>
      </c>
      <c r="N83" s="32"/>
      <c r="O83" s="32"/>
      <c r="P83" s="32"/>
      <c r="Q83" s="32"/>
      <c r="R83" s="53">
        <f t="shared" si="54"/>
        <v>10700.84592146049</v>
      </c>
      <c r="S83" s="32"/>
      <c r="T83" s="32"/>
      <c r="U83" s="32"/>
      <c r="V83" s="53">
        <f t="shared" si="55"/>
        <v>11399.410896845478</v>
      </c>
      <c r="W83" s="32"/>
      <c r="X83" s="37"/>
      <c r="Y83" s="37"/>
      <c r="Z83" s="35">
        <v>42917</v>
      </c>
      <c r="AB83" s="42">
        <f t="shared" si="42"/>
        <v>9.2231974568918476E-2</v>
      </c>
    </row>
    <row r="84" spans="2:28" ht="9.9499999999999993" customHeight="1" x14ac:dyDescent="0.15">
      <c r="B84" s="35">
        <v>42948</v>
      </c>
      <c r="C84" s="32">
        <v>5947.22</v>
      </c>
      <c r="D84" s="32"/>
      <c r="E84" s="42">
        <f t="shared" si="51"/>
        <v>9.8764780124883753E-2</v>
      </c>
      <c r="F84" s="32">
        <v>4267.82</v>
      </c>
      <c r="G84" s="32"/>
      <c r="H84" s="42">
        <f t="shared" si="52"/>
        <v>0.10473691960341611</v>
      </c>
      <c r="I84" s="37"/>
      <c r="J84" s="41">
        <f t="shared" si="38"/>
        <v>33425.35768207298</v>
      </c>
      <c r="K84" s="37"/>
      <c r="L84" s="37"/>
      <c r="M84" s="53">
        <f t="shared" si="53"/>
        <v>9044.2260410248309</v>
      </c>
      <c r="N84" s="32"/>
      <c r="O84" s="32"/>
      <c r="P84" s="32"/>
      <c r="Q84" s="32"/>
      <c r="R84" s="53">
        <f t="shared" si="54"/>
        <v>11805.235352088539</v>
      </c>
      <c r="S84" s="32"/>
      <c r="T84" s="32"/>
      <c r="U84" s="32"/>
      <c r="V84" s="53">
        <f t="shared" si="55"/>
        <v>12575.89628895961</v>
      </c>
      <c r="W84" s="32"/>
      <c r="X84" s="37"/>
      <c r="Y84" s="37"/>
      <c r="Z84" s="35">
        <v>42948</v>
      </c>
      <c r="AB84" s="42">
        <f t="shared" si="42"/>
        <v>0.10175084986414992</v>
      </c>
    </row>
    <row r="85" spans="2:28" ht="9.9499999999999993" customHeight="1" x14ac:dyDescent="0.15">
      <c r="B85" s="35">
        <v>42979</v>
      </c>
      <c r="C85" s="32">
        <v>5135.9799999999996</v>
      </c>
      <c r="D85" s="32"/>
      <c r="E85" s="42">
        <f t="shared" si="51"/>
        <v>8.5292613258934502E-2</v>
      </c>
      <c r="F85" s="32">
        <v>3661.59</v>
      </c>
      <c r="G85" s="32"/>
      <c r="H85" s="42">
        <f t="shared" si="52"/>
        <v>8.9859379601452835E-2</v>
      </c>
      <c r="I85" s="37"/>
      <c r="J85" s="41">
        <f t="shared" si="38"/>
        <v>28768.889979311483</v>
      </c>
      <c r="K85" s="37"/>
      <c r="L85" s="37"/>
      <c r="M85" s="53">
        <f t="shared" si="53"/>
        <v>7784.280018694195</v>
      </c>
      <c r="N85" s="32"/>
      <c r="O85" s="32"/>
      <c r="P85" s="32"/>
      <c r="Q85" s="32"/>
      <c r="R85" s="53">
        <f t="shared" si="54"/>
        <v>10160.6546818275</v>
      </c>
      <c r="S85" s="32"/>
      <c r="T85" s="32"/>
      <c r="U85" s="32"/>
      <c r="V85" s="53">
        <f t="shared" si="55"/>
        <v>10823.955278789786</v>
      </c>
      <c r="W85" s="32"/>
      <c r="X85" s="37"/>
      <c r="Y85" s="37"/>
      <c r="Z85" s="35">
        <v>42979</v>
      </c>
      <c r="AB85" s="42">
        <f t="shared" si="42"/>
        <v>8.7575996430193676E-2</v>
      </c>
    </row>
    <row r="86" spans="2:28" ht="9.9499999999999993" customHeight="1" x14ac:dyDescent="0.15">
      <c r="B86" s="35">
        <v>43010</v>
      </c>
      <c r="C86" s="32">
        <v>5397.84</v>
      </c>
      <c r="D86" s="32"/>
      <c r="E86" s="42">
        <f t="shared" si="51"/>
        <v>8.964129135113591E-2</v>
      </c>
      <c r="F86" s="32">
        <v>3700.68</v>
      </c>
      <c r="G86" s="32"/>
      <c r="H86" s="42">
        <f t="shared" si="52"/>
        <v>9.0818690487876705E-2</v>
      </c>
      <c r="I86" s="37"/>
      <c r="J86" s="41">
        <f t="shared" si="38"/>
        <v>29640.732477039666</v>
      </c>
      <c r="K86" s="37"/>
      <c r="L86" s="37"/>
      <c r="M86" s="53">
        <f t="shared" si="53"/>
        <v>8020.1829728712382</v>
      </c>
      <c r="N86" s="32"/>
      <c r="O86" s="32"/>
      <c r="P86" s="32"/>
      <c r="Q86" s="32"/>
      <c r="R86" s="53">
        <f t="shared" si="54"/>
        <v>10468.573776472042</v>
      </c>
      <c r="S86" s="32"/>
      <c r="T86" s="32"/>
      <c r="U86" s="32"/>
      <c r="V86" s="53">
        <f t="shared" si="55"/>
        <v>11151.975727696383</v>
      </c>
      <c r="W86" s="32"/>
      <c r="X86" s="37"/>
      <c r="Y86" s="37"/>
      <c r="Z86" s="35">
        <v>43009</v>
      </c>
      <c r="AB86" s="42">
        <f t="shared" si="42"/>
        <v>9.0229990919506314E-2</v>
      </c>
    </row>
    <row r="87" spans="2:28" ht="9.9499999999999993" customHeight="1" x14ac:dyDescent="0.15">
      <c r="B87" s="35">
        <v>43055</v>
      </c>
      <c r="C87" s="32">
        <v>4808.5200000000004</v>
      </c>
      <c r="D87" s="32"/>
      <c r="E87" s="42">
        <f t="shared" si="51"/>
        <v>7.9854523714627354E-2</v>
      </c>
      <c r="F87" s="32">
        <v>3337.72</v>
      </c>
      <c r="G87" s="32"/>
      <c r="H87" s="42">
        <f t="shared" si="52"/>
        <v>8.1911259448316481E-2</v>
      </c>
      <c r="I87" s="37"/>
      <c r="J87" s="41">
        <f t="shared" si="38"/>
        <v>26570.191650296685</v>
      </c>
      <c r="K87" s="37"/>
      <c r="L87" s="37"/>
      <c r="M87" s="53">
        <f t="shared" si="53"/>
        <v>7189.3567011107125</v>
      </c>
      <c r="N87" s="32"/>
      <c r="O87" s="32"/>
      <c r="P87" s="32"/>
      <c r="Q87" s="32"/>
      <c r="R87" s="53">
        <f t="shared" si="54"/>
        <v>9384.1139641739519</v>
      </c>
      <c r="S87" s="32"/>
      <c r="T87" s="32"/>
      <c r="U87" s="32"/>
      <c r="V87" s="53">
        <f t="shared" si="55"/>
        <v>9996.7209850120216</v>
      </c>
      <c r="W87" s="32"/>
      <c r="X87" s="37"/>
      <c r="Y87" s="37"/>
      <c r="Z87" s="35">
        <v>43040</v>
      </c>
      <c r="AB87" s="42">
        <f t="shared" si="42"/>
        <v>8.0882891581471911E-2</v>
      </c>
    </row>
    <row r="88" spans="2:28" ht="9.9499999999999993" customHeight="1" x14ac:dyDescent="0.15">
      <c r="B88" s="35">
        <v>43070</v>
      </c>
      <c r="C88" s="32">
        <v>4770.28</v>
      </c>
      <c r="D88" s="32"/>
      <c r="E88" s="42">
        <f t="shared" si="51"/>
        <v>7.921947655108276E-2</v>
      </c>
      <c r="F88" s="32">
        <v>3094.41</v>
      </c>
      <c r="G88" s="32"/>
      <c r="H88" s="42">
        <f t="shared" si="52"/>
        <v>7.5940168842642583E-2</v>
      </c>
      <c r="I88" s="37"/>
      <c r="J88" s="41">
        <f t="shared" si="38"/>
        <v>25485.126915564779</v>
      </c>
      <c r="K88" s="37"/>
      <c r="L88" s="37"/>
      <c r="M88" s="53">
        <f t="shared" si="53"/>
        <v>6895.7601202333353</v>
      </c>
      <c r="N88" s="32"/>
      <c r="O88" s="32"/>
      <c r="P88" s="32"/>
      <c r="Q88" s="32"/>
      <c r="R88" s="53">
        <f t="shared" si="54"/>
        <v>9000.8886091127042</v>
      </c>
      <c r="S88" s="32"/>
      <c r="T88" s="32"/>
      <c r="U88" s="32"/>
      <c r="V88" s="53">
        <f t="shared" si="55"/>
        <v>9588.478186218741</v>
      </c>
      <c r="W88" s="32"/>
      <c r="X88" s="37"/>
      <c r="Y88" s="37"/>
      <c r="Z88" s="35">
        <v>43070</v>
      </c>
      <c r="AB88" s="42">
        <f t="shared" si="42"/>
        <v>7.7579822696862671E-2</v>
      </c>
    </row>
    <row r="89" spans="2:28" ht="9.9499999999999993" customHeight="1" x14ac:dyDescent="0.15">
      <c r="B89" s="35">
        <v>43105</v>
      </c>
      <c r="C89" s="32">
        <v>4593.75</v>
      </c>
      <c r="D89" s="32"/>
      <c r="E89" s="42">
        <f t="shared" si="51"/>
        <v>7.6287863690713428E-2</v>
      </c>
      <c r="F89" s="32">
        <v>2901.53</v>
      </c>
      <c r="G89" s="32"/>
      <c r="H89" s="42">
        <f t="shared" si="52"/>
        <v>7.1206684990674396E-2</v>
      </c>
      <c r="I89" s="37"/>
      <c r="J89" s="41">
        <f t="shared" ref="J89:J103" si="56">V89+R89+M89</f>
        <v>24226.127115466632</v>
      </c>
      <c r="K89" s="37"/>
      <c r="L89" s="37"/>
      <c r="M89" s="53">
        <f t="shared" si="53"/>
        <v>6555.1002270469198</v>
      </c>
      <c r="N89" s="32"/>
      <c r="O89" s="32"/>
      <c r="P89" s="32"/>
      <c r="Q89" s="32"/>
      <c r="R89" s="53">
        <f t="shared" si="54"/>
        <v>8556.2325162816487</v>
      </c>
      <c r="S89" s="32"/>
      <c r="T89" s="32"/>
      <c r="U89" s="32"/>
      <c r="V89" s="53">
        <f t="shared" si="55"/>
        <v>9114.7943721380652</v>
      </c>
      <c r="W89" s="32"/>
      <c r="X89" s="37"/>
      <c r="Y89" s="37"/>
      <c r="Z89" s="35">
        <v>43101</v>
      </c>
      <c r="AB89" s="42">
        <f t="shared" ref="AB89:AB103" si="57">AVERAGE(E89,O89,T89,X89,H89)</f>
        <v>7.3747274340693919E-2</v>
      </c>
    </row>
    <row r="90" spans="2:28" ht="9.9499999999999993" customHeight="1" x14ac:dyDescent="0.15">
      <c r="B90" s="35">
        <v>43132</v>
      </c>
      <c r="C90" s="32">
        <v>3827.41</v>
      </c>
      <c r="D90" s="32"/>
      <c r="E90" s="42">
        <f t="shared" si="51"/>
        <v>6.3561345821708512E-2</v>
      </c>
      <c r="F90" s="32">
        <v>2403.42</v>
      </c>
      <c r="G90" s="32"/>
      <c r="H90" s="42">
        <f t="shared" si="52"/>
        <v>5.8982526749779135E-2</v>
      </c>
      <c r="I90" s="37"/>
      <c r="J90" s="41">
        <f t="shared" si="56"/>
        <v>20127.953613739417</v>
      </c>
      <c r="K90" s="37"/>
      <c r="L90" s="37"/>
      <c r="M90" s="53">
        <f t="shared" si="53"/>
        <v>5446.2173286946254</v>
      </c>
      <c r="N90" s="32"/>
      <c r="O90" s="32"/>
      <c r="P90" s="32"/>
      <c r="Q90" s="32"/>
      <c r="R90" s="53">
        <f t="shared" si="54"/>
        <v>7108.8313198082842</v>
      </c>
      <c r="S90" s="32"/>
      <c r="T90" s="32"/>
      <c r="U90" s="32"/>
      <c r="V90" s="53">
        <f t="shared" si="55"/>
        <v>7572.9049652365075</v>
      </c>
      <c r="W90" s="32"/>
      <c r="X90" s="37"/>
      <c r="Y90" s="37"/>
      <c r="Z90" s="35">
        <v>43132</v>
      </c>
      <c r="AB90" s="42">
        <f t="shared" si="57"/>
        <v>6.1271936285743824E-2</v>
      </c>
    </row>
    <row r="91" spans="2:28" ht="9.9499999999999993" customHeight="1" x14ac:dyDescent="0.15">
      <c r="B91" s="35">
        <v>43160</v>
      </c>
      <c r="C91" s="32">
        <v>4817.8999999999996</v>
      </c>
      <c r="D91" s="41">
        <f>SUM(C80:C91)</f>
        <v>60216.220000000008</v>
      </c>
      <c r="E91" s="42">
        <f t="shared" si="51"/>
        <v>8.0010296266772946E-2</v>
      </c>
      <c r="F91" s="32">
        <v>3074.8</v>
      </c>
      <c r="G91" s="41">
        <f>SUM(F80:F91)</f>
        <v>40747.71</v>
      </c>
      <c r="H91" s="42">
        <f t="shared" si="52"/>
        <v>7.5458918229115546E-2</v>
      </c>
      <c r="I91" s="37"/>
      <c r="J91" s="41">
        <f t="shared" si="56"/>
        <v>25535.973950164182</v>
      </c>
      <c r="K91" s="53">
        <f>W91+S91+N91</f>
        <v>328502</v>
      </c>
      <c r="L91" s="37"/>
      <c r="M91" s="53">
        <f t="shared" si="53"/>
        <v>6909.5182998407727</v>
      </c>
      <c r="N91" s="90">
        <v>88886</v>
      </c>
      <c r="O91" s="32"/>
      <c r="P91" s="32"/>
      <c r="Q91" s="32"/>
      <c r="R91" s="53">
        <f t="shared" si="54"/>
        <v>9018.8468675137392</v>
      </c>
      <c r="S91" s="90">
        <v>116021</v>
      </c>
      <c r="T91" s="32"/>
      <c r="U91" s="32"/>
      <c r="V91" s="53">
        <f t="shared" si="55"/>
        <v>9607.6087828096697</v>
      </c>
      <c r="W91" s="90">
        <v>123595</v>
      </c>
      <c r="X91" s="37"/>
      <c r="Y91" s="37"/>
      <c r="Z91" s="35">
        <v>43160</v>
      </c>
      <c r="AB91" s="42">
        <f t="shared" si="57"/>
        <v>7.7734607247944246E-2</v>
      </c>
    </row>
    <row r="92" spans="2:28" ht="9.9499999999999993" customHeight="1" x14ac:dyDescent="0.15">
      <c r="B92" s="35">
        <v>43192</v>
      </c>
      <c r="C92" s="32">
        <v>4824.92</v>
      </c>
      <c r="D92" s="32"/>
      <c r="E92" s="42">
        <f>C92/58890</f>
        <v>8.1931057904567839E-2</v>
      </c>
      <c r="F92" s="31">
        <v>2997.38</v>
      </c>
      <c r="G92" s="32"/>
      <c r="H92" s="42">
        <f>F92/40445</f>
        <v>7.4110025961181852E-2</v>
      </c>
      <c r="I92" s="37"/>
      <c r="J92" s="41">
        <f t="shared" si="56"/>
        <v>29059</v>
      </c>
      <c r="K92" s="37"/>
      <c r="L92" s="37"/>
      <c r="M92" s="32">
        <v>8260</v>
      </c>
      <c r="N92" s="32"/>
      <c r="O92" s="32"/>
      <c r="P92" s="32"/>
      <c r="Q92" s="32"/>
      <c r="R92" s="32">
        <v>7180</v>
      </c>
      <c r="S92" s="32"/>
      <c r="T92" s="32"/>
      <c r="U92" s="32"/>
      <c r="V92" s="32">
        <v>13619</v>
      </c>
      <c r="W92" s="32"/>
      <c r="X92" s="37"/>
      <c r="Y92" s="37"/>
      <c r="Z92" s="35">
        <v>43191</v>
      </c>
      <c r="AB92" s="42">
        <f t="shared" si="57"/>
        <v>7.8020541932874846E-2</v>
      </c>
    </row>
    <row r="93" spans="2:28" ht="9.9499999999999993" customHeight="1" x14ac:dyDescent="0.15">
      <c r="B93" s="35">
        <v>43221</v>
      </c>
      <c r="C93" s="32">
        <v>5632.88</v>
      </c>
      <c r="D93" s="32"/>
      <c r="E93" s="42">
        <f t="shared" ref="E93:E103" si="58">C93/58890</f>
        <v>9.5650874511801667E-2</v>
      </c>
      <c r="F93" s="31">
        <v>3801.51</v>
      </c>
      <c r="G93" s="32"/>
      <c r="H93" s="42">
        <f t="shared" ref="H93:H103" si="59">F93/40445</f>
        <v>9.3992088020768957E-2</v>
      </c>
      <c r="I93" s="37"/>
      <c r="J93" s="41">
        <f t="shared" si="56"/>
        <v>26089</v>
      </c>
      <c r="K93" s="37"/>
      <c r="L93" s="37"/>
      <c r="M93" s="32">
        <v>5792</v>
      </c>
      <c r="N93" s="32"/>
      <c r="O93" s="32"/>
      <c r="P93" s="32"/>
      <c r="Q93" s="32"/>
      <c r="R93" s="32">
        <v>8158</v>
      </c>
      <c r="S93" s="32"/>
      <c r="T93" s="32"/>
      <c r="U93" s="32"/>
      <c r="V93" s="32">
        <v>12139</v>
      </c>
      <c r="W93" s="32"/>
      <c r="X93" s="37"/>
      <c r="Y93" s="37"/>
      <c r="Z93" s="35">
        <v>43221</v>
      </c>
      <c r="AB93" s="42">
        <f t="shared" si="57"/>
        <v>9.4821481266285312E-2</v>
      </c>
    </row>
    <row r="94" spans="2:28" ht="9.9499999999999993" customHeight="1" x14ac:dyDescent="0.15">
      <c r="B94" s="35">
        <v>43252</v>
      </c>
      <c r="C94" s="32">
        <v>5064.37</v>
      </c>
      <c r="D94" s="32"/>
      <c r="E94" s="42">
        <f t="shared" si="58"/>
        <v>8.5997113262013924E-2</v>
      </c>
      <c r="F94" s="32">
        <v>3646.96</v>
      </c>
      <c r="G94" s="32"/>
      <c r="H94" s="42">
        <f t="shared" si="59"/>
        <v>9.0170849301520584E-2</v>
      </c>
      <c r="I94" s="37"/>
      <c r="J94" s="41">
        <f t="shared" si="56"/>
        <v>23505</v>
      </c>
      <c r="K94" s="37"/>
      <c r="L94" s="37"/>
      <c r="M94" s="32">
        <v>9199</v>
      </c>
      <c r="N94" s="32"/>
      <c r="O94" s="32"/>
      <c r="P94" s="32"/>
      <c r="Q94" s="32"/>
      <c r="R94" s="89">
        <v>2246</v>
      </c>
      <c r="S94" s="32"/>
      <c r="T94" s="32"/>
      <c r="U94" s="32"/>
      <c r="V94" s="32">
        <v>12060</v>
      </c>
      <c r="W94" s="32"/>
      <c r="X94" s="37"/>
      <c r="Y94" s="37"/>
      <c r="Z94" s="35">
        <v>43252</v>
      </c>
      <c r="AB94" s="42">
        <f t="shared" si="57"/>
        <v>8.8083981281767254E-2</v>
      </c>
    </row>
    <row r="95" spans="2:28" ht="9.9499999999999993" customHeight="1" x14ac:dyDescent="0.15">
      <c r="B95" s="35">
        <v>43283</v>
      </c>
      <c r="C95" s="32">
        <v>5485.96</v>
      </c>
      <c r="D95" s="32"/>
      <c r="E95" s="42">
        <f t="shared" si="58"/>
        <v>9.3156053659364912E-2</v>
      </c>
      <c r="F95" s="32">
        <v>3865.93</v>
      </c>
      <c r="G95" s="32"/>
      <c r="H95" s="42">
        <f t="shared" si="59"/>
        <v>9.5584868339720602E-2</v>
      </c>
      <c r="I95" s="37"/>
      <c r="J95" s="41">
        <f t="shared" si="56"/>
        <v>23312</v>
      </c>
      <c r="K95" s="37"/>
      <c r="L95" s="37"/>
      <c r="M95" s="32">
        <v>5673</v>
      </c>
      <c r="N95" s="32"/>
      <c r="O95" s="32"/>
      <c r="P95" s="32"/>
      <c r="Q95" s="32"/>
      <c r="R95" s="32">
        <v>8431</v>
      </c>
      <c r="S95" s="32"/>
      <c r="T95" s="32"/>
      <c r="U95" s="32"/>
      <c r="V95" s="32">
        <v>9208</v>
      </c>
      <c r="W95" s="32"/>
      <c r="X95" s="37"/>
      <c r="Y95" s="37"/>
      <c r="Z95" s="35">
        <v>43282</v>
      </c>
      <c r="AB95" s="42">
        <f t="shared" si="57"/>
        <v>9.4370460999542757E-2</v>
      </c>
    </row>
    <row r="96" spans="2:28" ht="9.9499999999999993" customHeight="1" x14ac:dyDescent="0.15">
      <c r="B96" s="35">
        <v>43313</v>
      </c>
      <c r="C96" s="32">
        <v>5456.73</v>
      </c>
      <c r="D96" s="32"/>
      <c r="E96" s="42">
        <f t="shared" si="58"/>
        <v>9.2659704533876716E-2</v>
      </c>
      <c r="F96" s="32">
        <v>3797.17</v>
      </c>
      <c r="G96" s="32"/>
      <c r="H96" s="42">
        <f t="shared" si="59"/>
        <v>9.3884781802447775E-2</v>
      </c>
      <c r="I96" s="37"/>
      <c r="J96" s="41">
        <f t="shared" si="56"/>
        <v>30577</v>
      </c>
      <c r="K96" s="37"/>
      <c r="L96" s="37"/>
      <c r="M96" s="32">
        <v>9118</v>
      </c>
      <c r="N96" s="32"/>
      <c r="O96" s="32"/>
      <c r="P96" s="32"/>
      <c r="Q96" s="32"/>
      <c r="R96" s="32">
        <v>9175</v>
      </c>
      <c r="S96" s="32"/>
      <c r="T96" s="32"/>
      <c r="U96" s="32"/>
      <c r="V96" s="32">
        <v>12284</v>
      </c>
      <c r="W96" s="32"/>
      <c r="X96" s="37"/>
      <c r="Y96" s="37"/>
      <c r="Z96" s="35">
        <v>43313</v>
      </c>
      <c r="AB96" s="42">
        <f t="shared" si="57"/>
        <v>9.3272243168162239E-2</v>
      </c>
    </row>
    <row r="97" spans="2:28" ht="9.9499999999999993" customHeight="1" x14ac:dyDescent="0.15">
      <c r="B97" s="35">
        <v>43346</v>
      </c>
      <c r="C97" s="32">
        <v>4753.95</v>
      </c>
      <c r="D97" s="32"/>
      <c r="E97" s="42">
        <f t="shared" si="58"/>
        <v>8.0725929699439633E-2</v>
      </c>
      <c r="F97" s="32">
        <v>3534.99</v>
      </c>
      <c r="G97" s="32"/>
      <c r="H97" s="42">
        <f t="shared" si="59"/>
        <v>8.7402398318704402E-2</v>
      </c>
      <c r="I97" s="37"/>
      <c r="J97" s="41">
        <f t="shared" si="56"/>
        <v>34448</v>
      </c>
      <c r="K97" s="37"/>
      <c r="L97" s="37"/>
      <c r="M97" s="32">
        <v>5957</v>
      </c>
      <c r="N97" s="32"/>
      <c r="O97" s="32"/>
      <c r="P97" s="32"/>
      <c r="Q97" s="32"/>
      <c r="R97" s="32">
        <v>16153</v>
      </c>
      <c r="S97" s="32"/>
      <c r="T97" s="32"/>
      <c r="U97" s="32"/>
      <c r="V97" s="32">
        <v>12338</v>
      </c>
      <c r="W97" s="32"/>
      <c r="X97" s="37"/>
      <c r="Y97" s="37"/>
      <c r="Z97" s="35">
        <v>43344</v>
      </c>
      <c r="AB97" s="42">
        <f t="shared" si="57"/>
        <v>8.4064164009072018E-2</v>
      </c>
    </row>
    <row r="98" spans="2:28" ht="9.9499999999999993" customHeight="1" x14ac:dyDescent="0.15">
      <c r="B98" s="35">
        <v>43374</v>
      </c>
      <c r="C98" s="32">
        <v>5340.29</v>
      </c>
      <c r="D98" s="32"/>
      <c r="E98" s="42">
        <f t="shared" si="58"/>
        <v>9.068245882153167E-2</v>
      </c>
      <c r="F98" s="32">
        <v>3963.28</v>
      </c>
      <c r="G98" s="32"/>
      <c r="H98" s="42">
        <f t="shared" si="59"/>
        <v>9.7991840771417982E-2</v>
      </c>
      <c r="I98" s="37"/>
      <c r="J98" s="41">
        <f t="shared" si="56"/>
        <v>22363</v>
      </c>
      <c r="K98" s="37"/>
      <c r="L98" s="37"/>
      <c r="M98" s="32">
        <v>7116</v>
      </c>
      <c r="N98" s="32"/>
      <c r="O98" s="32"/>
      <c r="P98" s="32"/>
      <c r="Q98" s="32"/>
      <c r="R98" s="32">
        <v>14477</v>
      </c>
      <c r="S98" s="32"/>
      <c r="T98" s="32"/>
      <c r="U98" s="32"/>
      <c r="V98" s="89">
        <v>770</v>
      </c>
      <c r="W98" s="32"/>
      <c r="X98" s="37"/>
      <c r="Y98" s="37"/>
      <c r="Z98" s="35">
        <v>43374</v>
      </c>
      <c r="AB98" s="42">
        <f t="shared" si="57"/>
        <v>9.4337149796474826E-2</v>
      </c>
    </row>
    <row r="99" spans="2:28" ht="9.9499999999999993" customHeight="1" x14ac:dyDescent="0.15">
      <c r="B99" s="35">
        <v>43405</v>
      </c>
      <c r="C99" s="32">
        <v>4995.25</v>
      </c>
      <c r="D99" s="32"/>
      <c r="E99" s="42">
        <f t="shared" si="58"/>
        <v>8.4823399558498894E-2</v>
      </c>
      <c r="F99" s="32">
        <v>3357.65</v>
      </c>
      <c r="G99" s="32"/>
      <c r="H99" s="42">
        <f t="shared" si="59"/>
        <v>8.3017678328594385E-2</v>
      </c>
      <c r="I99" s="37"/>
      <c r="J99" s="41">
        <f t="shared" si="56"/>
        <v>26575</v>
      </c>
      <c r="K99" s="37"/>
      <c r="L99" s="37"/>
      <c r="M99" s="89">
        <v>562</v>
      </c>
      <c r="N99" s="32"/>
      <c r="O99" s="32"/>
      <c r="P99" s="32"/>
      <c r="Q99" s="32"/>
      <c r="R99" s="32">
        <v>14199</v>
      </c>
      <c r="S99" s="32"/>
      <c r="T99" s="32"/>
      <c r="U99" s="32"/>
      <c r="V99" s="32">
        <v>11814</v>
      </c>
      <c r="W99" s="32"/>
      <c r="X99" s="37"/>
      <c r="Y99" s="37"/>
      <c r="Z99" s="35">
        <v>43405</v>
      </c>
      <c r="AB99" s="42">
        <f t="shared" si="57"/>
        <v>8.3920538943546646E-2</v>
      </c>
    </row>
    <row r="100" spans="2:28" ht="9.9499999999999993" customHeight="1" x14ac:dyDescent="0.15">
      <c r="B100" s="35">
        <v>43437</v>
      </c>
      <c r="C100" s="32">
        <v>4635.78</v>
      </c>
      <c r="D100" s="32"/>
      <c r="E100" s="42">
        <f t="shared" si="58"/>
        <v>7.8719307182883336E-2</v>
      </c>
      <c r="F100" s="32">
        <v>3025.6</v>
      </c>
      <c r="G100" s="32"/>
      <c r="H100" s="42">
        <f t="shared" si="59"/>
        <v>7.4807763629620466E-2</v>
      </c>
      <c r="I100" s="37"/>
      <c r="J100" s="41">
        <f t="shared" si="56"/>
        <v>26775</v>
      </c>
      <c r="K100" s="37"/>
      <c r="L100" s="37"/>
      <c r="M100" s="32">
        <v>4125</v>
      </c>
      <c r="N100" s="32"/>
      <c r="O100" s="32"/>
      <c r="P100" s="32"/>
      <c r="Q100" s="32"/>
      <c r="R100" s="32">
        <v>10566</v>
      </c>
      <c r="S100" s="32"/>
      <c r="T100" s="32"/>
      <c r="U100" s="32"/>
      <c r="V100" s="32">
        <v>12084</v>
      </c>
      <c r="W100" s="32"/>
      <c r="X100" s="37"/>
      <c r="Y100" s="37"/>
      <c r="Z100" s="35">
        <v>43435</v>
      </c>
      <c r="AB100" s="42">
        <f t="shared" si="57"/>
        <v>7.6763535406251901E-2</v>
      </c>
    </row>
    <row r="101" spans="2:28" ht="9.9499999999999993" customHeight="1" x14ac:dyDescent="0.15">
      <c r="B101" s="35">
        <v>43472</v>
      </c>
      <c r="C101" s="32">
        <v>4784.4399999999996</v>
      </c>
      <c r="D101" s="32"/>
      <c r="E101" s="42">
        <f t="shared" si="58"/>
        <v>8.1243674647648145E-2</v>
      </c>
      <c r="F101" s="32">
        <v>2986.16</v>
      </c>
      <c r="G101" s="32"/>
      <c r="H101" s="42">
        <f t="shared" si="59"/>
        <v>7.3832612189392993E-2</v>
      </c>
      <c r="I101" s="37"/>
      <c r="J101" s="41">
        <f t="shared" si="56"/>
        <v>22498</v>
      </c>
      <c r="K101" s="37"/>
      <c r="L101" s="37"/>
      <c r="M101" s="32">
        <v>2719</v>
      </c>
      <c r="N101" s="32"/>
      <c r="O101" s="32"/>
      <c r="P101" s="32"/>
      <c r="Q101" s="32"/>
      <c r="R101" s="32">
        <v>10461</v>
      </c>
      <c r="S101" s="32"/>
      <c r="T101" s="32"/>
      <c r="U101" s="32"/>
      <c r="V101" s="32">
        <v>9318</v>
      </c>
      <c r="W101" s="32"/>
      <c r="X101" s="37"/>
      <c r="Y101" s="37"/>
      <c r="Z101" s="35">
        <v>43466</v>
      </c>
      <c r="AB101" s="42">
        <f t="shared" si="57"/>
        <v>7.7538143418520569E-2</v>
      </c>
    </row>
    <row r="102" spans="2:28" ht="9.9499999999999993" customHeight="1" x14ac:dyDescent="0.15">
      <c r="B102" s="35">
        <v>43504</v>
      </c>
      <c r="C102" s="32">
        <v>3914.93</v>
      </c>
      <c r="D102" s="32"/>
      <c r="E102" s="42">
        <f t="shared" si="58"/>
        <v>6.6478689081338083E-2</v>
      </c>
      <c r="F102" s="32">
        <v>2479.9899999999998</v>
      </c>
      <c r="G102" s="32"/>
      <c r="H102" s="42">
        <f t="shared" si="59"/>
        <v>6.1317591791321541E-2</v>
      </c>
      <c r="I102" s="37"/>
      <c r="J102" s="41">
        <f t="shared" si="56"/>
        <v>26586</v>
      </c>
      <c r="K102" s="37"/>
      <c r="L102" s="37"/>
      <c r="M102" s="32">
        <v>4970</v>
      </c>
      <c r="N102" s="32"/>
      <c r="O102" s="32"/>
      <c r="P102" s="32"/>
      <c r="Q102" s="32"/>
      <c r="R102" s="32">
        <v>10958</v>
      </c>
      <c r="S102" s="32"/>
      <c r="T102" s="32"/>
      <c r="U102" s="32"/>
      <c r="V102" s="32">
        <v>10658</v>
      </c>
      <c r="W102" s="32"/>
      <c r="X102" s="37"/>
      <c r="Y102" s="37"/>
      <c r="Z102" s="35">
        <v>43497</v>
      </c>
      <c r="AB102" s="42">
        <f t="shared" si="57"/>
        <v>6.3898140436329812E-2</v>
      </c>
    </row>
    <row r="103" spans="2:28" ht="9.9499999999999993" customHeight="1" x14ac:dyDescent="0.15">
      <c r="B103" s="35">
        <v>43525</v>
      </c>
      <c r="C103" s="32">
        <v>4000</v>
      </c>
      <c r="D103" s="41">
        <f>SUM(C92:C103)</f>
        <v>58889.5</v>
      </c>
      <c r="E103" s="42">
        <f t="shared" si="58"/>
        <v>6.7923246731193751E-2</v>
      </c>
      <c r="F103" s="32">
        <v>2988.55</v>
      </c>
      <c r="G103" s="41">
        <f>SUM(F92:F103)</f>
        <v>40445.170000000006</v>
      </c>
      <c r="H103" s="42">
        <f t="shared" si="59"/>
        <v>7.3891704784274939E-2</v>
      </c>
      <c r="I103" s="37"/>
      <c r="J103" s="41">
        <f t="shared" si="56"/>
        <v>30804</v>
      </c>
      <c r="K103" s="37"/>
      <c r="L103" s="37"/>
      <c r="M103" s="32">
        <v>6717</v>
      </c>
      <c r="N103" s="41">
        <f>SUM(M92:M103)</f>
        <v>70208</v>
      </c>
      <c r="O103" s="32"/>
      <c r="P103" s="32"/>
      <c r="Q103" s="32"/>
      <c r="R103" s="32">
        <v>12260</v>
      </c>
      <c r="S103" s="41">
        <f>SUM(R92:R103)</f>
        <v>124264</v>
      </c>
      <c r="T103" s="32"/>
      <c r="U103" s="32"/>
      <c r="V103" s="32">
        <v>11827</v>
      </c>
      <c r="W103" s="41">
        <f>SUM(V92:V103)</f>
        <v>128119</v>
      </c>
      <c r="X103" s="37"/>
      <c r="Y103" s="37"/>
      <c r="Z103" s="35">
        <v>43525</v>
      </c>
      <c r="AB103" s="42">
        <f t="shared" si="57"/>
        <v>7.0907475757734345E-2</v>
      </c>
    </row>
    <row r="104" spans="2:28" ht="9.9499999999999993" customHeight="1" x14ac:dyDescent="0.15">
      <c r="B104" s="29"/>
      <c r="C104" s="29"/>
      <c r="D104" s="29"/>
      <c r="E104" s="29"/>
      <c r="F104" s="15"/>
      <c r="G104" s="29"/>
      <c r="H104" s="29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B104" s="29"/>
    </row>
    <row r="105" spans="2:28" ht="9.9499999999999993" customHeight="1" x14ac:dyDescent="0.15">
      <c r="B105" s="15"/>
      <c r="C105" s="45" t="s">
        <v>47</v>
      </c>
      <c r="D105" s="45"/>
      <c r="E105" s="45"/>
      <c r="F105" s="15" t="s">
        <v>39</v>
      </c>
      <c r="G105" s="15"/>
      <c r="H105" s="15"/>
      <c r="I105" s="15"/>
      <c r="J105" s="15" t="s">
        <v>111</v>
      </c>
      <c r="K105" s="15"/>
      <c r="L105" s="15"/>
      <c r="M105" s="15" t="s">
        <v>41</v>
      </c>
      <c r="N105" s="15"/>
      <c r="O105" s="15"/>
      <c r="P105" s="15"/>
      <c r="Q105" s="15"/>
      <c r="R105" s="15" t="s">
        <v>42</v>
      </c>
      <c r="S105" s="15"/>
      <c r="T105" s="15"/>
      <c r="U105" s="15"/>
      <c r="V105" s="15" t="s">
        <v>43</v>
      </c>
      <c r="W105" s="15"/>
      <c r="X105" s="15"/>
      <c r="Y105" s="15"/>
      <c r="Z105" s="15"/>
      <c r="AB105" s="15"/>
    </row>
    <row r="106" spans="2:28" ht="9.9499999999999993" customHeight="1" x14ac:dyDescent="0.15">
      <c r="B106" s="29"/>
      <c r="C106" s="29" t="s">
        <v>38</v>
      </c>
      <c r="D106" s="29" t="s">
        <v>48</v>
      </c>
      <c r="E106" s="29" t="s">
        <v>49</v>
      </c>
      <c r="F106" s="15" t="s">
        <v>40</v>
      </c>
      <c r="G106" s="29" t="s">
        <v>48</v>
      </c>
      <c r="H106" s="29" t="s">
        <v>49</v>
      </c>
      <c r="I106" s="15"/>
      <c r="J106" s="15" t="s">
        <v>112</v>
      </c>
      <c r="K106" s="15"/>
      <c r="L106" s="15"/>
      <c r="M106" s="15" t="s">
        <v>44</v>
      </c>
      <c r="N106" s="15"/>
      <c r="O106" s="29" t="s">
        <v>48</v>
      </c>
      <c r="P106" s="29"/>
      <c r="Q106" s="15"/>
      <c r="R106" s="15" t="s">
        <v>45</v>
      </c>
      <c r="S106" s="29" t="s">
        <v>48</v>
      </c>
      <c r="T106" s="15"/>
      <c r="U106" s="15"/>
      <c r="V106" s="15" t="s">
        <v>46</v>
      </c>
      <c r="W106" s="29" t="s">
        <v>48</v>
      </c>
      <c r="X106" s="15"/>
      <c r="Y106" s="15"/>
      <c r="Z106" s="46"/>
      <c r="AB106" s="8" t="s">
        <v>114</v>
      </c>
    </row>
    <row r="107" spans="2:28" ht="9.9499999999999993" customHeight="1" x14ac:dyDescent="0.15">
      <c r="B107" s="43"/>
    </row>
    <row r="110" spans="2:28" ht="9.9499999999999993" customHeight="1" x14ac:dyDescent="0.15">
      <c r="I110" s="30"/>
    </row>
    <row r="111" spans="2:28" ht="9.9499999999999993" customHeight="1" x14ac:dyDescent="0.15">
      <c r="I111" s="30"/>
    </row>
    <row r="112" spans="2:28" ht="9.9499999999999993" customHeight="1" x14ac:dyDescent="0.15">
      <c r="I112" s="30"/>
    </row>
    <row r="113" spans="9:9" ht="9.9499999999999993" customHeight="1" x14ac:dyDescent="0.15">
      <c r="I113" s="30"/>
    </row>
    <row r="114" spans="9:9" ht="9.9499999999999993" customHeight="1" x14ac:dyDescent="0.15">
      <c r="I114" s="30"/>
    </row>
    <row r="115" spans="9:9" ht="9.9499999999999993" customHeight="1" x14ac:dyDescent="0.15">
      <c r="I115" s="30"/>
    </row>
    <row r="116" spans="9:9" ht="9.9499999999999993" customHeight="1" x14ac:dyDescent="0.15">
      <c r="I116" s="30"/>
    </row>
    <row r="117" spans="9:9" ht="9.9499999999999993" customHeight="1" x14ac:dyDescent="0.15">
      <c r="I117" s="30"/>
    </row>
    <row r="118" spans="9:9" ht="9.9499999999999993" customHeight="1" x14ac:dyDescent="0.15">
      <c r="I118" s="30"/>
    </row>
    <row r="119" spans="9:9" ht="9.9499999999999993" customHeight="1" x14ac:dyDescent="0.15">
      <c r="I119" s="30"/>
    </row>
    <row r="120" spans="9:9" ht="9.9499999999999993" customHeight="1" x14ac:dyDescent="0.15">
      <c r="I120" s="30"/>
    </row>
    <row r="121" spans="9:9" ht="9.9499999999999993" customHeight="1" x14ac:dyDescent="0.15">
      <c r="I121" s="30"/>
    </row>
    <row r="122" spans="9:9" ht="9.9499999999999993" customHeight="1" x14ac:dyDescent="0.15">
      <c r="I122" s="30"/>
    </row>
    <row r="123" spans="9:9" ht="9.9499999999999993" customHeight="1" x14ac:dyDescent="0.15">
      <c r="I123" s="30"/>
    </row>
    <row r="124" spans="9:9" ht="9.9499999999999993" customHeight="1" x14ac:dyDescent="0.15">
      <c r="I124" s="30"/>
    </row>
    <row r="125" spans="9:9" ht="9.9499999999999993" customHeight="1" x14ac:dyDescent="0.15">
      <c r="I125" s="30"/>
    </row>
    <row r="126" spans="9:9" ht="9.9499999999999993" customHeight="1" x14ac:dyDescent="0.15">
      <c r="I126" s="30"/>
    </row>
    <row r="127" spans="9:9" ht="9.9499999999999993" customHeight="1" x14ac:dyDescent="0.15">
      <c r="I127" s="30"/>
    </row>
    <row r="128" spans="9:9" ht="9.9499999999999993" customHeight="1" x14ac:dyDescent="0.15">
      <c r="I128" s="30"/>
    </row>
    <row r="129" spans="9:9" ht="9.9499999999999993" customHeight="1" x14ac:dyDescent="0.15">
      <c r="I129" s="30"/>
    </row>
    <row r="130" spans="9:9" ht="9.9499999999999993" customHeight="1" x14ac:dyDescent="0.15">
      <c r="I130" s="30"/>
    </row>
    <row r="131" spans="9:9" ht="9.9499999999999993" customHeight="1" x14ac:dyDescent="0.15">
      <c r="I131" s="30"/>
    </row>
    <row r="132" spans="9:9" ht="9.9499999999999993" customHeight="1" x14ac:dyDescent="0.15">
      <c r="I132" s="30"/>
    </row>
    <row r="133" spans="9:9" ht="9.9499999999999993" customHeight="1" x14ac:dyDescent="0.15">
      <c r="I133" s="30"/>
    </row>
    <row r="134" spans="9:9" ht="9.9499999999999993" customHeight="1" x14ac:dyDescent="0.15">
      <c r="I134" s="30"/>
    </row>
    <row r="135" spans="9:9" ht="9.9499999999999993" customHeight="1" x14ac:dyDescent="0.15">
      <c r="I135" s="30"/>
    </row>
    <row r="136" spans="9:9" ht="9.9499999999999993" customHeight="1" x14ac:dyDescent="0.15">
      <c r="I136" s="30"/>
    </row>
    <row r="137" spans="9:9" ht="9.9499999999999993" customHeight="1" x14ac:dyDescent="0.15">
      <c r="I137" s="30"/>
    </row>
    <row r="138" spans="9:9" ht="9.9499999999999993" customHeight="1" x14ac:dyDescent="0.15">
      <c r="I138" s="30"/>
    </row>
    <row r="139" spans="9:9" ht="9.9499999999999993" customHeight="1" x14ac:dyDescent="0.15">
      <c r="I139" s="30"/>
    </row>
    <row r="140" spans="9:9" ht="9.9499999999999993" customHeight="1" x14ac:dyDescent="0.15">
      <c r="I140" s="30"/>
    </row>
    <row r="141" spans="9:9" ht="9.9499999999999993" customHeight="1" x14ac:dyDescent="0.15">
      <c r="I141" s="30"/>
    </row>
    <row r="142" spans="9:9" ht="9.9499999999999993" customHeight="1" x14ac:dyDescent="0.15">
      <c r="I142" s="30"/>
    </row>
    <row r="143" spans="9:9" ht="9.9499999999999993" customHeight="1" x14ac:dyDescent="0.15">
      <c r="I143" s="30"/>
    </row>
    <row r="144" spans="9:9" ht="9.9499999999999993" customHeight="1" x14ac:dyDescent="0.15">
      <c r="I144" s="30"/>
    </row>
    <row r="145" spans="2:9" ht="9.9499999999999993" customHeight="1" x14ac:dyDescent="0.15">
      <c r="I145" s="30"/>
    </row>
    <row r="146" spans="2:9" ht="9.9499999999999993" customHeight="1" x14ac:dyDescent="0.15">
      <c r="I146" s="30"/>
    </row>
    <row r="147" spans="2:9" ht="9.9499999999999993" customHeight="1" x14ac:dyDescent="0.15">
      <c r="I147" s="30"/>
    </row>
    <row r="148" spans="2:9" ht="9.9499999999999993" customHeight="1" x14ac:dyDescent="0.15">
      <c r="I148" s="30"/>
    </row>
    <row r="160" spans="2:9" ht="9.9499999999999993" customHeight="1" x14ac:dyDescent="0.15">
      <c r="B160" s="39"/>
    </row>
    <row r="161" spans="2:2" ht="9.9499999999999993" customHeight="1" x14ac:dyDescent="0.15">
      <c r="B161" s="39"/>
    </row>
    <row r="162" spans="2:2" ht="9.9499999999999993" customHeight="1" x14ac:dyDescent="0.15">
      <c r="B162" s="39"/>
    </row>
  </sheetData>
  <phoneticPr fontId="6"/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328"/>
  <sheetViews>
    <sheetView zoomScale="75" zoomScaleNormal="75" workbookViewId="0">
      <selection activeCell="AR34" sqref="AR34"/>
    </sheetView>
  </sheetViews>
  <sheetFormatPr defaultRowHeight="11.1" customHeight="1" x14ac:dyDescent="0.15"/>
  <cols>
    <col min="1" max="1" width="2" style="115" customWidth="1"/>
    <col min="2" max="2" width="2.5" style="114" customWidth="1"/>
    <col min="3" max="3" width="6.875" style="114" customWidth="1"/>
    <col min="4" max="4" width="4.75" style="114" customWidth="1"/>
    <col min="5" max="5" width="5.25" style="114" customWidth="1"/>
    <col min="6" max="9" width="4.125" style="116" customWidth="1"/>
    <col min="10" max="11" width="4.125" style="114" customWidth="1"/>
    <col min="12" max="12" width="2.25" style="115" customWidth="1"/>
    <col min="13" max="13" width="4.125" style="117" customWidth="1"/>
    <col min="14" max="15" width="4.375" style="117" customWidth="1"/>
    <col min="16" max="16" width="4.125" style="117" customWidth="1"/>
    <col min="17" max="17" width="5.75" style="117" customWidth="1"/>
    <col min="18" max="19" width="4.375" style="117" customWidth="1"/>
    <col min="20" max="23" width="4.125" style="115" customWidth="1"/>
    <col min="24" max="25" width="4.125" style="114" customWidth="1"/>
    <col min="26" max="28" width="4.125" style="124" customWidth="1"/>
    <col min="29" max="30" width="4.125" style="114" customWidth="1"/>
    <col min="31" max="31" width="5" style="114" customWidth="1"/>
    <col min="32" max="32" width="5" style="115" customWidth="1"/>
    <col min="33" max="73" width="4.125" style="115" customWidth="1"/>
    <col min="74" max="16384" width="9" style="115"/>
  </cols>
  <sheetData>
    <row r="1" spans="2:28" ht="11.1" customHeight="1" x14ac:dyDescent="0.15">
      <c r="Z1" s="114"/>
      <c r="AA1" s="114"/>
      <c r="AB1" s="114"/>
    </row>
    <row r="2" spans="2:28" ht="15.95" customHeight="1" x14ac:dyDescent="0.15">
      <c r="B2" s="236" t="s">
        <v>196</v>
      </c>
      <c r="Z2" s="114"/>
      <c r="AA2" s="114"/>
      <c r="AB2" s="114"/>
    </row>
    <row r="3" spans="2:28" ht="15.95" customHeight="1" x14ac:dyDescent="0.15">
      <c r="C3" s="114" t="s">
        <v>197</v>
      </c>
      <c r="Z3" s="114"/>
      <c r="AA3" s="114"/>
      <c r="AB3" s="114"/>
    </row>
    <row r="4" spans="2:28" ht="12" customHeight="1" x14ac:dyDescent="0.15">
      <c r="Z4" s="114"/>
      <c r="AA4" s="114"/>
      <c r="AB4" s="114"/>
    </row>
    <row r="5" spans="2:28" ht="12" customHeight="1" x14ac:dyDescent="0.15">
      <c r="Z5" s="114"/>
      <c r="AA5" s="114"/>
      <c r="AB5" s="114"/>
    </row>
    <row r="6" spans="2:28" ht="12" customHeight="1" x14ac:dyDescent="0.15">
      <c r="Z6" s="114"/>
      <c r="AA6" s="114"/>
      <c r="AB6" s="114"/>
    </row>
    <row r="7" spans="2:28" ht="12" customHeight="1" x14ac:dyDescent="0.15">
      <c r="Z7" s="114"/>
      <c r="AA7" s="114"/>
      <c r="AB7" s="114"/>
    </row>
    <row r="8" spans="2:28" ht="12" customHeight="1" x14ac:dyDescent="0.15">
      <c r="Z8" s="114"/>
      <c r="AA8" s="114"/>
      <c r="AB8" s="114"/>
    </row>
    <row r="9" spans="2:28" ht="12" customHeight="1" x14ac:dyDescent="0.15">
      <c r="Z9" s="114"/>
      <c r="AA9" s="114"/>
      <c r="AB9" s="114"/>
    </row>
    <row r="10" spans="2:28" ht="12" customHeight="1" x14ac:dyDescent="0.15">
      <c r="Z10" s="114"/>
      <c r="AA10" s="114"/>
      <c r="AB10" s="114"/>
    </row>
    <row r="11" spans="2:28" ht="12" customHeight="1" x14ac:dyDescent="0.15">
      <c r="Z11" s="114"/>
      <c r="AA11" s="114"/>
      <c r="AB11" s="114"/>
    </row>
    <row r="12" spans="2:28" ht="12" customHeight="1" x14ac:dyDescent="0.15">
      <c r="Z12" s="114"/>
      <c r="AA12" s="114"/>
      <c r="AB12" s="114"/>
    </row>
    <row r="13" spans="2:28" ht="12" customHeight="1" x14ac:dyDescent="0.15">
      <c r="Z13" s="114"/>
      <c r="AA13" s="114"/>
      <c r="AB13" s="114"/>
    </row>
    <row r="14" spans="2:28" ht="12" customHeight="1" x14ac:dyDescent="0.15">
      <c r="Z14" s="114"/>
      <c r="AA14" s="114"/>
      <c r="AB14" s="114"/>
    </row>
    <row r="15" spans="2:28" ht="12" customHeight="1" x14ac:dyDescent="0.15">
      <c r="Z15" s="114"/>
      <c r="AA15" s="114"/>
      <c r="AB15" s="114"/>
    </row>
    <row r="16" spans="2:28" ht="12" customHeight="1" x14ac:dyDescent="0.15">
      <c r="Z16" s="114"/>
      <c r="AA16" s="114"/>
      <c r="AB16" s="114"/>
    </row>
    <row r="17" spans="26:28" ht="12" customHeight="1" x14ac:dyDescent="0.15">
      <c r="Z17" s="114"/>
      <c r="AA17" s="114"/>
      <c r="AB17" s="114"/>
    </row>
    <row r="18" spans="26:28" ht="12" customHeight="1" x14ac:dyDescent="0.15">
      <c r="Z18" s="114"/>
      <c r="AA18" s="114"/>
      <c r="AB18" s="114"/>
    </row>
    <row r="19" spans="26:28" ht="12" customHeight="1" x14ac:dyDescent="0.15">
      <c r="Z19" s="114"/>
      <c r="AA19" s="114"/>
      <c r="AB19" s="114"/>
    </row>
    <row r="20" spans="26:28" ht="12" customHeight="1" x14ac:dyDescent="0.15">
      <c r="Z20" s="114"/>
      <c r="AA20" s="114"/>
      <c r="AB20" s="114"/>
    </row>
    <row r="21" spans="26:28" ht="12" customHeight="1" x14ac:dyDescent="0.15">
      <c r="Z21" s="114"/>
      <c r="AA21" s="114"/>
      <c r="AB21" s="114"/>
    </row>
    <row r="22" spans="26:28" ht="12" customHeight="1" x14ac:dyDescent="0.15">
      <c r="Z22" s="114"/>
      <c r="AA22" s="114"/>
      <c r="AB22" s="114"/>
    </row>
    <row r="23" spans="26:28" ht="12" customHeight="1" x14ac:dyDescent="0.15">
      <c r="Z23" s="114"/>
      <c r="AA23" s="114"/>
      <c r="AB23" s="114"/>
    </row>
    <row r="24" spans="26:28" ht="12" customHeight="1" x14ac:dyDescent="0.15">
      <c r="Z24" s="114"/>
      <c r="AA24" s="114"/>
      <c r="AB24" s="114"/>
    </row>
    <row r="25" spans="26:28" ht="12" customHeight="1" x14ac:dyDescent="0.15">
      <c r="Z25" s="114"/>
      <c r="AA25" s="114"/>
      <c r="AB25" s="114"/>
    </row>
    <row r="26" spans="26:28" ht="12" customHeight="1" x14ac:dyDescent="0.15">
      <c r="Z26" s="114"/>
      <c r="AA26" s="114"/>
      <c r="AB26" s="114"/>
    </row>
    <row r="27" spans="26:28" ht="12" customHeight="1" x14ac:dyDescent="0.15">
      <c r="Z27" s="114"/>
      <c r="AA27" s="114"/>
      <c r="AB27" s="114"/>
    </row>
    <row r="28" spans="26:28" ht="12" customHeight="1" x14ac:dyDescent="0.15">
      <c r="Z28" s="114"/>
      <c r="AA28" s="114"/>
      <c r="AB28" s="114"/>
    </row>
    <row r="29" spans="26:28" ht="12" customHeight="1" x14ac:dyDescent="0.15">
      <c r="Z29" s="114"/>
      <c r="AA29" s="114"/>
      <c r="AB29" s="114"/>
    </row>
    <row r="30" spans="26:28" ht="12" customHeight="1" x14ac:dyDescent="0.15">
      <c r="Z30" s="114"/>
      <c r="AA30" s="114"/>
      <c r="AB30" s="114"/>
    </row>
    <row r="31" spans="26:28" ht="12" customHeight="1" x14ac:dyDescent="0.15">
      <c r="Z31" s="114"/>
      <c r="AA31" s="114"/>
      <c r="AB31" s="114"/>
    </row>
    <row r="32" spans="26:28" ht="12" customHeight="1" x14ac:dyDescent="0.15">
      <c r="Z32" s="114"/>
      <c r="AA32" s="114"/>
      <c r="AB32" s="114"/>
    </row>
    <row r="33" spans="2:28" ht="12" customHeight="1" x14ac:dyDescent="0.15">
      <c r="Z33" s="114"/>
      <c r="AA33" s="114"/>
      <c r="AB33" s="114"/>
    </row>
    <row r="34" spans="2:28" ht="12" customHeight="1" x14ac:dyDescent="0.15">
      <c r="Z34" s="114"/>
      <c r="AA34" s="114"/>
      <c r="AB34" s="114"/>
    </row>
    <row r="35" spans="2:28" ht="12" customHeight="1" x14ac:dyDescent="0.15">
      <c r="Z35" s="114"/>
      <c r="AA35" s="114"/>
      <c r="AB35" s="114"/>
    </row>
    <row r="36" spans="2:28" ht="12" customHeight="1" x14ac:dyDescent="0.15">
      <c r="Z36" s="114"/>
      <c r="AA36" s="114"/>
      <c r="AB36" s="114"/>
    </row>
    <row r="37" spans="2:28" ht="12" customHeight="1" x14ac:dyDescent="0.15">
      <c r="Z37" s="114"/>
      <c r="AA37" s="114"/>
      <c r="AB37" s="114"/>
    </row>
    <row r="38" spans="2:28" ht="12" customHeight="1" x14ac:dyDescent="0.15">
      <c r="Z38" s="114"/>
      <c r="AA38" s="114"/>
      <c r="AB38" s="114"/>
    </row>
    <row r="39" spans="2:28" ht="12" customHeight="1" x14ac:dyDescent="0.15">
      <c r="Z39" s="114"/>
      <c r="AA39" s="114"/>
      <c r="AB39" s="114"/>
    </row>
    <row r="40" spans="2:28" ht="12" customHeight="1" x14ac:dyDescent="0.15">
      <c r="Z40" s="114"/>
      <c r="AA40" s="114"/>
      <c r="AB40" s="114"/>
    </row>
    <row r="41" spans="2:28" ht="12" customHeight="1" x14ac:dyDescent="0.15">
      <c r="Z41" s="114"/>
      <c r="AA41" s="114"/>
      <c r="AB41" s="114"/>
    </row>
    <row r="42" spans="2:28" ht="12" customHeight="1" x14ac:dyDescent="0.15">
      <c r="Z42" s="114"/>
      <c r="AA42" s="114"/>
      <c r="AB42" s="114"/>
    </row>
    <row r="43" spans="2:28" ht="12" customHeight="1" x14ac:dyDescent="0.15">
      <c r="Z43" s="114"/>
      <c r="AA43" s="114"/>
      <c r="AB43" s="114"/>
    </row>
    <row r="44" spans="2:28" ht="12" customHeight="1" x14ac:dyDescent="0.15">
      <c r="Z44" s="114"/>
      <c r="AA44" s="114"/>
      <c r="AB44" s="114"/>
    </row>
    <row r="45" spans="2:28" ht="12" customHeight="1" x14ac:dyDescent="0.15">
      <c r="Z45" s="114"/>
      <c r="AA45" s="114"/>
      <c r="AB45" s="114"/>
    </row>
    <row r="46" spans="2:28" ht="12" customHeight="1" x14ac:dyDescent="0.15">
      <c r="Z46" s="114"/>
      <c r="AA46" s="114"/>
      <c r="AB46" s="114"/>
    </row>
    <row r="47" spans="2:28" ht="12" customHeight="1" x14ac:dyDescent="0.15">
      <c r="C47" s="118"/>
      <c r="Z47" s="114"/>
      <c r="AA47" s="114"/>
      <c r="AB47" s="114"/>
    </row>
    <row r="48" spans="2:28" ht="11.1" customHeight="1" x14ac:dyDescent="0.15">
      <c r="B48" s="119"/>
      <c r="C48" s="120"/>
      <c r="M48" s="121" t="s">
        <v>154</v>
      </c>
      <c r="N48" s="122"/>
      <c r="O48" s="122"/>
      <c r="P48" s="121" t="s">
        <v>155</v>
      </c>
      <c r="Q48" s="122"/>
      <c r="R48" s="122"/>
      <c r="S48" s="122"/>
      <c r="Z48" s="114"/>
      <c r="AA48" s="114"/>
      <c r="AB48" s="114"/>
    </row>
    <row r="49" spans="2:33" ht="11.1" customHeight="1" x14ac:dyDescent="0.15">
      <c r="B49" s="119"/>
      <c r="L49" s="123" t="s">
        <v>156</v>
      </c>
      <c r="M49" s="232">
        <v>0.71</v>
      </c>
      <c r="P49" s="232">
        <v>1</v>
      </c>
      <c r="R49" s="119" t="s">
        <v>157</v>
      </c>
      <c r="Z49" s="114"/>
      <c r="AA49" s="114"/>
      <c r="AB49" s="114"/>
    </row>
    <row r="50" spans="2:33" ht="11.1" customHeight="1" x14ac:dyDescent="0.15">
      <c r="G50" s="114"/>
      <c r="H50" s="114"/>
      <c r="L50" s="123" t="s">
        <v>158</v>
      </c>
      <c r="M50" s="233">
        <v>2000</v>
      </c>
      <c r="N50" s="124"/>
      <c r="O50" s="124"/>
      <c r="P50" s="233">
        <v>1300</v>
      </c>
      <c r="Q50" s="124"/>
      <c r="R50" s="119" t="s">
        <v>159</v>
      </c>
      <c r="S50" s="124"/>
      <c r="AC50" s="124"/>
    </row>
    <row r="51" spans="2:33" ht="11.1" customHeight="1" x14ac:dyDescent="0.15">
      <c r="L51" s="123" t="s">
        <v>160</v>
      </c>
      <c r="M51" s="233">
        <v>0</v>
      </c>
      <c r="P51" s="233">
        <v>70</v>
      </c>
      <c r="R51" s="119" t="s">
        <v>161</v>
      </c>
      <c r="Z51" s="114"/>
      <c r="AA51" s="114"/>
      <c r="AB51" s="114"/>
    </row>
    <row r="52" spans="2:33" s="118" customFormat="1" ht="11.1" customHeight="1" x14ac:dyDescent="0.15">
      <c r="E52" s="125"/>
      <c r="F52" s="126"/>
      <c r="G52" s="126"/>
      <c r="H52" s="126"/>
      <c r="I52" s="126"/>
      <c r="J52" s="126"/>
      <c r="K52" s="126"/>
      <c r="L52" s="123" t="s">
        <v>162</v>
      </c>
      <c r="M52" s="234">
        <v>1200</v>
      </c>
      <c r="P52" s="234">
        <v>1200</v>
      </c>
      <c r="X52" s="114"/>
      <c r="Y52" s="127"/>
      <c r="AB52" s="117"/>
      <c r="AC52" s="117"/>
      <c r="AD52" s="128"/>
      <c r="AE52" s="127"/>
    </row>
    <row r="53" spans="2:33" s="118" customFormat="1" ht="11.1" customHeight="1" x14ac:dyDescent="0.15">
      <c r="E53" s="129"/>
      <c r="F53" s="130"/>
      <c r="G53" s="130"/>
      <c r="H53" s="130"/>
      <c r="I53" s="130"/>
      <c r="J53" s="130"/>
      <c r="K53" s="130"/>
      <c r="L53" s="123" t="s">
        <v>163</v>
      </c>
      <c r="M53" s="235">
        <v>2</v>
      </c>
      <c r="P53" s="235">
        <v>2</v>
      </c>
      <c r="S53" s="122"/>
      <c r="AA53" s="131" t="s">
        <v>164</v>
      </c>
      <c r="AB53" s="132"/>
      <c r="AC53" s="133"/>
      <c r="AD53" s="114"/>
      <c r="AE53" s="114"/>
      <c r="AF53" s="114"/>
      <c r="AG53" s="124"/>
    </row>
    <row r="54" spans="2:33" s="118" customFormat="1" ht="11.1" customHeight="1" x14ac:dyDescent="0.2">
      <c r="B54" s="134"/>
      <c r="C54" s="116" t="s">
        <v>67</v>
      </c>
      <c r="E54" s="129"/>
      <c r="F54" s="116" t="s">
        <v>165</v>
      </c>
      <c r="G54" s="116"/>
      <c r="H54" s="135"/>
      <c r="I54" s="116" t="s">
        <v>166</v>
      </c>
      <c r="J54" s="114"/>
      <c r="K54" s="136"/>
      <c r="S54" s="122"/>
      <c r="AA54" s="137">
        <f>8.021/365.25</f>
        <v>2.1960301163586587E-2</v>
      </c>
      <c r="AB54" s="138">
        <v>2.0619999999999998</v>
      </c>
      <c r="AC54" s="139">
        <v>30.07</v>
      </c>
      <c r="AD54" s="140" t="s">
        <v>69</v>
      </c>
      <c r="AE54" s="140"/>
      <c r="AF54" s="140"/>
    </row>
    <row r="55" spans="2:33" ht="15.75" customHeight="1" x14ac:dyDescent="0.15">
      <c r="B55" s="653" t="s">
        <v>167</v>
      </c>
      <c r="C55" s="653" t="s">
        <v>168</v>
      </c>
      <c r="D55" s="653" t="s">
        <v>169</v>
      </c>
      <c r="E55" s="141"/>
      <c r="F55" s="653" t="s">
        <v>170</v>
      </c>
      <c r="G55" s="653" t="s">
        <v>171</v>
      </c>
      <c r="H55" s="658" t="s">
        <v>172</v>
      </c>
      <c r="I55" s="661" t="s">
        <v>173</v>
      </c>
      <c r="J55" s="653" t="s">
        <v>174</v>
      </c>
      <c r="K55" s="664" t="s">
        <v>175</v>
      </c>
      <c r="M55" s="667" t="str">
        <f>"Cs-134:事故日"&amp;事故日の濃度1&amp;"から減衰"</f>
        <v>Cs-134:事故日1200から減衰</v>
      </c>
      <c r="N55" s="669" t="s">
        <v>176</v>
      </c>
      <c r="O55" s="671" t="s">
        <v>177</v>
      </c>
      <c r="P55" s="673" t="str">
        <f>"Cs-137:事故日"&amp;事故日の濃度2&amp;"から減衰"</f>
        <v>Cs-137:事故日1200から減衰</v>
      </c>
      <c r="Q55" s="667" t="s">
        <v>178</v>
      </c>
      <c r="R55" s="675" t="s">
        <v>179</v>
      </c>
      <c r="S55" s="122"/>
      <c r="T55" s="656" t="s">
        <v>180</v>
      </c>
      <c r="U55" s="679" t="s">
        <v>181</v>
      </c>
      <c r="V55" s="681" t="s">
        <v>194</v>
      </c>
      <c r="W55" s="684" t="s">
        <v>182</v>
      </c>
      <c r="X55" s="679" t="s">
        <v>183</v>
      </c>
      <c r="Y55" s="679" t="s">
        <v>195</v>
      </c>
      <c r="AA55" s="656" t="s">
        <v>184</v>
      </c>
      <c r="AB55" s="656" t="s">
        <v>185</v>
      </c>
      <c r="AC55" s="656" t="s">
        <v>186</v>
      </c>
      <c r="AD55" s="656" t="s">
        <v>187</v>
      </c>
      <c r="AE55" s="656" t="s">
        <v>188</v>
      </c>
      <c r="AF55" s="656" t="s">
        <v>189</v>
      </c>
      <c r="AG55" s="677" t="s">
        <v>190</v>
      </c>
    </row>
    <row r="56" spans="2:33" ht="15.75" customHeight="1" x14ac:dyDescent="0.15">
      <c r="B56" s="654"/>
      <c r="C56" s="654"/>
      <c r="D56" s="654"/>
      <c r="E56" s="142"/>
      <c r="F56" s="654"/>
      <c r="G56" s="654"/>
      <c r="H56" s="659"/>
      <c r="I56" s="662"/>
      <c r="J56" s="654"/>
      <c r="K56" s="665"/>
      <c r="M56" s="668"/>
      <c r="N56" s="670"/>
      <c r="O56" s="672"/>
      <c r="P56" s="674"/>
      <c r="Q56" s="668"/>
      <c r="R56" s="676"/>
      <c r="S56" s="122"/>
      <c r="T56" s="657"/>
      <c r="U56" s="680"/>
      <c r="V56" s="682"/>
      <c r="W56" s="685"/>
      <c r="X56" s="680"/>
      <c r="Y56" s="686"/>
      <c r="AA56" s="657"/>
      <c r="AB56" s="657"/>
      <c r="AC56" s="657"/>
      <c r="AD56" s="657"/>
      <c r="AE56" s="657"/>
      <c r="AF56" s="657"/>
      <c r="AG56" s="678"/>
    </row>
    <row r="57" spans="2:33" ht="15.75" customHeight="1" x14ac:dyDescent="0.15">
      <c r="B57" s="654"/>
      <c r="C57" s="654"/>
      <c r="D57" s="654"/>
      <c r="E57" s="142"/>
      <c r="F57" s="654"/>
      <c r="G57" s="654"/>
      <c r="H57" s="659"/>
      <c r="I57" s="662"/>
      <c r="J57" s="654"/>
      <c r="K57" s="665"/>
      <c r="M57" s="668"/>
      <c r="N57" s="670"/>
      <c r="O57" s="672"/>
      <c r="P57" s="674"/>
      <c r="Q57" s="668"/>
      <c r="R57" s="676"/>
      <c r="S57" s="122"/>
      <c r="T57" s="657"/>
      <c r="U57" s="680"/>
      <c r="V57" s="682"/>
      <c r="W57" s="685"/>
      <c r="X57" s="680"/>
      <c r="Y57" s="686"/>
      <c r="AA57" s="657"/>
      <c r="AB57" s="657"/>
      <c r="AC57" s="657"/>
      <c r="AD57" s="657"/>
      <c r="AE57" s="657"/>
      <c r="AF57" s="657"/>
      <c r="AG57" s="678"/>
    </row>
    <row r="58" spans="2:33" ht="15.75" customHeight="1" x14ac:dyDescent="0.15">
      <c r="B58" s="654"/>
      <c r="C58" s="654"/>
      <c r="D58" s="654"/>
      <c r="E58" s="142"/>
      <c r="F58" s="654"/>
      <c r="G58" s="654"/>
      <c r="H58" s="659"/>
      <c r="I58" s="662"/>
      <c r="J58" s="654"/>
      <c r="K58" s="665"/>
      <c r="M58" s="668"/>
      <c r="N58" s="670"/>
      <c r="O58" s="672"/>
      <c r="P58" s="674"/>
      <c r="Q58" s="668"/>
      <c r="R58" s="676"/>
      <c r="S58" s="122"/>
      <c r="T58" s="657"/>
      <c r="U58" s="680"/>
      <c r="V58" s="682"/>
      <c r="W58" s="685"/>
      <c r="X58" s="680"/>
      <c r="Y58" s="686"/>
      <c r="AA58" s="657"/>
      <c r="AB58" s="657"/>
      <c r="AC58" s="657"/>
      <c r="AD58" s="657"/>
      <c r="AE58" s="657"/>
      <c r="AF58" s="657"/>
      <c r="AG58" s="678"/>
    </row>
    <row r="59" spans="2:33" ht="13.5" customHeight="1" x14ac:dyDescent="0.15">
      <c r="B59" s="655"/>
      <c r="C59" s="655"/>
      <c r="D59" s="655"/>
      <c r="E59" s="143"/>
      <c r="F59" s="655"/>
      <c r="G59" s="655"/>
      <c r="H59" s="660"/>
      <c r="I59" s="663"/>
      <c r="J59" s="655"/>
      <c r="K59" s="666"/>
      <c r="M59" s="668"/>
      <c r="N59" s="670"/>
      <c r="O59" s="672"/>
      <c r="P59" s="674"/>
      <c r="Q59" s="668"/>
      <c r="R59" s="676"/>
      <c r="S59" s="122"/>
      <c r="T59" s="657"/>
      <c r="U59" s="680"/>
      <c r="V59" s="683"/>
      <c r="W59" s="685"/>
      <c r="X59" s="680"/>
      <c r="Y59" s="687"/>
      <c r="AA59" s="657"/>
      <c r="AB59" s="657"/>
      <c r="AC59" s="657"/>
      <c r="AD59" s="657"/>
      <c r="AE59" s="657"/>
      <c r="AF59" s="657"/>
      <c r="AG59" s="678"/>
    </row>
    <row r="60" spans="2:33" ht="11.1" customHeight="1" x14ac:dyDescent="0.15">
      <c r="B60" s="144"/>
      <c r="C60" s="144"/>
      <c r="D60" s="145"/>
      <c r="E60" s="148"/>
      <c r="F60" s="149" t="s">
        <v>191</v>
      </c>
      <c r="G60" s="149" t="s">
        <v>191</v>
      </c>
      <c r="H60" s="150" t="s">
        <v>191</v>
      </c>
      <c r="I60" s="151" t="s">
        <v>191</v>
      </c>
      <c r="J60" s="149" t="s">
        <v>192</v>
      </c>
      <c r="K60" s="149" t="s">
        <v>191</v>
      </c>
      <c r="M60" s="152" t="s">
        <v>191</v>
      </c>
      <c r="N60" s="153"/>
      <c r="O60" s="154"/>
      <c r="P60" s="155" t="s">
        <v>191</v>
      </c>
      <c r="Q60" s="153"/>
      <c r="R60" s="153"/>
      <c r="S60" s="122"/>
      <c r="T60" s="146"/>
      <c r="U60" s="156"/>
      <c r="V60" s="157"/>
      <c r="W60" s="158"/>
      <c r="X60" s="156"/>
      <c r="Y60" s="156"/>
      <c r="AA60" s="152" t="s">
        <v>193</v>
      </c>
      <c r="AB60" s="152" t="s">
        <v>191</v>
      </c>
      <c r="AC60" s="152" t="s">
        <v>191</v>
      </c>
      <c r="AD60" s="159" t="s">
        <v>191</v>
      </c>
      <c r="AE60" s="159" t="s">
        <v>191</v>
      </c>
      <c r="AF60" s="159" t="s">
        <v>191</v>
      </c>
      <c r="AG60" s="159" t="s">
        <v>191</v>
      </c>
    </row>
    <row r="61" spans="2:33" ht="11.1" customHeight="1" x14ac:dyDescent="0.15">
      <c r="B61" s="160"/>
      <c r="C61" s="160"/>
      <c r="D61" s="161"/>
      <c r="E61" s="162"/>
      <c r="F61" s="163"/>
      <c r="G61" s="163"/>
      <c r="H61" s="164"/>
      <c r="I61" s="165"/>
      <c r="J61" s="163"/>
      <c r="K61" s="163"/>
      <c r="M61" s="166"/>
      <c r="N61" s="167"/>
      <c r="O61" s="168"/>
      <c r="P61" s="169"/>
      <c r="Q61" s="170"/>
      <c r="R61" s="170"/>
      <c r="S61" s="122"/>
      <c r="T61" s="171"/>
      <c r="U61" s="156"/>
      <c r="V61" s="157"/>
      <c r="W61" s="172"/>
      <c r="X61" s="156"/>
      <c r="Y61" s="156"/>
      <c r="AA61" s="173"/>
      <c r="AB61" s="173"/>
      <c r="AC61" s="173"/>
      <c r="AD61" s="174"/>
      <c r="AE61" s="174"/>
      <c r="AF61" s="174"/>
      <c r="AG61" s="174"/>
    </row>
    <row r="62" spans="2:33" ht="11.1" customHeight="1" x14ac:dyDescent="0.15">
      <c r="B62" s="175">
        <v>1</v>
      </c>
      <c r="C62" s="176">
        <v>40616</v>
      </c>
      <c r="D62" s="177"/>
      <c r="E62" s="180">
        <v>40616</v>
      </c>
      <c r="F62" s="175"/>
      <c r="G62" s="175"/>
      <c r="H62" s="181"/>
      <c r="I62" s="182"/>
      <c r="J62" s="183"/>
      <c r="K62" s="183"/>
      <c r="L62" s="184"/>
      <c r="M62" s="185">
        <f>事故日の濃度1</f>
        <v>1200</v>
      </c>
      <c r="N62" s="186"/>
      <c r="O62" s="187"/>
      <c r="P62" s="188">
        <f>事故日の濃度2</f>
        <v>1200</v>
      </c>
      <c r="Q62" s="186"/>
      <c r="R62" s="189"/>
      <c r="S62" s="122"/>
      <c r="T62" s="171"/>
      <c r="U62" s="156"/>
      <c r="V62" s="157"/>
      <c r="W62" s="172"/>
      <c r="X62" s="156"/>
      <c r="Y62" s="156"/>
      <c r="AA62" s="186">
        <v>1</v>
      </c>
      <c r="AB62" s="186">
        <v>1</v>
      </c>
      <c r="AC62" s="186">
        <v>1</v>
      </c>
      <c r="AD62" s="186">
        <f>AB62+AC62</f>
        <v>2</v>
      </c>
      <c r="AE62" s="190"/>
      <c r="AF62" s="190">
        <v>500</v>
      </c>
      <c r="AG62" s="190">
        <v>500</v>
      </c>
    </row>
    <row r="63" spans="2:33" ht="11.1" customHeight="1" x14ac:dyDescent="0.15">
      <c r="B63" s="191">
        <v>2</v>
      </c>
      <c r="C63" s="192">
        <v>41012</v>
      </c>
      <c r="D63" s="193">
        <v>5693.7099343496038</v>
      </c>
      <c r="E63" s="194">
        <v>41000</v>
      </c>
      <c r="F63" s="191">
        <v>340</v>
      </c>
      <c r="G63" s="191">
        <v>510</v>
      </c>
      <c r="H63" s="195">
        <f>G63+F63</f>
        <v>850</v>
      </c>
      <c r="I63" s="196">
        <v>35</v>
      </c>
      <c r="J63" s="197">
        <v>42</v>
      </c>
      <c r="K63" s="198">
        <f>J63+I63</f>
        <v>77</v>
      </c>
      <c r="L63" s="184"/>
      <c r="M63" s="593">
        <f t="shared" ref="M63:M126" si="0">事故日の濃度1*2.71828^(-0.69315/半1*(E63-事故日)/365.25)</f>
        <v>427.66824530077849</v>
      </c>
      <c r="N63" s="198">
        <f t="shared" ref="N63:N94" si="1">下駄1-(F63-40999)/除数11</f>
        <v>20.329499999999999</v>
      </c>
      <c r="O63" s="195">
        <f t="shared" ref="O63:O94" si="2">(M63+N63)*(1-V63/除数12)</f>
        <v>409.10074926559156</v>
      </c>
      <c r="P63" s="594">
        <f t="shared" ref="P63:P126" si="3">事故日の濃度2*2.71828^(-0.69315/半2*(E63-事故日)/365.25)</f>
        <v>576.83092372613953</v>
      </c>
      <c r="Q63" s="198">
        <f t="shared" ref="Q63:Q94" si="4">下駄2-(G63-40999)/除数21</f>
        <v>101.14538461538461</v>
      </c>
      <c r="R63" s="185">
        <f t="shared" ref="R63:R94" si="5">(P63+Q63)*(1-V63/除数22)</f>
        <v>619.11163311909479</v>
      </c>
      <c r="S63" s="122"/>
      <c r="T63" s="199">
        <v>80</v>
      </c>
      <c r="U63" s="200">
        <f t="shared" ref="U63:U94" si="6">PI()/180*T63</f>
        <v>1.3962634015954636</v>
      </c>
      <c r="V63" s="201">
        <f t="shared" ref="V63:V94" si="7">COS(U63)</f>
        <v>0.17364817766693041</v>
      </c>
      <c r="W63" s="202">
        <v>80</v>
      </c>
      <c r="X63" s="200">
        <f t="shared" ref="X63:X94" si="8">PI()/180*W63</f>
        <v>1.3962634015954636</v>
      </c>
      <c r="Y63" s="200">
        <f t="shared" ref="Y63:Y94" si="9">COS(X63)</f>
        <v>0.17364817766693041</v>
      </c>
      <c r="AA63" s="203">
        <v>1.3739705876707099E-15</v>
      </c>
      <c r="AB63" s="204">
        <v>0.69457548573370353</v>
      </c>
      <c r="AC63" s="204">
        <v>0.97531785729637899</v>
      </c>
      <c r="AD63" s="204">
        <f>AB63+AC63</f>
        <v>1.6698933430300826</v>
      </c>
      <c r="AE63" s="190">
        <v>1000</v>
      </c>
      <c r="AF63" s="185">
        <v>347.28774286685177</v>
      </c>
      <c r="AG63" s="185">
        <v>487.65892864818949</v>
      </c>
    </row>
    <row r="64" spans="2:33" ht="11.1" customHeight="1" x14ac:dyDescent="0.15">
      <c r="B64" s="191">
        <v>3</v>
      </c>
      <c r="C64" s="192">
        <v>41045</v>
      </c>
      <c r="D64" s="193">
        <v>6461.0235251811728</v>
      </c>
      <c r="E64" s="194">
        <v>41030</v>
      </c>
      <c r="F64" s="191">
        <v>550</v>
      </c>
      <c r="G64" s="191">
        <v>850</v>
      </c>
      <c r="H64" s="195">
        <f>G64+F64</f>
        <v>1400</v>
      </c>
      <c r="I64" s="205">
        <v>41</v>
      </c>
      <c r="J64" s="191">
        <v>63</v>
      </c>
      <c r="K64" s="198">
        <f t="shared" ref="K64:K127" si="10">J64+I64</f>
        <v>104</v>
      </c>
      <c r="L64" s="184"/>
      <c r="M64" s="593">
        <f t="shared" si="0"/>
        <v>394.71404663840514</v>
      </c>
      <c r="N64" s="198">
        <f t="shared" si="1"/>
        <v>20.224499999999999</v>
      </c>
      <c r="O64" s="195">
        <f t="shared" si="2"/>
        <v>573.86923058251261</v>
      </c>
      <c r="P64" s="594">
        <f t="shared" si="3"/>
        <v>544.908013145724</v>
      </c>
      <c r="Q64" s="198">
        <f t="shared" si="4"/>
        <v>100.88384615384615</v>
      </c>
      <c r="R64" s="185">
        <f t="shared" si="5"/>
        <v>893.14449191352446</v>
      </c>
      <c r="S64" s="122"/>
      <c r="T64" s="199">
        <v>140</v>
      </c>
      <c r="U64" s="200">
        <f t="shared" si="6"/>
        <v>2.4434609527920612</v>
      </c>
      <c r="V64" s="201">
        <f t="shared" si="7"/>
        <v>-0.7660444431189779</v>
      </c>
      <c r="W64" s="202">
        <v>110</v>
      </c>
      <c r="X64" s="200">
        <f t="shared" si="8"/>
        <v>1.9198621771937625</v>
      </c>
      <c r="Y64" s="200">
        <f t="shared" si="9"/>
        <v>-0.34202014332566871</v>
      </c>
      <c r="AA64" s="203">
        <v>7.9336960051412041E-17</v>
      </c>
      <c r="AB64" s="204">
        <v>0.67379751598409898</v>
      </c>
      <c r="AC64" s="204">
        <v>0.97328872093044583</v>
      </c>
      <c r="AD64" s="204">
        <f t="shared" ref="AD64:AD127" si="11">AB64+AC64</f>
        <v>1.6470862369145447</v>
      </c>
      <c r="AE64" s="185">
        <v>9840.024405930897</v>
      </c>
      <c r="AF64" s="185">
        <v>336.89875799204947</v>
      </c>
      <c r="AG64" s="185">
        <v>486.64436046522292</v>
      </c>
    </row>
    <row r="65" spans="2:33" ht="11.1" customHeight="1" x14ac:dyDescent="0.15">
      <c r="B65" s="191">
        <v>4</v>
      </c>
      <c r="C65" s="192">
        <v>41073</v>
      </c>
      <c r="D65" s="193">
        <v>6179.5927881937196</v>
      </c>
      <c r="E65" s="194">
        <v>41061</v>
      </c>
      <c r="F65" s="191">
        <v>550</v>
      </c>
      <c r="G65" s="191">
        <v>890</v>
      </c>
      <c r="H65" s="195">
        <f>G65+F65</f>
        <v>1440</v>
      </c>
      <c r="I65" s="205">
        <v>61</v>
      </c>
      <c r="J65" s="191">
        <v>87</v>
      </c>
      <c r="K65" s="198">
        <f t="shared" si="10"/>
        <v>148</v>
      </c>
      <c r="L65" s="184"/>
      <c r="M65" s="593">
        <f t="shared" si="0"/>
        <v>363.32672557584715</v>
      </c>
      <c r="N65" s="198">
        <f t="shared" si="1"/>
        <v>20.224499999999999</v>
      </c>
      <c r="O65" s="195">
        <f t="shared" si="2"/>
        <v>575.32683836377066</v>
      </c>
      <c r="P65" s="594">
        <f t="shared" si="3"/>
        <v>513.77583790499762</v>
      </c>
      <c r="Q65" s="198">
        <f t="shared" si="4"/>
        <v>100.85307692307693</v>
      </c>
      <c r="R65" s="185">
        <f t="shared" si="5"/>
        <v>921.94337224211188</v>
      </c>
      <c r="S65" s="122"/>
      <c r="T65" s="199">
        <v>180</v>
      </c>
      <c r="U65" s="200">
        <f t="shared" si="6"/>
        <v>3.1415926535897931</v>
      </c>
      <c r="V65" s="201">
        <f t="shared" si="7"/>
        <v>-1</v>
      </c>
      <c r="W65" s="202">
        <v>140</v>
      </c>
      <c r="X65" s="200">
        <f t="shared" si="8"/>
        <v>2.4434609527920612</v>
      </c>
      <c r="Y65" s="200">
        <f t="shared" si="9"/>
        <v>-0.7660444431189779</v>
      </c>
      <c r="AA65" s="203">
        <v>7.0570870630048808E-18</v>
      </c>
      <c r="AB65" s="204">
        <v>0.65665590138526675</v>
      </c>
      <c r="AC65" s="204">
        <v>0.97157034041325652</v>
      </c>
      <c r="AD65" s="204">
        <f t="shared" si="11"/>
        <v>1.6282262417985232</v>
      </c>
      <c r="AE65" s="185">
        <v>9707.8187297706172</v>
      </c>
      <c r="AF65" s="185">
        <v>328.32795069263335</v>
      </c>
      <c r="AG65" s="185">
        <v>485.78517020662827</v>
      </c>
    </row>
    <row r="66" spans="2:33" ht="11.1" customHeight="1" x14ac:dyDescent="0.15">
      <c r="B66" s="191">
        <v>5</v>
      </c>
      <c r="C66" s="192">
        <v>41101</v>
      </c>
      <c r="D66" s="193">
        <v>6411.8394300434275</v>
      </c>
      <c r="E66" s="194">
        <v>41091</v>
      </c>
      <c r="F66" s="191">
        <v>460</v>
      </c>
      <c r="G66" s="191">
        <v>760</v>
      </c>
      <c r="H66" s="195">
        <f>G66+F66</f>
        <v>1220</v>
      </c>
      <c r="I66" s="205">
        <v>41</v>
      </c>
      <c r="J66" s="191">
        <v>55</v>
      </c>
      <c r="K66" s="198">
        <f t="shared" si="10"/>
        <v>96</v>
      </c>
      <c r="L66" s="184"/>
      <c r="M66" s="593">
        <f t="shared" si="0"/>
        <v>335.3303961182898</v>
      </c>
      <c r="N66" s="198">
        <f t="shared" si="1"/>
        <v>20.269500000000001</v>
      </c>
      <c r="O66" s="195">
        <f t="shared" si="2"/>
        <v>509.57916792906292</v>
      </c>
      <c r="P66" s="594">
        <f t="shared" si="3"/>
        <v>485.34251462566851</v>
      </c>
      <c r="Q66" s="198">
        <f t="shared" si="4"/>
        <v>100.95307692307692</v>
      </c>
      <c r="R66" s="185">
        <f t="shared" si="5"/>
        <v>840.16902975276457</v>
      </c>
      <c r="S66" s="122"/>
      <c r="T66" s="199">
        <v>210</v>
      </c>
      <c r="U66" s="200">
        <f t="shared" si="6"/>
        <v>3.6651914291880923</v>
      </c>
      <c r="V66" s="201">
        <f t="shared" si="7"/>
        <v>-0.8660254037844386</v>
      </c>
      <c r="W66" s="202">
        <v>170</v>
      </c>
      <c r="X66" s="200">
        <f t="shared" si="8"/>
        <v>2.9670597283903604</v>
      </c>
      <c r="Y66" s="200">
        <f t="shared" si="9"/>
        <v>-0.98480775301220802</v>
      </c>
      <c r="AA66" s="203">
        <v>6.2773362859577408E-19</v>
      </c>
      <c r="AB66" s="204">
        <v>0.63995037469724503</v>
      </c>
      <c r="AC66" s="204">
        <v>0.96985499376622131</v>
      </c>
      <c r="AD66" s="204">
        <f t="shared" si="11"/>
        <v>1.6098053684634663</v>
      </c>
      <c r="AE66" s="185">
        <v>9578.7678474331897</v>
      </c>
      <c r="AF66" s="185">
        <v>319.97518734862251</v>
      </c>
      <c r="AG66" s="185">
        <v>484.92749688311068</v>
      </c>
    </row>
    <row r="67" spans="2:33" ht="11.1" customHeight="1" x14ac:dyDescent="0.15">
      <c r="B67" s="191">
        <v>6</v>
      </c>
      <c r="C67" s="192">
        <v>41129</v>
      </c>
      <c r="D67" s="193">
        <v>6767.281654590066</v>
      </c>
      <c r="E67" s="194">
        <v>41122</v>
      </c>
      <c r="F67" s="191">
        <v>390</v>
      </c>
      <c r="G67" s="191">
        <v>660</v>
      </c>
      <c r="H67" s="195">
        <f t="shared" ref="H67:H130" si="12">G67+F67</f>
        <v>1050</v>
      </c>
      <c r="I67" s="205">
        <v>19</v>
      </c>
      <c r="J67" s="191">
        <v>38</v>
      </c>
      <c r="K67" s="198">
        <f t="shared" si="10"/>
        <v>57</v>
      </c>
      <c r="L67" s="184"/>
      <c r="M67" s="593">
        <f t="shared" si="0"/>
        <v>308.66521180413349</v>
      </c>
      <c r="N67" s="198">
        <f t="shared" si="1"/>
        <v>20.304500000000001</v>
      </c>
      <c r="O67" s="195">
        <f t="shared" si="2"/>
        <v>411.21213975516696</v>
      </c>
      <c r="P67" s="594">
        <f t="shared" si="3"/>
        <v>457.61348907900185</v>
      </c>
      <c r="Q67" s="198">
        <f t="shared" si="4"/>
        <v>101.03</v>
      </c>
      <c r="R67" s="185">
        <f t="shared" si="5"/>
        <v>698.30436134875242</v>
      </c>
      <c r="S67" s="122"/>
      <c r="T67" s="199">
        <v>240</v>
      </c>
      <c r="U67" s="200">
        <f t="shared" si="6"/>
        <v>4.1887902047863905</v>
      </c>
      <c r="V67" s="201">
        <f t="shared" si="7"/>
        <v>-0.50000000000000044</v>
      </c>
      <c r="W67" s="202">
        <v>200</v>
      </c>
      <c r="X67" s="200">
        <f t="shared" si="8"/>
        <v>3.4906585039886591</v>
      </c>
      <c r="Y67" s="200">
        <f t="shared" si="9"/>
        <v>-0.93969262078590843</v>
      </c>
      <c r="AA67" s="203">
        <v>5.5837416337928373E-20</v>
      </c>
      <c r="AB67" s="204">
        <v>0.62366984171039241</v>
      </c>
      <c r="AC67" s="204">
        <v>0.96814267563292022</v>
      </c>
      <c r="AD67" s="204">
        <f t="shared" si="11"/>
        <v>1.5918125173433126</v>
      </c>
      <c r="AE67" s="185">
        <v>9452.7918682194795</v>
      </c>
      <c r="AF67" s="185">
        <v>311.83492085519623</v>
      </c>
      <c r="AG67" s="185">
        <v>484.07133781646013</v>
      </c>
    </row>
    <row r="68" spans="2:33" ht="11.1" customHeight="1" x14ac:dyDescent="0.15">
      <c r="B68" s="191">
        <v>7</v>
      </c>
      <c r="C68" s="192">
        <v>41164</v>
      </c>
      <c r="D68" s="193">
        <v>6054.9434296986519</v>
      </c>
      <c r="E68" s="194">
        <v>41153</v>
      </c>
      <c r="F68" s="191">
        <v>300</v>
      </c>
      <c r="G68" s="191">
        <v>510</v>
      </c>
      <c r="H68" s="195">
        <f t="shared" si="12"/>
        <v>810</v>
      </c>
      <c r="I68" s="205">
        <v>17</v>
      </c>
      <c r="J68" s="191">
        <v>23</v>
      </c>
      <c r="K68" s="198">
        <f t="shared" si="10"/>
        <v>40</v>
      </c>
      <c r="L68" s="184"/>
      <c r="M68" s="593">
        <f t="shared" si="0"/>
        <v>284.12041998269092</v>
      </c>
      <c r="N68" s="198">
        <f t="shared" si="1"/>
        <v>20.349499999999999</v>
      </c>
      <c r="O68" s="195">
        <f t="shared" si="2"/>
        <v>356.53734281810824</v>
      </c>
      <c r="P68" s="594">
        <f t="shared" si="3"/>
        <v>431.46870318700604</v>
      </c>
      <c r="Q68" s="198">
        <f t="shared" si="4"/>
        <v>101.14538461538461</v>
      </c>
      <c r="R68" s="185">
        <f t="shared" si="5"/>
        <v>623.69646112611258</v>
      </c>
      <c r="S68" s="122"/>
      <c r="T68" s="199">
        <v>250</v>
      </c>
      <c r="U68" s="200">
        <f t="shared" si="6"/>
        <v>4.3633231299858242</v>
      </c>
      <c r="V68" s="201">
        <f t="shared" si="7"/>
        <v>-0.34202014332566855</v>
      </c>
      <c r="W68" s="202">
        <v>230</v>
      </c>
      <c r="X68" s="200">
        <f t="shared" si="8"/>
        <v>4.0142572795869578</v>
      </c>
      <c r="Y68" s="200">
        <f t="shared" si="9"/>
        <v>-0.64278760968653947</v>
      </c>
      <c r="AA68" s="203">
        <v>2.7124560773886395E-21</v>
      </c>
      <c r="AB68" s="204">
        <v>0.60390037779968619</v>
      </c>
      <c r="AC68" s="204">
        <v>0.96600652866886683</v>
      </c>
      <c r="AD68" s="204">
        <f t="shared" si="11"/>
        <v>1.5699069064685531</v>
      </c>
      <c r="AE68" s="185">
        <v>9299.5275528040438</v>
      </c>
      <c r="AF68" s="185">
        <v>301.95018889984311</v>
      </c>
      <c r="AG68" s="185">
        <v>483.00326433443342</v>
      </c>
    </row>
    <row r="69" spans="2:33" ht="11.1" customHeight="1" x14ac:dyDescent="0.15">
      <c r="B69" s="191">
        <v>8</v>
      </c>
      <c r="C69" s="192">
        <v>41199</v>
      </c>
      <c r="D69" s="193">
        <v>6164.2626032404287</v>
      </c>
      <c r="E69" s="194">
        <v>41183</v>
      </c>
      <c r="F69" s="191">
        <v>260</v>
      </c>
      <c r="G69" s="191">
        <v>450</v>
      </c>
      <c r="H69" s="195">
        <f t="shared" si="12"/>
        <v>710</v>
      </c>
      <c r="I69" s="205">
        <v>17</v>
      </c>
      <c r="J69" s="191">
        <v>24</v>
      </c>
      <c r="K69" s="198">
        <f t="shared" si="10"/>
        <v>41</v>
      </c>
      <c r="L69" s="184"/>
      <c r="M69" s="593">
        <f t="shared" si="0"/>
        <v>262.22737352196629</v>
      </c>
      <c r="N69" s="198">
        <f t="shared" si="1"/>
        <v>20.369499999999999</v>
      </c>
      <c r="O69" s="195">
        <f t="shared" si="2"/>
        <v>307.13308957269703</v>
      </c>
      <c r="P69" s="594">
        <f t="shared" si="3"/>
        <v>407.59041188266207</v>
      </c>
      <c r="Q69" s="198">
        <f t="shared" si="4"/>
        <v>101.19153846153846</v>
      </c>
      <c r="R69" s="185">
        <f t="shared" si="5"/>
        <v>552.95647959774908</v>
      </c>
      <c r="S69" s="122"/>
      <c r="T69" s="199">
        <v>260</v>
      </c>
      <c r="U69" s="200">
        <f t="shared" si="6"/>
        <v>4.5378560551852569</v>
      </c>
      <c r="V69" s="201">
        <f t="shared" si="7"/>
        <v>-0.17364817766693033</v>
      </c>
      <c r="W69" s="202">
        <v>260</v>
      </c>
      <c r="X69" s="200">
        <f t="shared" si="8"/>
        <v>4.5378560551852569</v>
      </c>
      <c r="Y69" s="200">
        <f t="shared" si="9"/>
        <v>-0.17364817766693033</v>
      </c>
      <c r="AA69" s="203">
        <v>1.3176501447049805E-22</v>
      </c>
      <c r="AB69" s="204">
        <v>0.58475757831489616</v>
      </c>
      <c r="AC69" s="204">
        <v>0.96387509498103519</v>
      </c>
      <c r="AD69" s="204">
        <f t="shared" si="11"/>
        <v>1.5486326732959315</v>
      </c>
      <c r="AE69" s="185">
        <v>9150.7985327769748</v>
      </c>
      <c r="AF69" s="185">
        <v>292.37878915744807</v>
      </c>
      <c r="AG69" s="185">
        <v>481.9375474905176</v>
      </c>
    </row>
    <row r="70" spans="2:33" ht="11.1" customHeight="1" x14ac:dyDescent="0.15">
      <c r="B70" s="191">
        <v>9</v>
      </c>
      <c r="C70" s="192">
        <v>41234</v>
      </c>
      <c r="D70" s="193">
        <v>5754.4110320193013</v>
      </c>
      <c r="E70" s="194">
        <v>41214</v>
      </c>
      <c r="F70" s="191">
        <v>250</v>
      </c>
      <c r="G70" s="191">
        <v>450</v>
      </c>
      <c r="H70" s="195">
        <f t="shared" si="12"/>
        <v>700</v>
      </c>
      <c r="I70" s="205">
        <v>11</v>
      </c>
      <c r="J70" s="191">
        <v>23</v>
      </c>
      <c r="K70" s="198">
        <f t="shared" si="10"/>
        <v>34</v>
      </c>
      <c r="L70" s="184"/>
      <c r="M70" s="593">
        <f t="shared" si="0"/>
        <v>241.37527860864461</v>
      </c>
      <c r="N70" s="198">
        <f t="shared" si="1"/>
        <v>20.374500000000001</v>
      </c>
      <c r="O70" s="195">
        <f t="shared" si="2"/>
        <v>239.02359257858782</v>
      </c>
      <c r="P70" s="594">
        <f t="shared" si="3"/>
        <v>384.30358947768934</v>
      </c>
      <c r="Q70" s="198">
        <f t="shared" si="4"/>
        <v>101.19153846153846</v>
      </c>
      <c r="R70" s="185">
        <f t="shared" si="5"/>
        <v>443.34245582281784</v>
      </c>
      <c r="S70" s="122"/>
      <c r="T70" s="199">
        <v>280</v>
      </c>
      <c r="U70" s="200">
        <f t="shared" si="6"/>
        <v>4.8869219055841224</v>
      </c>
      <c r="V70" s="201">
        <f t="shared" si="7"/>
        <v>0.17364817766692997</v>
      </c>
      <c r="W70" s="202">
        <v>290</v>
      </c>
      <c r="X70" s="200">
        <f t="shared" si="8"/>
        <v>5.0614548307835561</v>
      </c>
      <c r="Y70" s="200">
        <f t="shared" si="9"/>
        <v>0.34202014332566899</v>
      </c>
      <c r="AA70" s="203">
        <v>6.4008479927630679E-24</v>
      </c>
      <c r="AB70" s="204">
        <v>0.56622157886797009</v>
      </c>
      <c r="AC70" s="204">
        <v>0.96174836416987231</v>
      </c>
      <c r="AD70" s="204">
        <f t="shared" si="11"/>
        <v>1.5279699430378424</v>
      </c>
      <c r="AE70" s="185">
        <v>9006.4617582140236</v>
      </c>
      <c r="AF70" s="185">
        <v>283.11078943398502</v>
      </c>
      <c r="AG70" s="185">
        <v>480.87418208493614</v>
      </c>
    </row>
    <row r="71" spans="2:33" ht="11.1" customHeight="1" x14ac:dyDescent="0.15">
      <c r="B71" s="191">
        <v>10</v>
      </c>
      <c r="C71" s="192">
        <v>41262</v>
      </c>
      <c r="D71" s="193">
        <v>5830.9070462498912</v>
      </c>
      <c r="E71" s="194">
        <v>41244</v>
      </c>
      <c r="F71" s="191">
        <v>180</v>
      </c>
      <c r="G71" s="191">
        <v>330</v>
      </c>
      <c r="H71" s="195">
        <f t="shared" si="12"/>
        <v>510</v>
      </c>
      <c r="I71" s="206">
        <v>5.5</v>
      </c>
      <c r="J71" s="207">
        <v>11.5</v>
      </c>
      <c r="K71" s="198">
        <f t="shared" si="10"/>
        <v>17</v>
      </c>
      <c r="L71" s="184"/>
      <c r="M71" s="593">
        <f t="shared" si="0"/>
        <v>222.77598120731267</v>
      </c>
      <c r="N71" s="198">
        <f t="shared" si="1"/>
        <v>20.409500000000001</v>
      </c>
      <c r="O71" s="195">
        <f t="shared" si="2"/>
        <v>165.02717411945301</v>
      </c>
      <c r="P71" s="594">
        <f t="shared" si="3"/>
        <v>363.03550446695323</v>
      </c>
      <c r="Q71" s="198">
        <f t="shared" si="4"/>
        <v>101.28384615384616</v>
      </c>
      <c r="R71" s="185">
        <f t="shared" si="5"/>
        <v>315.08998786242449</v>
      </c>
      <c r="S71" s="122"/>
      <c r="T71" s="199">
        <v>310</v>
      </c>
      <c r="U71" s="200">
        <f t="shared" si="6"/>
        <v>5.4105206811824216</v>
      </c>
      <c r="V71" s="201">
        <f t="shared" si="7"/>
        <v>0.64278760968653925</v>
      </c>
      <c r="W71" s="202">
        <v>320</v>
      </c>
      <c r="X71" s="200">
        <f t="shared" si="8"/>
        <v>5.5850536063818543</v>
      </c>
      <c r="Y71" s="200">
        <f t="shared" si="9"/>
        <v>0.76604444311897779</v>
      </c>
      <c r="AA71" s="203">
        <v>5.6936063006089925E-25</v>
      </c>
      <c r="AB71" s="204">
        <v>0.55181672896536793</v>
      </c>
      <c r="AC71" s="204">
        <v>0.96005035861829413</v>
      </c>
      <c r="AD71" s="204">
        <f t="shared" si="11"/>
        <v>1.5118670875836622</v>
      </c>
      <c r="AE71" s="185">
        <v>8894.0615232515156</v>
      </c>
      <c r="AF71" s="185">
        <v>275.90836448268396</v>
      </c>
      <c r="AG71" s="185">
        <v>480.02517930914706</v>
      </c>
    </row>
    <row r="72" spans="2:33" ht="11.1" customHeight="1" x14ac:dyDescent="0.15">
      <c r="B72" s="191">
        <v>11</v>
      </c>
      <c r="C72" s="192">
        <v>41290</v>
      </c>
      <c r="D72" s="193">
        <v>5508.7884612072394</v>
      </c>
      <c r="E72" s="194">
        <v>41275</v>
      </c>
      <c r="F72" s="191">
        <v>160</v>
      </c>
      <c r="G72" s="191">
        <v>300</v>
      </c>
      <c r="H72" s="195">
        <f t="shared" si="12"/>
        <v>460</v>
      </c>
      <c r="I72" s="208">
        <v>4.2563140860967774</v>
      </c>
      <c r="J72" s="198">
        <v>11.301538550542444</v>
      </c>
      <c r="K72" s="198">
        <f t="shared" si="10"/>
        <v>15.557852636639222</v>
      </c>
      <c r="L72" s="184"/>
      <c r="M72" s="593">
        <f t="shared" si="0"/>
        <v>205.06102703547398</v>
      </c>
      <c r="N72" s="198">
        <f t="shared" si="1"/>
        <v>20.419499999999999</v>
      </c>
      <c r="O72" s="195">
        <f t="shared" si="2"/>
        <v>139.11647465194233</v>
      </c>
      <c r="P72" s="594">
        <f t="shared" si="3"/>
        <v>342.29423314957177</v>
      </c>
      <c r="Q72" s="198">
        <f t="shared" si="4"/>
        <v>101.30692307692308</v>
      </c>
      <c r="R72" s="185">
        <f t="shared" si="5"/>
        <v>273.69205588226487</v>
      </c>
      <c r="S72" s="122"/>
      <c r="T72" s="199">
        <v>320</v>
      </c>
      <c r="U72" s="200">
        <f t="shared" si="6"/>
        <v>5.5850536063818543</v>
      </c>
      <c r="V72" s="201">
        <f t="shared" si="7"/>
        <v>0.76604444311897779</v>
      </c>
      <c r="W72" s="202">
        <v>350</v>
      </c>
      <c r="X72" s="200">
        <f t="shared" si="8"/>
        <v>6.1086523819801535</v>
      </c>
      <c r="Y72" s="200">
        <f t="shared" si="9"/>
        <v>0.98480775301220802</v>
      </c>
      <c r="AA72" s="203">
        <v>5.0645090686400659E-26</v>
      </c>
      <c r="AB72" s="204">
        <v>0.53777834284383796</v>
      </c>
      <c r="AC72" s="204">
        <v>0.95835535096404623</v>
      </c>
      <c r="AD72" s="204">
        <f t="shared" si="11"/>
        <v>1.4961336938078842</v>
      </c>
      <c r="AE72" s="185">
        <v>8784.3146985378517</v>
      </c>
      <c r="AF72" s="185">
        <v>268.889171421919</v>
      </c>
      <c r="AG72" s="185">
        <v>479.17767548202312</v>
      </c>
    </row>
    <row r="73" spans="2:33" ht="11.1" customHeight="1" x14ac:dyDescent="0.15">
      <c r="B73" s="191">
        <v>12</v>
      </c>
      <c r="C73" s="192">
        <v>41318</v>
      </c>
      <c r="D73" s="193">
        <v>4728.3759929486159</v>
      </c>
      <c r="E73" s="194">
        <v>41306</v>
      </c>
      <c r="F73" s="191">
        <v>98</v>
      </c>
      <c r="G73" s="191">
        <v>180</v>
      </c>
      <c r="H73" s="195">
        <f t="shared" si="12"/>
        <v>278</v>
      </c>
      <c r="I73" s="208">
        <v>4.1480321557769662</v>
      </c>
      <c r="J73" s="198">
        <v>11.457859997308681</v>
      </c>
      <c r="K73" s="198">
        <f t="shared" si="10"/>
        <v>15.605892153085648</v>
      </c>
      <c r="L73" s="184"/>
      <c r="M73" s="593">
        <f t="shared" si="0"/>
        <v>188.75475076333359</v>
      </c>
      <c r="N73" s="198">
        <f t="shared" si="1"/>
        <v>20.450500000000002</v>
      </c>
      <c r="O73" s="195">
        <f t="shared" si="2"/>
        <v>118.61671988026326</v>
      </c>
      <c r="P73" s="594">
        <f t="shared" si="3"/>
        <v>322.73797082047895</v>
      </c>
      <c r="Q73" s="198">
        <f t="shared" si="4"/>
        <v>101.39923076923077</v>
      </c>
      <c r="R73" s="185">
        <f t="shared" si="5"/>
        <v>240.48040595634467</v>
      </c>
      <c r="S73" s="122"/>
      <c r="T73" s="199">
        <v>330</v>
      </c>
      <c r="U73" s="200">
        <f t="shared" si="6"/>
        <v>5.7595865315812871</v>
      </c>
      <c r="V73" s="201">
        <f t="shared" si="7"/>
        <v>0.86602540378443837</v>
      </c>
      <c r="W73" s="202">
        <v>380</v>
      </c>
      <c r="X73" s="200">
        <f t="shared" si="8"/>
        <v>6.6322511575784526</v>
      </c>
      <c r="Y73" s="200">
        <f t="shared" si="9"/>
        <v>0.93969262078590832</v>
      </c>
      <c r="AA73" s="203">
        <v>4.5049219689801227E-27</v>
      </c>
      <c r="AB73" s="204">
        <v>0.52409709755286349</v>
      </c>
      <c r="AC73" s="204">
        <v>0.9566633359142197</v>
      </c>
      <c r="AD73" s="204">
        <f t="shared" si="11"/>
        <v>1.4807604334670832</v>
      </c>
      <c r="AE73" s="185">
        <v>8677.1541443591486</v>
      </c>
      <c r="AF73" s="185">
        <v>262.04854877643174</v>
      </c>
      <c r="AG73" s="185">
        <v>478.33166795710986</v>
      </c>
    </row>
    <row r="74" spans="2:33" ht="11.1" customHeight="1" x14ac:dyDescent="0.15">
      <c r="B74" s="191">
        <v>13</v>
      </c>
      <c r="C74" s="192">
        <v>41346</v>
      </c>
      <c r="D74" s="193">
        <v>5774.2107831388548</v>
      </c>
      <c r="E74" s="194">
        <v>41334</v>
      </c>
      <c r="F74" s="191">
        <v>160</v>
      </c>
      <c r="G74" s="191">
        <v>320</v>
      </c>
      <c r="H74" s="195">
        <f t="shared" si="12"/>
        <v>480</v>
      </c>
      <c r="I74" s="208">
        <v>4.0425049508361122</v>
      </c>
      <c r="J74" s="198">
        <v>11.437630683062403</v>
      </c>
      <c r="K74" s="198">
        <f t="shared" si="10"/>
        <v>15.480135633898517</v>
      </c>
      <c r="L74" s="184"/>
      <c r="M74" s="593">
        <f t="shared" si="0"/>
        <v>175.14393241983743</v>
      </c>
      <c r="N74" s="198">
        <f t="shared" si="1"/>
        <v>20.419499999999999</v>
      </c>
      <c r="O74" s="195">
        <f t="shared" si="2"/>
        <v>103.67867524959496</v>
      </c>
      <c r="P74" s="594">
        <f t="shared" si="3"/>
        <v>306.0363966679954</v>
      </c>
      <c r="Q74" s="198">
        <f t="shared" si="4"/>
        <v>101.29153846153847</v>
      </c>
      <c r="R74" s="185">
        <f t="shared" si="5"/>
        <v>215.9464076889418</v>
      </c>
      <c r="S74" s="122"/>
      <c r="T74" s="199">
        <v>340</v>
      </c>
      <c r="U74" s="200">
        <f t="shared" si="6"/>
        <v>5.9341194567807207</v>
      </c>
      <c r="V74" s="201">
        <f t="shared" si="7"/>
        <v>0.93969262078590843</v>
      </c>
      <c r="W74" s="202">
        <v>410</v>
      </c>
      <c r="X74" s="200">
        <f t="shared" si="8"/>
        <v>7.1558499331767509</v>
      </c>
      <c r="Y74" s="200">
        <f t="shared" si="9"/>
        <v>0.64278760968653958</v>
      </c>
      <c r="AA74" s="203">
        <v>4.0071646968240839E-28</v>
      </c>
      <c r="AB74" s="204">
        <v>0.5107639073206367</v>
      </c>
      <c r="AC74" s="204">
        <v>0.95497430818525053</v>
      </c>
      <c r="AD74" s="204">
        <f t="shared" si="11"/>
        <v>1.4657382155058873</v>
      </c>
      <c r="AE74" s="185">
        <v>8572.5144284139478</v>
      </c>
      <c r="AF74" s="185">
        <v>255.38195366031835</v>
      </c>
      <c r="AG74" s="185">
        <v>477.48715409262525</v>
      </c>
    </row>
    <row r="75" spans="2:33" ht="11.1" customHeight="1" x14ac:dyDescent="0.15">
      <c r="B75" s="191">
        <v>14</v>
      </c>
      <c r="C75" s="192">
        <v>41376</v>
      </c>
      <c r="D75" s="193">
        <v>5482.3589469097042</v>
      </c>
      <c r="E75" s="194">
        <v>41365</v>
      </c>
      <c r="F75" s="191">
        <v>220</v>
      </c>
      <c r="G75" s="191">
        <v>460</v>
      </c>
      <c r="H75" s="195">
        <f t="shared" si="12"/>
        <v>680</v>
      </c>
      <c r="I75" s="208">
        <v>3.9324174064808517</v>
      </c>
      <c r="J75" s="191">
        <v>34</v>
      </c>
      <c r="K75" s="198">
        <f t="shared" si="10"/>
        <v>37.932417406480852</v>
      </c>
      <c r="L75" s="184"/>
      <c r="M75" s="593">
        <f t="shared" si="0"/>
        <v>161.21663774705263</v>
      </c>
      <c r="N75" s="198">
        <f t="shared" si="1"/>
        <v>20.389500000000002</v>
      </c>
      <c r="O75" s="195">
        <f t="shared" si="2"/>
        <v>165.83835031059999</v>
      </c>
      <c r="P75" s="594">
        <f t="shared" si="3"/>
        <v>288.55164969922481</v>
      </c>
      <c r="Q75" s="198">
        <f t="shared" si="4"/>
        <v>101.18384615384616</v>
      </c>
      <c r="R75" s="185">
        <f t="shared" si="5"/>
        <v>355.89706653956932</v>
      </c>
      <c r="S75" s="122"/>
      <c r="T75" s="171">
        <v>80</v>
      </c>
      <c r="U75" s="200">
        <f t="shared" si="6"/>
        <v>1.3962634015954636</v>
      </c>
      <c r="V75" s="201">
        <f t="shared" si="7"/>
        <v>0.17364817766693041</v>
      </c>
      <c r="W75" s="172">
        <v>440</v>
      </c>
      <c r="X75" s="200">
        <f t="shared" si="8"/>
        <v>7.67944870877505</v>
      </c>
      <c r="Y75" s="200">
        <f t="shared" si="9"/>
        <v>0.17364817766693044</v>
      </c>
      <c r="AA75" s="203">
        <v>2.9986542396966651E-29</v>
      </c>
      <c r="AB75" s="204">
        <v>0.49685452564119142</v>
      </c>
      <c r="AC75" s="204">
        <v>0.95316794463821375</v>
      </c>
      <c r="AD75" s="204">
        <f t="shared" si="11"/>
        <v>1.4500224702794051</v>
      </c>
      <c r="AE75" s="185">
        <v>8463.1253906936308</v>
      </c>
      <c r="AF75" s="185">
        <v>248.4272628205957</v>
      </c>
      <c r="AG75" s="185">
        <v>476.58397231910686</v>
      </c>
    </row>
    <row r="76" spans="2:33" ht="11.1" customHeight="1" x14ac:dyDescent="0.15">
      <c r="B76" s="191">
        <v>15</v>
      </c>
      <c r="C76" s="192">
        <v>41410</v>
      </c>
      <c r="D76" s="193">
        <v>6221.1897932797165</v>
      </c>
      <c r="E76" s="194">
        <v>41395</v>
      </c>
      <c r="F76" s="191">
        <v>250</v>
      </c>
      <c r="G76" s="191">
        <v>540</v>
      </c>
      <c r="H76" s="195">
        <f t="shared" si="12"/>
        <v>790</v>
      </c>
      <c r="I76" s="205">
        <v>17</v>
      </c>
      <c r="J76" s="191">
        <v>35</v>
      </c>
      <c r="K76" s="198">
        <f t="shared" si="10"/>
        <v>52</v>
      </c>
      <c r="L76" s="184"/>
      <c r="M76" s="593">
        <f t="shared" si="0"/>
        <v>148.79400603106026</v>
      </c>
      <c r="N76" s="198">
        <f t="shared" si="1"/>
        <v>20.374500000000001</v>
      </c>
      <c r="O76" s="195">
        <f t="shared" si="2"/>
        <v>233.9638030289768</v>
      </c>
      <c r="P76" s="594">
        <f t="shared" si="3"/>
        <v>272.58265751746552</v>
      </c>
      <c r="Q76" s="198">
        <f t="shared" si="4"/>
        <v>101.12230769230769</v>
      </c>
      <c r="R76" s="185">
        <f t="shared" si="5"/>
        <v>516.84227119223203</v>
      </c>
      <c r="S76" s="122"/>
      <c r="T76" s="171">
        <v>140</v>
      </c>
      <c r="U76" s="200">
        <f t="shared" si="6"/>
        <v>2.4434609527920612</v>
      </c>
      <c r="V76" s="201">
        <f t="shared" si="7"/>
        <v>-0.7660444431189779</v>
      </c>
      <c r="W76" s="172">
        <v>470</v>
      </c>
      <c r="X76" s="200">
        <f t="shared" si="8"/>
        <v>8.2030474843733483</v>
      </c>
      <c r="Y76" s="200">
        <f t="shared" si="9"/>
        <v>-0.34202014332566805</v>
      </c>
      <c r="AA76" s="203">
        <v>1.5881596284188708E-30</v>
      </c>
      <c r="AB76" s="204">
        <v>0.4815479140071342</v>
      </c>
      <c r="AC76" s="204">
        <v>0.95112486279360631</v>
      </c>
      <c r="AD76" s="204">
        <f t="shared" si="11"/>
        <v>1.4326727768007406</v>
      </c>
      <c r="AE76" s="185">
        <v>8342.4646509059985</v>
      </c>
      <c r="AF76" s="185">
        <v>240.77395700356709</v>
      </c>
      <c r="AG76" s="185">
        <v>475.56243139680316</v>
      </c>
    </row>
    <row r="77" spans="2:33" ht="11.1" customHeight="1" x14ac:dyDescent="0.15">
      <c r="B77" s="191">
        <v>16</v>
      </c>
      <c r="C77" s="192">
        <v>41437</v>
      </c>
      <c r="D77" s="193">
        <v>5950.2057887117353</v>
      </c>
      <c r="E77" s="194">
        <v>41426</v>
      </c>
      <c r="F77" s="191">
        <v>260</v>
      </c>
      <c r="G77" s="191">
        <v>560</v>
      </c>
      <c r="H77" s="195">
        <f t="shared" si="12"/>
        <v>820</v>
      </c>
      <c r="I77" s="205">
        <v>22</v>
      </c>
      <c r="J77" s="191">
        <v>48</v>
      </c>
      <c r="K77" s="198">
        <f t="shared" si="10"/>
        <v>70</v>
      </c>
      <c r="L77" s="184"/>
      <c r="M77" s="593">
        <f t="shared" si="0"/>
        <v>136.96203481226172</v>
      </c>
      <c r="N77" s="198">
        <f t="shared" si="1"/>
        <v>20.369499999999999</v>
      </c>
      <c r="O77" s="195">
        <f t="shared" si="2"/>
        <v>235.99730221839258</v>
      </c>
      <c r="P77" s="594">
        <f t="shared" si="3"/>
        <v>257.00921969549813</v>
      </c>
      <c r="Q77" s="198">
        <f t="shared" si="4"/>
        <v>101.10692307692308</v>
      </c>
      <c r="R77" s="185">
        <f t="shared" si="5"/>
        <v>537.1742141586318</v>
      </c>
      <c r="S77" s="122"/>
      <c r="T77" s="171">
        <v>180</v>
      </c>
      <c r="U77" s="200">
        <f t="shared" si="6"/>
        <v>3.1415926535897931</v>
      </c>
      <c r="V77" s="201">
        <f t="shared" si="7"/>
        <v>-1</v>
      </c>
      <c r="W77" s="172">
        <v>500</v>
      </c>
      <c r="X77" s="200">
        <f t="shared" si="8"/>
        <v>8.7266462599716483</v>
      </c>
      <c r="Y77" s="200">
        <f t="shared" si="9"/>
        <v>-0.76604444311897835</v>
      </c>
      <c r="AA77" s="203">
        <v>1.5401904692344053E-31</v>
      </c>
      <c r="AB77" s="204">
        <v>0.46972929954132148</v>
      </c>
      <c r="AC77" s="204">
        <v>0.94950553556996942</v>
      </c>
      <c r="AD77" s="204">
        <f t="shared" si="11"/>
        <v>1.4192348351112909</v>
      </c>
      <c r="AE77" s="185">
        <v>8249.0851451091476</v>
      </c>
      <c r="AF77" s="185">
        <v>234.86464977066075</v>
      </c>
      <c r="AG77" s="185">
        <v>474.75276778498471</v>
      </c>
    </row>
    <row r="78" spans="2:33" ht="11.1" customHeight="1" x14ac:dyDescent="0.15">
      <c r="B78" s="191">
        <v>17</v>
      </c>
      <c r="C78" s="192">
        <v>41465</v>
      </c>
      <c r="D78" s="193">
        <v>6173.8314158538951</v>
      </c>
      <c r="E78" s="194">
        <v>41456</v>
      </c>
      <c r="F78" s="191">
        <v>200</v>
      </c>
      <c r="G78" s="191">
        <v>430</v>
      </c>
      <c r="H78" s="195">
        <f t="shared" si="12"/>
        <v>630</v>
      </c>
      <c r="I78" s="205">
        <v>15</v>
      </c>
      <c r="J78" s="191">
        <v>33</v>
      </c>
      <c r="K78" s="198">
        <f t="shared" si="10"/>
        <v>48</v>
      </c>
      <c r="L78" s="184"/>
      <c r="M78" s="593">
        <f t="shared" si="0"/>
        <v>126.40835411700265</v>
      </c>
      <c r="N78" s="198">
        <f t="shared" si="1"/>
        <v>20.3995</v>
      </c>
      <c r="O78" s="195">
        <f t="shared" si="2"/>
        <v>210.37751968720471</v>
      </c>
      <c r="P78" s="594">
        <f t="shared" si="3"/>
        <v>242.78584504407786</v>
      </c>
      <c r="Q78" s="198">
        <f t="shared" si="4"/>
        <v>101.20692307692308</v>
      </c>
      <c r="R78" s="185">
        <f t="shared" si="5"/>
        <v>492.94600607645924</v>
      </c>
      <c r="S78" s="122"/>
      <c r="T78" s="171">
        <v>210</v>
      </c>
      <c r="U78" s="200">
        <f t="shared" si="6"/>
        <v>3.6651914291880923</v>
      </c>
      <c r="V78" s="201">
        <f t="shared" si="7"/>
        <v>-0.8660254037844386</v>
      </c>
      <c r="W78" s="172">
        <v>530</v>
      </c>
      <c r="X78" s="200">
        <f t="shared" si="8"/>
        <v>9.2502450355699466</v>
      </c>
      <c r="Y78" s="200">
        <f t="shared" si="9"/>
        <v>-0.98480775301220802</v>
      </c>
      <c r="AA78" s="203">
        <v>1.3700119374316871E-32</v>
      </c>
      <c r="AB78" s="209">
        <v>0.45777924269559872</v>
      </c>
      <c r="AC78" s="204">
        <v>0.94782914522638539</v>
      </c>
      <c r="AD78" s="204">
        <f t="shared" si="11"/>
        <v>1.4056083879219841</v>
      </c>
      <c r="AE78" s="185">
        <v>8154.4668967102007</v>
      </c>
      <c r="AF78" s="185">
        <v>228.88962134779936</v>
      </c>
      <c r="AG78" s="185">
        <v>473.91457261319272</v>
      </c>
    </row>
    <row r="79" spans="2:33" ht="11.1" customHeight="1" x14ac:dyDescent="0.15">
      <c r="B79" s="191">
        <v>18</v>
      </c>
      <c r="C79" s="192">
        <v>41493</v>
      </c>
      <c r="D79" s="193">
        <v>6516.079595392629</v>
      </c>
      <c r="E79" s="194">
        <v>41487</v>
      </c>
      <c r="F79" s="191">
        <v>190</v>
      </c>
      <c r="G79" s="191">
        <v>390</v>
      </c>
      <c r="H79" s="195">
        <f t="shared" si="12"/>
        <v>580</v>
      </c>
      <c r="I79" s="205">
        <v>11</v>
      </c>
      <c r="J79" s="191">
        <v>28</v>
      </c>
      <c r="K79" s="198">
        <f t="shared" si="10"/>
        <v>39</v>
      </c>
      <c r="L79" s="184"/>
      <c r="M79" s="593">
        <f t="shared" si="0"/>
        <v>116.35647065997786</v>
      </c>
      <c r="N79" s="198">
        <f t="shared" si="1"/>
        <v>20.404499999999999</v>
      </c>
      <c r="O79" s="195">
        <f t="shared" si="2"/>
        <v>170.95121332497234</v>
      </c>
      <c r="P79" s="594">
        <f t="shared" si="3"/>
        <v>228.91478554130859</v>
      </c>
      <c r="Q79" s="198">
        <f t="shared" si="4"/>
        <v>101.2376923076923</v>
      </c>
      <c r="R79" s="185">
        <f t="shared" si="5"/>
        <v>412.69059731125117</v>
      </c>
      <c r="S79" s="122"/>
      <c r="T79" s="171">
        <v>240</v>
      </c>
      <c r="U79" s="200">
        <f t="shared" si="6"/>
        <v>4.1887902047863905</v>
      </c>
      <c r="V79" s="201">
        <f t="shared" si="7"/>
        <v>-0.50000000000000044</v>
      </c>
      <c r="W79" s="172">
        <v>560</v>
      </c>
      <c r="X79" s="200">
        <f t="shared" si="8"/>
        <v>9.7738438111682449</v>
      </c>
      <c r="Y79" s="200">
        <f t="shared" si="9"/>
        <v>-0.93969262078590865</v>
      </c>
      <c r="AA79" s="203">
        <v>1.2186367505820758E-33</v>
      </c>
      <c r="AB79" s="209">
        <v>0.44613319894583453</v>
      </c>
      <c r="AC79" s="204">
        <v>0.94615571461760961</v>
      </c>
      <c r="AD79" s="204">
        <f t="shared" si="11"/>
        <v>1.3922889135634442</v>
      </c>
      <c r="AE79" s="185">
        <v>8062.0523028175676</v>
      </c>
      <c r="AF79" s="185">
        <v>223.06659947291726</v>
      </c>
      <c r="AG79" s="185">
        <v>473.07785730880482</v>
      </c>
    </row>
    <row r="80" spans="2:33" ht="11.1" customHeight="1" x14ac:dyDescent="0.15">
      <c r="B80" s="191">
        <v>19</v>
      </c>
      <c r="C80" s="192">
        <v>41521</v>
      </c>
      <c r="D80" s="193">
        <v>5830.1834247958523</v>
      </c>
      <c r="E80" s="194">
        <v>41518</v>
      </c>
      <c r="F80" s="191">
        <v>150</v>
      </c>
      <c r="G80" s="191">
        <v>360</v>
      </c>
      <c r="H80" s="195">
        <f t="shared" si="12"/>
        <v>510</v>
      </c>
      <c r="I80" s="205">
        <v>16</v>
      </c>
      <c r="J80" s="191">
        <v>28</v>
      </c>
      <c r="K80" s="198">
        <f t="shared" si="10"/>
        <v>44</v>
      </c>
      <c r="L80" s="184"/>
      <c r="M80" s="593">
        <f t="shared" si="0"/>
        <v>107.10390431881464</v>
      </c>
      <c r="N80" s="198">
        <f t="shared" si="1"/>
        <v>20.424499999999998</v>
      </c>
      <c r="O80" s="195">
        <f t="shared" si="2"/>
        <v>149.33704588042201</v>
      </c>
      <c r="P80" s="594">
        <f t="shared" si="3"/>
        <v>215.83621989951558</v>
      </c>
      <c r="Q80" s="198">
        <f t="shared" si="4"/>
        <v>101.26076923076923</v>
      </c>
      <c r="R80" s="185">
        <f t="shared" si="5"/>
        <v>371.32376796552376</v>
      </c>
      <c r="S80" s="122"/>
      <c r="T80" s="171">
        <v>250</v>
      </c>
      <c r="U80" s="200">
        <f t="shared" si="6"/>
        <v>4.3633231299858242</v>
      </c>
      <c r="V80" s="201">
        <f t="shared" si="7"/>
        <v>-0.34202014332566855</v>
      </c>
      <c r="W80" s="172">
        <v>590</v>
      </c>
      <c r="X80" s="200">
        <f t="shared" si="8"/>
        <v>10.297442586766545</v>
      </c>
      <c r="Y80" s="200">
        <f t="shared" si="9"/>
        <v>-0.64278760968653903</v>
      </c>
      <c r="AA80" s="203">
        <v>1.0839872918576909E-34</v>
      </c>
      <c r="AB80" s="204">
        <v>0.43478343410601561</v>
      </c>
      <c r="AC80" s="204">
        <v>0.94448523851811073</v>
      </c>
      <c r="AD80" s="204">
        <f t="shared" si="11"/>
        <v>1.3792686726241263</v>
      </c>
      <c r="AE80" s="185">
        <v>7971.7856610090548</v>
      </c>
      <c r="AF80" s="185">
        <v>217.3917170530078</v>
      </c>
      <c r="AG80" s="185">
        <v>472.24261925905535</v>
      </c>
    </row>
    <row r="81" spans="2:33" ht="11.1" customHeight="1" x14ac:dyDescent="0.15">
      <c r="B81" s="191">
        <v>20</v>
      </c>
      <c r="C81" s="192">
        <v>41557</v>
      </c>
      <c r="D81" s="193">
        <v>5935.444661501966</v>
      </c>
      <c r="E81" s="194">
        <v>41548</v>
      </c>
      <c r="F81" s="191">
        <v>130</v>
      </c>
      <c r="G81" s="191">
        <v>290</v>
      </c>
      <c r="H81" s="195">
        <f t="shared" si="12"/>
        <v>420</v>
      </c>
      <c r="I81" s="208">
        <v>3.329003160674477</v>
      </c>
      <c r="J81" s="191">
        <v>18</v>
      </c>
      <c r="K81" s="198">
        <f t="shared" si="10"/>
        <v>21.329003160674478</v>
      </c>
      <c r="L81" s="184"/>
      <c r="M81" s="593">
        <f t="shared" si="0"/>
        <v>98.850957369349771</v>
      </c>
      <c r="N81" s="198">
        <f t="shared" si="1"/>
        <v>20.4345</v>
      </c>
      <c r="O81" s="195">
        <f t="shared" si="2"/>
        <v>129.64230851652673</v>
      </c>
      <c r="P81" s="594">
        <f t="shared" si="3"/>
        <v>203.89143666327854</v>
      </c>
      <c r="Q81" s="198">
        <f t="shared" si="4"/>
        <v>101.31461538461538</v>
      </c>
      <c r="R81" s="185">
        <f t="shared" si="5"/>
        <v>331.7052894234115</v>
      </c>
      <c r="S81" s="122"/>
      <c r="T81" s="171">
        <v>260</v>
      </c>
      <c r="U81" s="200">
        <f t="shared" si="6"/>
        <v>4.5378560551852569</v>
      </c>
      <c r="V81" s="201">
        <f t="shared" si="7"/>
        <v>-0.17364817766693033</v>
      </c>
      <c r="W81" s="172">
        <v>620</v>
      </c>
      <c r="X81" s="200">
        <f t="shared" si="8"/>
        <v>10.821041362364843</v>
      </c>
      <c r="Y81" s="200">
        <f t="shared" si="9"/>
        <v>-0.17364817766693058</v>
      </c>
      <c r="AA81" s="203">
        <v>4.829823167777362E-36</v>
      </c>
      <c r="AB81" s="204">
        <v>0.42061411983605973</v>
      </c>
      <c r="AC81" s="204">
        <v>0.9423418164590992</v>
      </c>
      <c r="AD81" s="204">
        <f t="shared" si="11"/>
        <v>1.3629559362951589</v>
      </c>
      <c r="AE81" s="185">
        <v>7858.7975198565946</v>
      </c>
      <c r="AF81" s="185">
        <v>210.30705991802986</v>
      </c>
      <c r="AG81" s="185">
        <v>471.17090822954958</v>
      </c>
    </row>
    <row r="82" spans="2:33" ht="11.1" customHeight="1" x14ac:dyDescent="0.15">
      <c r="B82" s="191">
        <v>21</v>
      </c>
      <c r="C82" s="192">
        <v>41591</v>
      </c>
      <c r="D82" s="193">
        <v>5540.8068147733347</v>
      </c>
      <c r="E82" s="194">
        <v>41579</v>
      </c>
      <c r="F82" s="191">
        <v>120</v>
      </c>
      <c r="G82" s="191">
        <v>300</v>
      </c>
      <c r="H82" s="195">
        <f t="shared" si="12"/>
        <v>420</v>
      </c>
      <c r="I82" s="205">
        <v>11</v>
      </c>
      <c r="J82" s="191">
        <v>19</v>
      </c>
      <c r="K82" s="198">
        <f t="shared" si="10"/>
        <v>30</v>
      </c>
      <c r="L82" s="184"/>
      <c r="M82" s="593">
        <f t="shared" si="0"/>
        <v>90.990414369380616</v>
      </c>
      <c r="N82" s="198">
        <f t="shared" si="1"/>
        <v>20.439499999999999</v>
      </c>
      <c r="O82" s="195">
        <f t="shared" si="2"/>
        <v>101.75511358546811</v>
      </c>
      <c r="P82" s="594">
        <f t="shared" si="3"/>
        <v>192.24252752053997</v>
      </c>
      <c r="Q82" s="198">
        <f t="shared" si="4"/>
        <v>101.30692307692308</v>
      </c>
      <c r="R82" s="185">
        <f t="shared" si="5"/>
        <v>268.06228702177407</v>
      </c>
      <c r="S82" s="122"/>
      <c r="T82" s="171">
        <v>280</v>
      </c>
      <c r="U82" s="200">
        <f t="shared" si="6"/>
        <v>4.8869219055841224</v>
      </c>
      <c r="V82" s="201">
        <f t="shared" si="7"/>
        <v>0.17364817766692997</v>
      </c>
      <c r="W82" s="172">
        <v>650</v>
      </c>
      <c r="X82" s="200">
        <f t="shared" si="8"/>
        <v>11.344640137963141</v>
      </c>
      <c r="Y82" s="200">
        <f t="shared" si="9"/>
        <v>0.34202014332566794</v>
      </c>
      <c r="AA82" s="203">
        <v>2.5579908700117316E-37</v>
      </c>
      <c r="AB82" s="204">
        <v>0.40765624857218646</v>
      </c>
      <c r="AC82" s="204">
        <v>0.94032194003810532</v>
      </c>
      <c r="AD82" s="204">
        <f t="shared" si="11"/>
        <v>1.3479781886102917</v>
      </c>
      <c r="AE82" s="185">
        <v>7755.1634836423273</v>
      </c>
      <c r="AF82" s="185">
        <v>203.82812428609324</v>
      </c>
      <c r="AG82" s="185">
        <v>470.16097001905268</v>
      </c>
    </row>
    <row r="83" spans="2:33" ht="11.1" customHeight="1" x14ac:dyDescent="0.15">
      <c r="B83" s="191">
        <v>22</v>
      </c>
      <c r="C83" s="192">
        <v>41619</v>
      </c>
      <c r="D83" s="193">
        <v>5614.4632905783164</v>
      </c>
      <c r="E83" s="194">
        <v>41609</v>
      </c>
      <c r="F83" s="191">
        <v>110</v>
      </c>
      <c r="G83" s="191">
        <v>280</v>
      </c>
      <c r="H83" s="195">
        <f t="shared" si="12"/>
        <v>390</v>
      </c>
      <c r="I83" s="208">
        <v>3.1443646812528252</v>
      </c>
      <c r="J83" s="191">
        <v>13</v>
      </c>
      <c r="K83" s="198">
        <f t="shared" si="10"/>
        <v>16.144364681252824</v>
      </c>
      <c r="L83" s="184"/>
      <c r="M83" s="593">
        <f t="shared" si="0"/>
        <v>83.979100753165369</v>
      </c>
      <c r="N83" s="198">
        <f t="shared" si="1"/>
        <v>20.444500000000001</v>
      </c>
      <c r="O83" s="195">
        <f t="shared" si="2"/>
        <v>70.862502391671043</v>
      </c>
      <c r="P83" s="594">
        <f t="shared" si="3"/>
        <v>181.60346369201193</v>
      </c>
      <c r="Q83" s="198">
        <f t="shared" si="4"/>
        <v>101.32230769230769</v>
      </c>
      <c r="R83" s="185">
        <f t="shared" si="5"/>
        <v>191.99518123089607</v>
      </c>
      <c r="S83" s="122"/>
      <c r="T83" s="171">
        <v>310</v>
      </c>
      <c r="U83" s="200">
        <f t="shared" si="6"/>
        <v>5.4105206811824216</v>
      </c>
      <c r="V83" s="201">
        <f t="shared" si="7"/>
        <v>0.64278760968653925</v>
      </c>
      <c r="W83" s="172">
        <v>680</v>
      </c>
      <c r="X83" s="200">
        <f t="shared" si="8"/>
        <v>11.868238913561441</v>
      </c>
      <c r="Y83" s="200">
        <f t="shared" si="9"/>
        <v>0.76604444311897824</v>
      </c>
      <c r="AA83" s="203">
        <v>2.2753536642122504E-38</v>
      </c>
      <c r="AB83" s="204">
        <v>0.39728534910155816</v>
      </c>
      <c r="AC83" s="204">
        <v>0.9386617637030682</v>
      </c>
      <c r="AD83" s="204">
        <f t="shared" si="11"/>
        <v>1.3359471128046263</v>
      </c>
      <c r="AE83" s="185">
        <v>7671.9961449121356</v>
      </c>
      <c r="AF83" s="185">
        <v>198.64267455077908</v>
      </c>
      <c r="AG83" s="185">
        <v>469.33088185153412</v>
      </c>
    </row>
    <row r="84" spans="2:33" ht="11.1" customHeight="1" x14ac:dyDescent="0.15">
      <c r="B84" s="191">
        <v>23</v>
      </c>
      <c r="C84" s="192">
        <v>41647</v>
      </c>
      <c r="D84" s="193">
        <v>5304.3017742670354</v>
      </c>
      <c r="E84" s="194">
        <v>41640</v>
      </c>
      <c r="F84" s="191">
        <v>76</v>
      </c>
      <c r="G84" s="191">
        <v>190</v>
      </c>
      <c r="H84" s="195">
        <f t="shared" si="12"/>
        <v>266</v>
      </c>
      <c r="I84" s="208">
        <v>3.0643710834054159</v>
      </c>
      <c r="J84" s="207">
        <v>6.5</v>
      </c>
      <c r="K84" s="198">
        <f t="shared" si="10"/>
        <v>9.5643710834054154</v>
      </c>
      <c r="L84" s="184"/>
      <c r="M84" s="593">
        <f t="shared" si="0"/>
        <v>77.3011549837329</v>
      </c>
      <c r="N84" s="198">
        <f t="shared" si="1"/>
        <v>20.461500000000001</v>
      </c>
      <c r="O84" s="195">
        <f t="shared" si="2"/>
        <v>60.317385686309684</v>
      </c>
      <c r="P84" s="594">
        <f t="shared" si="3"/>
        <v>171.22793108909769</v>
      </c>
      <c r="Q84" s="198">
        <f t="shared" si="4"/>
        <v>101.39153846153846</v>
      </c>
      <c r="R84" s="185">
        <f t="shared" si="5"/>
        <v>168.20015468298203</v>
      </c>
      <c r="S84" s="122"/>
      <c r="T84" s="171">
        <v>320</v>
      </c>
      <c r="U84" s="200">
        <f t="shared" si="6"/>
        <v>5.5850536063818543</v>
      </c>
      <c r="V84" s="201">
        <f t="shared" si="7"/>
        <v>0.76604444311897779</v>
      </c>
      <c r="W84" s="172">
        <v>710</v>
      </c>
      <c r="X84" s="200">
        <f t="shared" si="8"/>
        <v>12.39183768915974</v>
      </c>
      <c r="Y84" s="200">
        <f t="shared" si="9"/>
        <v>0.98480775301220802</v>
      </c>
      <c r="AA84" s="203">
        <v>2.0239455730428462E-39</v>
      </c>
      <c r="AB84" s="204">
        <v>0.38717828848095737</v>
      </c>
      <c r="AC84" s="204">
        <v>0.93700451847635291</v>
      </c>
      <c r="AD84" s="204">
        <f t="shared" si="11"/>
        <v>1.3241828069573103</v>
      </c>
      <c r="AE84" s="185">
        <v>7590.7431139347864</v>
      </c>
      <c r="AF84" s="185">
        <v>193.58914424047867</v>
      </c>
      <c r="AG84" s="185">
        <v>468.50225923817646</v>
      </c>
    </row>
    <row r="85" spans="2:33" ht="11.1" customHeight="1" x14ac:dyDescent="0.15">
      <c r="B85" s="191">
        <v>24</v>
      </c>
      <c r="C85" s="192">
        <v>41675</v>
      </c>
      <c r="D85" s="193">
        <v>4552.8582818920968</v>
      </c>
      <c r="E85" s="194">
        <v>41671</v>
      </c>
      <c r="F85" s="191">
        <v>46</v>
      </c>
      <c r="G85" s="191">
        <v>120</v>
      </c>
      <c r="H85" s="195">
        <f t="shared" si="12"/>
        <v>166</v>
      </c>
      <c r="I85" s="208">
        <v>2.9864125471190008</v>
      </c>
      <c r="J85" s="198">
        <v>6.2344874934176557</v>
      </c>
      <c r="K85" s="198">
        <f t="shared" si="10"/>
        <v>9.220900040536657</v>
      </c>
      <c r="L85" s="184"/>
      <c r="M85" s="593">
        <f t="shared" si="0"/>
        <v>71.154233710865981</v>
      </c>
      <c r="N85" s="198">
        <f t="shared" si="1"/>
        <v>20.476500000000001</v>
      </c>
      <c r="O85" s="195">
        <f t="shared" si="2"/>
        <v>51.953462130357451</v>
      </c>
      <c r="P85" s="594">
        <f t="shared" si="3"/>
        <v>161.44518275695441</v>
      </c>
      <c r="Q85" s="198">
        <f t="shared" si="4"/>
        <v>101.44538461538461</v>
      </c>
      <c r="R85" s="185">
        <f t="shared" si="5"/>
        <v>149.05561249246404</v>
      </c>
      <c r="S85" s="122"/>
      <c r="T85" s="171">
        <v>330</v>
      </c>
      <c r="U85" s="200">
        <f t="shared" si="6"/>
        <v>5.7595865315812871</v>
      </c>
      <c r="V85" s="201">
        <f t="shared" si="7"/>
        <v>0.86602540378443837</v>
      </c>
      <c r="W85" s="172">
        <v>740</v>
      </c>
      <c r="X85" s="200">
        <f t="shared" si="8"/>
        <v>12.915436464758038</v>
      </c>
      <c r="Y85" s="200">
        <f t="shared" si="9"/>
        <v>0.93969262078590865</v>
      </c>
      <c r="AA85" s="203">
        <v>1.8003160330936139E-40</v>
      </c>
      <c r="AB85" s="204">
        <v>0.37732835456945768</v>
      </c>
      <c r="AC85" s="204">
        <v>0.93535019918296891</v>
      </c>
      <c r="AD85" s="204">
        <f t="shared" si="11"/>
        <v>1.3126785537524266</v>
      </c>
      <c r="AE85" s="185">
        <v>7511.3560458834854</v>
      </c>
      <c r="AF85" s="185">
        <v>188.66417728472885</v>
      </c>
      <c r="AG85" s="185">
        <v>467.67509959148447</v>
      </c>
    </row>
    <row r="86" spans="2:33" ht="11.1" customHeight="1" x14ac:dyDescent="0.15">
      <c r="B86" s="191">
        <v>25</v>
      </c>
      <c r="C86" s="192">
        <v>41703</v>
      </c>
      <c r="D86" s="193">
        <v>5559.8715974806528</v>
      </c>
      <c r="E86" s="194">
        <v>41699</v>
      </c>
      <c r="F86" s="191">
        <v>49</v>
      </c>
      <c r="G86" s="191">
        <v>130</v>
      </c>
      <c r="H86" s="195">
        <f t="shared" si="12"/>
        <v>179</v>
      </c>
      <c r="I86" s="208">
        <v>2.9104372998059214</v>
      </c>
      <c r="J86" s="198">
        <v>6.2234802541340155</v>
      </c>
      <c r="K86" s="198">
        <f t="shared" si="10"/>
        <v>9.1339175539399378</v>
      </c>
      <c r="L86" s="184"/>
      <c r="M86" s="593">
        <f t="shared" si="0"/>
        <v>66.023410007130124</v>
      </c>
      <c r="N86" s="198">
        <f t="shared" si="1"/>
        <v>20.475000000000001</v>
      </c>
      <c r="O86" s="195">
        <f t="shared" si="2"/>
        <v>45.857451210423051</v>
      </c>
      <c r="P86" s="594">
        <f t="shared" si="3"/>
        <v>153.09045249536908</v>
      </c>
      <c r="Q86" s="198">
        <f t="shared" si="4"/>
        <v>101.43769230769232</v>
      </c>
      <c r="R86" s="185">
        <f t="shared" si="5"/>
        <v>134.93903507617941</v>
      </c>
      <c r="S86" s="122"/>
      <c r="T86" s="171">
        <v>340</v>
      </c>
      <c r="U86" s="200">
        <f t="shared" si="6"/>
        <v>5.9341194567807207</v>
      </c>
      <c r="V86" s="201">
        <f t="shared" si="7"/>
        <v>0.93969262078590843</v>
      </c>
      <c r="W86" s="172">
        <v>770</v>
      </c>
      <c r="X86" s="200">
        <f t="shared" si="8"/>
        <v>13.439035240356338</v>
      </c>
      <c r="Y86" s="200">
        <f t="shared" si="9"/>
        <v>0.64278760968653914</v>
      </c>
      <c r="AA86" s="203">
        <v>1.6013957401735719E-41</v>
      </c>
      <c r="AB86" s="204">
        <v>0.36772900598504726</v>
      </c>
      <c r="AC86" s="204">
        <v>0.93369880065706312</v>
      </c>
      <c r="AD86" s="204">
        <f t="shared" si="11"/>
        <v>1.3014278066421103</v>
      </c>
      <c r="AE86" s="185">
        <v>7433.7878252105038</v>
      </c>
      <c r="AF86" s="185">
        <v>183.86450299252363</v>
      </c>
      <c r="AG86" s="185">
        <v>466.84940032853154</v>
      </c>
    </row>
    <row r="87" spans="2:33" ht="11.1" customHeight="1" x14ac:dyDescent="0.15">
      <c r="B87" s="191">
        <v>26</v>
      </c>
      <c r="C87" s="192">
        <v>41739</v>
      </c>
      <c r="D87" s="193">
        <v>5397.9493997803338</v>
      </c>
      <c r="E87" s="194">
        <v>41730</v>
      </c>
      <c r="F87" s="191">
        <v>74</v>
      </c>
      <c r="G87" s="191">
        <v>210</v>
      </c>
      <c r="H87" s="195">
        <f t="shared" si="12"/>
        <v>284</v>
      </c>
      <c r="I87" s="208">
        <v>2.8155880081148852</v>
      </c>
      <c r="J87" s="198">
        <v>6.2093566402155362</v>
      </c>
      <c r="K87" s="198">
        <f t="shared" si="10"/>
        <v>9.0249446483304219</v>
      </c>
      <c r="L87" s="184"/>
      <c r="M87" s="593">
        <f t="shared" si="0"/>
        <v>60.773285302454703</v>
      </c>
      <c r="N87" s="198">
        <f t="shared" si="1"/>
        <v>20.462499999999999</v>
      </c>
      <c r="O87" s="195">
        <f t="shared" si="2"/>
        <v>74.18256226289806</v>
      </c>
      <c r="P87" s="594">
        <f t="shared" si="3"/>
        <v>144.34395092117873</v>
      </c>
      <c r="Q87" s="198">
        <f t="shared" si="4"/>
        <v>101.37615384615384</v>
      </c>
      <c r="R87" s="185">
        <f t="shared" si="5"/>
        <v>224.38568056284529</v>
      </c>
      <c r="S87" s="122"/>
      <c r="T87" s="199">
        <v>80</v>
      </c>
      <c r="U87" s="200">
        <f t="shared" si="6"/>
        <v>1.3962634015954636</v>
      </c>
      <c r="V87" s="201">
        <f t="shared" si="7"/>
        <v>0.17364817766693041</v>
      </c>
      <c r="W87" s="202">
        <v>800</v>
      </c>
      <c r="X87" s="200">
        <f t="shared" si="8"/>
        <v>13.962634015954636</v>
      </c>
      <c r="Y87" s="200">
        <f t="shared" si="9"/>
        <v>0.17364817766693069</v>
      </c>
      <c r="AA87" s="203">
        <v>7.1351927322093519E-43</v>
      </c>
      <c r="AB87" s="204">
        <v>0.35574495267654405</v>
      </c>
      <c r="AC87" s="204">
        <v>0.9315798574230314</v>
      </c>
      <c r="AD87" s="204">
        <f t="shared" si="11"/>
        <v>1.2873248100995753</v>
      </c>
      <c r="AE87" s="185">
        <v>7336.6560860908576</v>
      </c>
      <c r="AF87" s="185">
        <v>177.87247633827204</v>
      </c>
      <c r="AG87" s="185">
        <v>465.7899287115157</v>
      </c>
    </row>
    <row r="88" spans="2:33" ht="11.1" customHeight="1" x14ac:dyDescent="0.15">
      <c r="B88" s="191">
        <v>27</v>
      </c>
      <c r="C88" s="192">
        <v>41773</v>
      </c>
      <c r="D88" s="193">
        <v>6125.4047820935002</v>
      </c>
      <c r="E88" s="194">
        <v>41760</v>
      </c>
      <c r="F88" s="191">
        <v>120</v>
      </c>
      <c r="G88" s="191">
        <v>320</v>
      </c>
      <c r="H88" s="195">
        <f t="shared" si="12"/>
        <v>440</v>
      </c>
      <c r="I88" s="208">
        <v>2.728848107525057</v>
      </c>
      <c r="J88" s="191">
        <v>21</v>
      </c>
      <c r="K88" s="198">
        <f t="shared" si="10"/>
        <v>23.728848107525057</v>
      </c>
      <c r="L88" s="184"/>
      <c r="M88" s="593">
        <f t="shared" si="0"/>
        <v>56.090368253484485</v>
      </c>
      <c r="N88" s="198">
        <f t="shared" si="1"/>
        <v>20.439499999999999</v>
      </c>
      <c r="O88" s="195">
        <f t="shared" si="2"/>
        <v>105.84250840758911</v>
      </c>
      <c r="P88" s="594">
        <f t="shared" si="3"/>
        <v>136.35568460508864</v>
      </c>
      <c r="Q88" s="198">
        <f t="shared" si="4"/>
        <v>101.29153846153847</v>
      </c>
      <c r="R88" s="185">
        <f t="shared" si="5"/>
        <v>328.67139039305005</v>
      </c>
      <c r="S88" s="122"/>
      <c r="T88" s="199">
        <v>140</v>
      </c>
      <c r="U88" s="200">
        <f t="shared" si="6"/>
        <v>2.4434609527920612</v>
      </c>
      <c r="V88" s="201">
        <f t="shared" si="7"/>
        <v>-0.7660444431189779</v>
      </c>
      <c r="W88" s="202">
        <v>830</v>
      </c>
      <c r="X88" s="200">
        <f t="shared" si="8"/>
        <v>14.486232791552935</v>
      </c>
      <c r="Y88" s="200">
        <f t="shared" si="9"/>
        <v>-0.34202014332566782</v>
      </c>
      <c r="AA88" s="203">
        <v>3.7789702087923162E-44</v>
      </c>
      <c r="AB88" s="204">
        <v>0.34478550770747829</v>
      </c>
      <c r="AC88" s="204">
        <v>0.9295830488813579</v>
      </c>
      <c r="AD88" s="204">
        <f t="shared" si="11"/>
        <v>1.2743685565888363</v>
      </c>
      <c r="AE88" s="185">
        <v>7247.5262628413184</v>
      </c>
      <c r="AF88" s="185">
        <v>172.39275385373915</v>
      </c>
      <c r="AG88" s="185">
        <v>464.79152444067893</v>
      </c>
    </row>
    <row r="89" spans="2:33" ht="11.1" customHeight="1" x14ac:dyDescent="0.15">
      <c r="B89" s="191">
        <v>28</v>
      </c>
      <c r="C89" s="192">
        <v>41801</v>
      </c>
      <c r="D89" s="193">
        <v>5858.5930028990097</v>
      </c>
      <c r="E89" s="194">
        <v>41791</v>
      </c>
      <c r="F89" s="191">
        <v>110</v>
      </c>
      <c r="G89" s="191">
        <v>330</v>
      </c>
      <c r="H89" s="195">
        <f t="shared" si="12"/>
        <v>440</v>
      </c>
      <c r="I89" s="208">
        <v>2.659425378220944</v>
      </c>
      <c r="J89" s="191">
        <v>26</v>
      </c>
      <c r="K89" s="198">
        <f t="shared" si="10"/>
        <v>28.659425378220945</v>
      </c>
      <c r="L89" s="184"/>
      <c r="M89" s="593">
        <f t="shared" si="0"/>
        <v>51.630110474763896</v>
      </c>
      <c r="N89" s="198">
        <f t="shared" si="1"/>
        <v>20.444500000000001</v>
      </c>
      <c r="O89" s="195">
        <f t="shared" si="2"/>
        <v>108.11191571214584</v>
      </c>
      <c r="P89" s="594">
        <f t="shared" si="3"/>
        <v>128.56528885794515</v>
      </c>
      <c r="Q89" s="198">
        <f t="shared" si="4"/>
        <v>101.28384615384616</v>
      </c>
      <c r="R89" s="185">
        <f t="shared" si="5"/>
        <v>344.77370251768696</v>
      </c>
      <c r="S89" s="122"/>
      <c r="T89" s="199">
        <v>180</v>
      </c>
      <c r="U89" s="200">
        <f t="shared" si="6"/>
        <v>3.1415926535897931</v>
      </c>
      <c r="V89" s="201">
        <f t="shared" si="7"/>
        <v>-1</v>
      </c>
      <c r="W89" s="202">
        <v>860</v>
      </c>
      <c r="X89" s="200">
        <f t="shared" si="8"/>
        <v>15.009831567151235</v>
      </c>
      <c r="Y89" s="200">
        <f t="shared" si="9"/>
        <v>-0.76604444311897812</v>
      </c>
      <c r="AA89" s="203">
        <v>3.3614247073075828E-45</v>
      </c>
      <c r="AB89" s="204">
        <v>0.33601405908651921</v>
      </c>
      <c r="AC89" s="204">
        <v>0.92794183249206275</v>
      </c>
      <c r="AD89" s="204">
        <f t="shared" si="11"/>
        <v>1.263955891578582</v>
      </c>
      <c r="AE89" s="185">
        <v>7175.969996370528</v>
      </c>
      <c r="AF89" s="185">
        <v>168.00702954325962</v>
      </c>
      <c r="AG89" s="185">
        <v>463.97091624603138</v>
      </c>
    </row>
    <row r="90" spans="2:33" ht="11.1" customHeight="1" x14ac:dyDescent="0.15">
      <c r="B90" s="191">
        <v>29</v>
      </c>
      <c r="C90" s="192">
        <v>41829</v>
      </c>
      <c r="D90" s="193">
        <v>6078.7755614467223</v>
      </c>
      <c r="E90" s="194">
        <v>41821</v>
      </c>
      <c r="F90" s="191">
        <v>91</v>
      </c>
      <c r="G90" s="191">
        <v>290</v>
      </c>
      <c r="H90" s="195">
        <f t="shared" si="12"/>
        <v>381</v>
      </c>
      <c r="I90" s="208">
        <v>2.5917687843535173</v>
      </c>
      <c r="J90" s="191">
        <v>22</v>
      </c>
      <c r="K90" s="198">
        <f t="shared" si="10"/>
        <v>24.591768784353519</v>
      </c>
      <c r="L90" s="184"/>
      <c r="M90" s="593">
        <f t="shared" si="0"/>
        <v>47.651725508751198</v>
      </c>
      <c r="N90" s="198">
        <f t="shared" si="1"/>
        <v>20.454000000000001</v>
      </c>
      <c r="O90" s="195">
        <f t="shared" si="2"/>
        <v>97.596369725625379</v>
      </c>
      <c r="P90" s="594">
        <f t="shared" si="3"/>
        <v>121.45024344143765</v>
      </c>
      <c r="Q90" s="198">
        <f t="shared" si="4"/>
        <v>101.31461538461538</v>
      </c>
      <c r="R90" s="185">
        <f t="shared" si="5"/>
        <v>319.22487223296105</v>
      </c>
      <c r="S90" s="122"/>
      <c r="T90" s="199">
        <v>210</v>
      </c>
      <c r="U90" s="200">
        <f t="shared" si="6"/>
        <v>3.6651914291880923</v>
      </c>
      <c r="V90" s="201">
        <f t="shared" si="7"/>
        <v>-0.8660254037844386</v>
      </c>
      <c r="W90" s="202">
        <v>890</v>
      </c>
      <c r="X90" s="200">
        <f t="shared" si="8"/>
        <v>15.533430342749533</v>
      </c>
      <c r="Y90" s="200">
        <f t="shared" si="9"/>
        <v>-0.98480775301220802</v>
      </c>
      <c r="AA90" s="203">
        <v>2.9900145909085798E-46</v>
      </c>
      <c r="AB90" s="204">
        <v>0.3274657587974657</v>
      </c>
      <c r="AC90" s="204">
        <v>0.92630351373653963</v>
      </c>
      <c r="AD90" s="204">
        <f t="shared" si="11"/>
        <v>1.2537692725340053</v>
      </c>
      <c r="AE90" s="185">
        <v>7106.0349495868677</v>
      </c>
      <c r="AF90" s="185">
        <v>163.73287939873285</v>
      </c>
      <c r="AG90" s="185">
        <v>463.15175686826984</v>
      </c>
    </row>
    <row r="91" spans="2:33" ht="11.1" customHeight="1" x14ac:dyDescent="0.15">
      <c r="B91" s="191">
        <v>30</v>
      </c>
      <c r="C91" s="192">
        <v>41857</v>
      </c>
      <c r="D91" s="193">
        <v>6415.7542914436672</v>
      </c>
      <c r="E91" s="194">
        <v>41852</v>
      </c>
      <c r="F91" s="191">
        <v>74</v>
      </c>
      <c r="G91" s="191">
        <v>220</v>
      </c>
      <c r="H91" s="195">
        <f t="shared" si="12"/>
        <v>294</v>
      </c>
      <c r="I91" s="208">
        <v>2.5258333948978513</v>
      </c>
      <c r="J91" s="191">
        <v>21</v>
      </c>
      <c r="K91" s="198">
        <f t="shared" si="10"/>
        <v>23.525833394897852</v>
      </c>
      <c r="L91" s="184"/>
      <c r="M91" s="593">
        <f t="shared" si="0"/>
        <v>43.862501333767042</v>
      </c>
      <c r="N91" s="198">
        <f t="shared" si="1"/>
        <v>20.462499999999999</v>
      </c>
      <c r="O91" s="195">
        <f t="shared" si="2"/>
        <v>80.406251667208807</v>
      </c>
      <c r="P91" s="594">
        <f t="shared" si="3"/>
        <v>114.51143877967435</v>
      </c>
      <c r="Q91" s="198">
        <f t="shared" si="4"/>
        <v>101.36846153846153</v>
      </c>
      <c r="R91" s="185">
        <f t="shared" si="5"/>
        <v>269.8498753976699</v>
      </c>
      <c r="S91" s="122"/>
      <c r="T91" s="199">
        <v>240</v>
      </c>
      <c r="U91" s="200">
        <f t="shared" si="6"/>
        <v>4.1887902047863905</v>
      </c>
      <c r="V91" s="201">
        <f t="shared" si="7"/>
        <v>-0.50000000000000044</v>
      </c>
      <c r="W91" s="202">
        <v>920</v>
      </c>
      <c r="X91" s="200">
        <f t="shared" si="8"/>
        <v>16.057029118347831</v>
      </c>
      <c r="Y91" s="200">
        <f t="shared" si="9"/>
        <v>-0.93969262078590876</v>
      </c>
      <c r="AA91" s="203">
        <v>2.659642274423258E-47</v>
      </c>
      <c r="AB91" s="204">
        <v>0.31913492987859987</v>
      </c>
      <c r="AC91" s="204">
        <v>0.9246680874988995</v>
      </c>
      <c r="AD91" s="204">
        <f t="shared" si="11"/>
        <v>1.2438030173774994</v>
      </c>
      <c r="AE91" s="185">
        <v>7037.6802298506591</v>
      </c>
      <c r="AF91" s="185">
        <v>159.56746493929992</v>
      </c>
      <c r="AG91" s="185">
        <v>462.33404374944973</v>
      </c>
    </row>
    <row r="92" spans="2:33" ht="11.1" customHeight="1" x14ac:dyDescent="0.15">
      <c r="B92" s="191">
        <v>31</v>
      </c>
      <c r="C92" s="192">
        <v>41892</v>
      </c>
      <c r="D92" s="193">
        <v>5740.4185722325992</v>
      </c>
      <c r="E92" s="194">
        <v>41883</v>
      </c>
      <c r="F92" s="191">
        <v>72</v>
      </c>
      <c r="G92" s="191">
        <v>230</v>
      </c>
      <c r="H92" s="195">
        <f t="shared" si="12"/>
        <v>302</v>
      </c>
      <c r="I92" s="208">
        <v>2.4457680000281132</v>
      </c>
      <c r="J92" s="191">
        <v>22</v>
      </c>
      <c r="K92" s="198">
        <f t="shared" si="10"/>
        <v>24.445768000028114</v>
      </c>
      <c r="L92" s="184"/>
      <c r="M92" s="593">
        <f t="shared" si="0"/>
        <v>40.374593001913233</v>
      </c>
      <c r="N92" s="198">
        <f t="shared" si="1"/>
        <v>20.4635</v>
      </c>
      <c r="O92" s="195">
        <f t="shared" si="2"/>
        <v>71.242019646000585</v>
      </c>
      <c r="P92" s="594">
        <f t="shared" si="3"/>
        <v>107.96906815352763</v>
      </c>
      <c r="Q92" s="198">
        <f t="shared" si="4"/>
        <v>101.36076923076924</v>
      </c>
      <c r="R92" s="185">
        <f t="shared" si="5"/>
        <v>245.12734787655489</v>
      </c>
      <c r="S92" s="122"/>
      <c r="T92" s="199">
        <v>250</v>
      </c>
      <c r="U92" s="200">
        <f t="shared" si="6"/>
        <v>4.3633231299858242</v>
      </c>
      <c r="V92" s="201">
        <f t="shared" si="7"/>
        <v>-0.34202014332566855</v>
      </c>
      <c r="W92" s="202">
        <v>950</v>
      </c>
      <c r="X92" s="200">
        <f t="shared" si="8"/>
        <v>16.580627893946129</v>
      </c>
      <c r="Y92" s="200">
        <f t="shared" si="9"/>
        <v>-0.64278760968654058</v>
      </c>
      <c r="AA92" s="203">
        <v>1.2919943872901999E-48</v>
      </c>
      <c r="AB92" s="204">
        <v>0.30901879782132707</v>
      </c>
      <c r="AC92" s="204">
        <v>0.92262786452600309</v>
      </c>
      <c r="AD92" s="204">
        <f t="shared" si="11"/>
        <v>1.2316466623473301</v>
      </c>
      <c r="AE92" s="185">
        <v>6954.3985484760378</v>
      </c>
      <c r="AF92" s="185">
        <v>154.50939891066355</v>
      </c>
      <c r="AG92" s="185">
        <v>461.31393226300156</v>
      </c>
    </row>
    <row r="93" spans="2:33" ht="11.1" customHeight="1" x14ac:dyDescent="0.15">
      <c r="B93" s="191">
        <v>32</v>
      </c>
      <c r="C93" s="192">
        <v>41920</v>
      </c>
      <c r="D93" s="193">
        <v>5844.0591464817899</v>
      </c>
      <c r="E93" s="194">
        <v>41913</v>
      </c>
      <c r="F93" s="191">
        <v>63</v>
      </c>
      <c r="G93" s="191">
        <v>200</v>
      </c>
      <c r="H93" s="195">
        <f t="shared" si="12"/>
        <v>263</v>
      </c>
      <c r="I93" s="208">
        <v>2.3835469151174533</v>
      </c>
      <c r="J93" s="191">
        <v>14</v>
      </c>
      <c r="K93" s="198">
        <f t="shared" si="10"/>
        <v>16.383546915117453</v>
      </c>
      <c r="L93" s="184"/>
      <c r="M93" s="593">
        <f t="shared" si="0"/>
        <v>37.263507777987456</v>
      </c>
      <c r="N93" s="198">
        <f t="shared" si="1"/>
        <v>20.468</v>
      </c>
      <c r="O93" s="195">
        <f t="shared" si="2"/>
        <v>62.743993337793334</v>
      </c>
      <c r="P93" s="594">
        <f t="shared" si="3"/>
        <v>101.99385641236198</v>
      </c>
      <c r="Q93" s="198">
        <f t="shared" si="4"/>
        <v>101.38384615384615</v>
      </c>
      <c r="R93" s="185">
        <f t="shared" si="5"/>
        <v>221.03578628056266</v>
      </c>
      <c r="S93" s="122"/>
      <c r="T93" s="199">
        <v>260</v>
      </c>
      <c r="U93" s="200">
        <f t="shared" si="6"/>
        <v>4.5378560551852569</v>
      </c>
      <c r="V93" s="201">
        <f t="shared" si="7"/>
        <v>-0.17364817766693033</v>
      </c>
      <c r="W93" s="202">
        <v>980</v>
      </c>
      <c r="X93" s="200">
        <f t="shared" si="8"/>
        <v>17.104226669544431</v>
      </c>
      <c r="Y93" s="200">
        <f t="shared" si="9"/>
        <v>-0.17364817766692905</v>
      </c>
      <c r="AA93" s="203">
        <v>1.1492395057879849E-49</v>
      </c>
      <c r="AB93" s="204">
        <v>0.30115726522379133</v>
      </c>
      <c r="AC93" s="204">
        <v>0.92099892779538739</v>
      </c>
      <c r="AD93" s="204">
        <f t="shared" si="11"/>
        <v>1.2221561930191787</v>
      </c>
      <c r="AE93" s="185">
        <v>6889.4553934481455</v>
      </c>
      <c r="AF93" s="185">
        <v>150.57863261189567</v>
      </c>
      <c r="AG93" s="185">
        <v>460.49946389769372</v>
      </c>
    </row>
    <row r="94" spans="2:33" ht="11.1" customHeight="1" x14ac:dyDescent="0.15">
      <c r="B94" s="191">
        <v>33</v>
      </c>
      <c r="C94" s="192">
        <v>41948</v>
      </c>
      <c r="D94" s="193">
        <v>5455.4973707009112</v>
      </c>
      <c r="E94" s="194">
        <v>41944</v>
      </c>
      <c r="F94" s="191">
        <v>60</v>
      </c>
      <c r="G94" s="191">
        <v>190</v>
      </c>
      <c r="H94" s="195">
        <f t="shared" si="12"/>
        <v>250</v>
      </c>
      <c r="I94" s="208">
        <v>2.3229087536105717</v>
      </c>
      <c r="J94" s="191">
        <v>13</v>
      </c>
      <c r="K94" s="198">
        <f t="shared" si="10"/>
        <v>15.322908753610571</v>
      </c>
      <c r="L94" s="184"/>
      <c r="M94" s="593">
        <f t="shared" si="0"/>
        <v>34.30034573066289</v>
      </c>
      <c r="N94" s="198">
        <f t="shared" si="1"/>
        <v>20.4695</v>
      </c>
      <c r="O94" s="195">
        <f t="shared" si="2"/>
        <v>50.01450377954864</v>
      </c>
      <c r="P94" s="594">
        <f t="shared" si="3"/>
        <v>96.166651572821493</v>
      </c>
      <c r="Q94" s="198">
        <f t="shared" si="4"/>
        <v>101.39153846153846</v>
      </c>
      <c r="R94" s="185">
        <f t="shared" si="5"/>
        <v>180.4053801930381</v>
      </c>
      <c r="S94" s="122"/>
      <c r="T94" s="199">
        <v>280</v>
      </c>
      <c r="U94" s="200">
        <f t="shared" si="6"/>
        <v>4.8869219055841224</v>
      </c>
      <c r="V94" s="201">
        <f t="shared" si="7"/>
        <v>0.17364817766692997</v>
      </c>
      <c r="W94" s="202">
        <v>1010</v>
      </c>
      <c r="X94" s="200">
        <f t="shared" si="8"/>
        <v>17.627825445142729</v>
      </c>
      <c r="Y94" s="200">
        <f t="shared" si="9"/>
        <v>0.34202014332566938</v>
      </c>
      <c r="AA94" s="203">
        <v>1.022257878715669E-50</v>
      </c>
      <c r="AB94" s="204">
        <v>0.29349573241661725</v>
      </c>
      <c r="AC94" s="204">
        <v>0.91937286701831111</v>
      </c>
      <c r="AD94" s="204">
        <f t="shared" si="11"/>
        <v>1.2128685994349284</v>
      </c>
      <c r="AE94" s="185">
        <v>6825.9667089083323</v>
      </c>
      <c r="AF94" s="185">
        <v>146.74786620830864</v>
      </c>
      <c r="AG94" s="185">
        <v>459.68643350915556</v>
      </c>
    </row>
    <row r="95" spans="2:33" ht="11.1" customHeight="1" x14ac:dyDescent="0.15">
      <c r="B95" s="191">
        <v>34</v>
      </c>
      <c r="C95" s="192">
        <v>41984</v>
      </c>
      <c r="D95" s="193">
        <v>5528.019789099938</v>
      </c>
      <c r="E95" s="194">
        <v>41974</v>
      </c>
      <c r="F95" s="191">
        <v>60</v>
      </c>
      <c r="G95" s="191">
        <v>180</v>
      </c>
      <c r="H95" s="195">
        <f t="shared" si="12"/>
        <v>240</v>
      </c>
      <c r="I95" s="208">
        <v>2.2472066417809988</v>
      </c>
      <c r="J95" s="198">
        <v>6.1140851981782607</v>
      </c>
      <c r="K95" s="198">
        <f t="shared" si="10"/>
        <v>8.3612918399592591</v>
      </c>
      <c r="L95" s="184"/>
      <c r="M95" s="593">
        <f t="shared" si="0"/>
        <v>31.657314783622667</v>
      </c>
      <c r="N95" s="198">
        <f t="shared" ref="N95:N126" si="13">下駄1-(F95-40999)/除数11</f>
        <v>20.4695</v>
      </c>
      <c r="O95" s="195">
        <f t="shared" ref="O95:O126" si="14">(M95+N95)*(1-V95/除数12)</f>
        <v>35.37357944595378</v>
      </c>
      <c r="P95" s="594">
        <f t="shared" si="3"/>
        <v>90.844607811459895</v>
      </c>
      <c r="Q95" s="198">
        <f t="shared" ref="Q95:Q126" si="15">下駄2-(G95-40999)/除数21</f>
        <v>101.39923076923077</v>
      </c>
      <c r="R95" s="185">
        <f t="shared" ref="R95:R126" si="16">(P95+Q95)*(1-V95/除数22)</f>
        <v>130.45785984156714</v>
      </c>
      <c r="S95" s="122"/>
      <c r="T95" s="199">
        <v>310</v>
      </c>
      <c r="U95" s="200">
        <f t="shared" ref="U95:U126" si="17">PI()/180*T95</f>
        <v>5.4105206811824216</v>
      </c>
      <c r="V95" s="201">
        <f t="shared" ref="V95:V126" si="18">COS(U95)</f>
        <v>0.64278760968653925</v>
      </c>
      <c r="W95" s="202">
        <v>1040</v>
      </c>
      <c r="X95" s="200">
        <f t="shared" ref="X95:X126" si="19">PI()/180*W95</f>
        <v>18.151424220741028</v>
      </c>
      <c r="Y95" s="200">
        <f t="shared" ref="Y95:Y126" si="20">COS(X95)</f>
        <v>0.76604444311897812</v>
      </c>
      <c r="AA95" s="203">
        <v>4.5547810598428996E-52</v>
      </c>
      <c r="AB95" s="204">
        <v>0.28393089405507138</v>
      </c>
      <c r="AC95" s="204">
        <v>0.91728643516817909</v>
      </c>
      <c r="AD95" s="204">
        <f t="shared" si="11"/>
        <v>1.2012173292232504</v>
      </c>
      <c r="AE95" s="185">
        <v>6746.4167019038969</v>
      </c>
      <c r="AF95" s="185">
        <v>141.9654470275357</v>
      </c>
      <c r="AG95" s="185">
        <v>458.64321758408954</v>
      </c>
    </row>
    <row r="96" spans="2:33" ht="11.1" customHeight="1" x14ac:dyDescent="0.15">
      <c r="B96" s="191">
        <v>35</v>
      </c>
      <c r="C96" s="192">
        <v>42012</v>
      </c>
      <c r="D96" s="193">
        <v>5222.633697634481</v>
      </c>
      <c r="E96" s="194">
        <v>42005</v>
      </c>
      <c r="F96" s="191">
        <v>33</v>
      </c>
      <c r="G96" s="191">
        <v>110</v>
      </c>
      <c r="H96" s="195">
        <f t="shared" si="12"/>
        <v>143</v>
      </c>
      <c r="I96" s="208">
        <v>2.1900370184690368</v>
      </c>
      <c r="J96" s="198">
        <v>6.1032905340061108</v>
      </c>
      <c r="K96" s="198">
        <f t="shared" si="10"/>
        <v>8.293327552475148</v>
      </c>
      <c r="L96" s="184"/>
      <c r="M96" s="593">
        <f t="shared" si="0"/>
        <v>29.139952375179423</v>
      </c>
      <c r="N96" s="198">
        <f t="shared" si="13"/>
        <v>20.483000000000001</v>
      </c>
      <c r="O96" s="195">
        <f t="shared" si="14"/>
        <v>30.616258916097483</v>
      </c>
      <c r="P96" s="594">
        <f t="shared" si="3"/>
        <v>85.654391881739102</v>
      </c>
      <c r="Q96" s="198">
        <f t="shared" si="15"/>
        <v>101.45307692307692</v>
      </c>
      <c r="R96" s="185">
        <f t="shared" si="16"/>
        <v>115.44115043282261</v>
      </c>
      <c r="S96" s="122"/>
      <c r="T96" s="199">
        <v>320</v>
      </c>
      <c r="U96" s="200">
        <f t="shared" si="17"/>
        <v>5.5850536063818543</v>
      </c>
      <c r="V96" s="201">
        <f t="shared" si="18"/>
        <v>0.76604444311897779</v>
      </c>
      <c r="W96" s="202">
        <v>1070</v>
      </c>
      <c r="X96" s="200">
        <f t="shared" si="19"/>
        <v>18.675022996339326</v>
      </c>
      <c r="Y96" s="200">
        <f t="shared" si="20"/>
        <v>0.98480775301220802</v>
      </c>
      <c r="AA96" s="203">
        <v>4.0515147632840138E-53</v>
      </c>
      <c r="AB96" s="204">
        <v>0.27670760539173228</v>
      </c>
      <c r="AC96" s="204">
        <v>0.91566692894666635</v>
      </c>
      <c r="AD96" s="204">
        <f t="shared" si="11"/>
        <v>1.1923745343383987</v>
      </c>
      <c r="AE96" s="185">
        <v>6686.1163820486199</v>
      </c>
      <c r="AF96" s="185">
        <v>138.35380269586614</v>
      </c>
      <c r="AG96" s="185">
        <v>457.83346447333315</v>
      </c>
    </row>
    <row r="97" spans="2:33" ht="11.1" customHeight="1" x14ac:dyDescent="0.15">
      <c r="B97" s="191">
        <v>36</v>
      </c>
      <c r="C97" s="192">
        <v>42039</v>
      </c>
      <c r="D97" s="193">
        <v>4482.7598608583294</v>
      </c>
      <c r="E97" s="194">
        <v>42036</v>
      </c>
      <c r="F97" s="191">
        <v>20</v>
      </c>
      <c r="G97" s="191">
        <v>71</v>
      </c>
      <c r="H97" s="195">
        <f t="shared" si="12"/>
        <v>91</v>
      </c>
      <c r="I97" s="208">
        <v>2.1362870126352251</v>
      </c>
      <c r="J97" s="198">
        <v>6.092899443517263</v>
      </c>
      <c r="K97" s="198">
        <f t="shared" si="10"/>
        <v>8.2291864561524886</v>
      </c>
      <c r="L97" s="184"/>
      <c r="M97" s="593">
        <f t="shared" si="0"/>
        <v>26.822768457513348</v>
      </c>
      <c r="N97" s="198">
        <f t="shared" si="13"/>
        <v>20.4895</v>
      </c>
      <c r="O97" s="195">
        <f t="shared" si="14"/>
        <v>26.825455260075476</v>
      </c>
      <c r="P97" s="594">
        <f t="shared" si="3"/>
        <v>80.760708041771352</v>
      </c>
      <c r="Q97" s="198">
        <f t="shared" si="15"/>
        <v>101.48307692307692</v>
      </c>
      <c r="R97" s="185">
        <f t="shared" si="16"/>
        <v>103.32991123415472</v>
      </c>
      <c r="S97" s="122"/>
      <c r="T97" s="199">
        <v>330</v>
      </c>
      <c r="U97" s="200">
        <f t="shared" si="17"/>
        <v>5.7595865315812871</v>
      </c>
      <c r="V97" s="201">
        <f t="shared" si="18"/>
        <v>0.86602540378443837</v>
      </c>
      <c r="W97" s="202">
        <v>1100</v>
      </c>
      <c r="X97" s="200">
        <f t="shared" si="19"/>
        <v>19.198621771937624</v>
      </c>
      <c r="Y97" s="200">
        <f t="shared" si="20"/>
        <v>0.93969262078590876</v>
      </c>
      <c r="AA97" s="203">
        <v>3.9291418272513365E-54</v>
      </c>
      <c r="AB97" s="204">
        <v>0.26991637981945277</v>
      </c>
      <c r="AC97" s="204">
        <v>0.91410797024015922</v>
      </c>
      <c r="AD97" s="204">
        <f t="shared" si="11"/>
        <v>1.1840243500596119</v>
      </c>
      <c r="AE97" s="185">
        <v>6629.236728427808</v>
      </c>
      <c r="AF97" s="185">
        <v>134.95818990972637</v>
      </c>
      <c r="AG97" s="185">
        <v>457.05398512007963</v>
      </c>
    </row>
    <row r="98" spans="2:33" ht="11.1" customHeight="1" x14ac:dyDescent="0.15">
      <c r="B98" s="191">
        <v>37</v>
      </c>
      <c r="C98" s="192">
        <v>42067</v>
      </c>
      <c r="D98" s="193">
        <v>5474.268621063844</v>
      </c>
      <c r="E98" s="194">
        <v>42064</v>
      </c>
      <c r="F98" s="191">
        <v>26</v>
      </c>
      <c r="G98" s="191">
        <v>100</v>
      </c>
      <c r="H98" s="195">
        <f t="shared" si="12"/>
        <v>126</v>
      </c>
      <c r="I98" s="208">
        <v>2.0819392185659642</v>
      </c>
      <c r="J98" s="198">
        <v>6.0821421836499896</v>
      </c>
      <c r="K98" s="198">
        <f t="shared" si="10"/>
        <v>8.1640814022159542</v>
      </c>
      <c r="L98" s="184"/>
      <c r="M98" s="593">
        <f t="shared" si="0"/>
        <v>24.888619370041514</v>
      </c>
      <c r="N98" s="198">
        <f t="shared" si="13"/>
        <v>20.486499999999999</v>
      </c>
      <c r="O98" s="195">
        <f t="shared" si="14"/>
        <v>24.055786950387642</v>
      </c>
      <c r="P98" s="594">
        <f t="shared" si="3"/>
        <v>76.581370387334019</v>
      </c>
      <c r="Q98" s="198">
        <f t="shared" si="15"/>
        <v>101.46076923076923</v>
      </c>
      <c r="R98" s="185">
        <f t="shared" si="16"/>
        <v>94.389697224070218</v>
      </c>
      <c r="S98" s="122"/>
      <c r="T98" s="199">
        <v>340</v>
      </c>
      <c r="U98" s="200">
        <f t="shared" si="17"/>
        <v>5.9341194567807207</v>
      </c>
      <c r="V98" s="201">
        <f t="shared" si="18"/>
        <v>0.93969262078590843</v>
      </c>
      <c r="W98" s="202">
        <v>1130</v>
      </c>
      <c r="X98" s="200">
        <f t="shared" si="19"/>
        <v>19.722220547535922</v>
      </c>
      <c r="Y98" s="200">
        <f t="shared" si="20"/>
        <v>0.6427876096865407</v>
      </c>
      <c r="AA98" s="203">
        <v>3.4950035821687943E-55</v>
      </c>
      <c r="AB98" s="204">
        <v>0.26304962467860082</v>
      </c>
      <c r="AC98" s="204">
        <v>0.91249407572675478</v>
      </c>
      <c r="AD98" s="204">
        <f t="shared" si="11"/>
        <v>1.1755437004053557</v>
      </c>
      <c r="AE98" s="185">
        <v>6571.531734238034</v>
      </c>
      <c r="AF98" s="185">
        <v>131.52481233930041</v>
      </c>
      <c r="AG98" s="185">
        <v>456.24703786337739</v>
      </c>
    </row>
    <row r="99" spans="2:33" ht="11.1" customHeight="1" x14ac:dyDescent="0.15">
      <c r="B99" s="191">
        <v>38</v>
      </c>
      <c r="C99" s="192">
        <v>42095</v>
      </c>
      <c r="D99" s="193">
        <v>4911.22</v>
      </c>
      <c r="E99" s="194">
        <v>42095</v>
      </c>
      <c r="F99" s="191">
        <v>47</v>
      </c>
      <c r="G99" s="191">
        <v>170</v>
      </c>
      <c r="H99" s="195">
        <f t="shared" si="12"/>
        <v>217</v>
      </c>
      <c r="I99" s="208">
        <v>2.0289740489768047</v>
      </c>
      <c r="J99" s="198">
        <v>6.0714039161591602</v>
      </c>
      <c r="K99" s="198">
        <f t="shared" si="10"/>
        <v>8.1003779651359658</v>
      </c>
      <c r="L99" s="184"/>
      <c r="M99" s="593">
        <f t="shared" si="0"/>
        <v>22.909497791713367</v>
      </c>
      <c r="N99" s="198">
        <f t="shared" si="13"/>
        <v>20.475999999999999</v>
      </c>
      <c r="O99" s="195">
        <f t="shared" si="14"/>
        <v>39.618591477361534</v>
      </c>
      <c r="P99" s="594">
        <f t="shared" si="3"/>
        <v>72.206054580708368</v>
      </c>
      <c r="Q99" s="198">
        <f t="shared" si="15"/>
        <v>101.40692307692308</v>
      </c>
      <c r="R99" s="185">
        <f t="shared" si="16"/>
        <v>158.53918906284284</v>
      </c>
      <c r="S99" s="122"/>
      <c r="T99" s="171">
        <v>80</v>
      </c>
      <c r="U99" s="200">
        <f t="shared" si="17"/>
        <v>1.3962634015954636</v>
      </c>
      <c r="V99" s="201">
        <f t="shared" si="18"/>
        <v>0.17364817766693041</v>
      </c>
      <c r="W99" s="172">
        <v>1160</v>
      </c>
      <c r="X99" s="200">
        <f t="shared" si="19"/>
        <v>20.245819323134224</v>
      </c>
      <c r="Y99" s="200">
        <f t="shared" si="20"/>
        <v>0.17364817766692919</v>
      </c>
      <c r="AA99" s="203">
        <v>3.1088340855127248E-56</v>
      </c>
      <c r="AB99" s="204">
        <v>0.25635756188578623</v>
      </c>
      <c r="AC99" s="204">
        <v>0.91088303060924769</v>
      </c>
      <c r="AD99" s="204">
        <f t="shared" si="11"/>
        <v>1.167240592495034</v>
      </c>
      <c r="AE99" s="185">
        <v>6515.09889518007</v>
      </c>
      <c r="AF99" s="185">
        <v>128.17878094289313</v>
      </c>
      <c r="AG99" s="185">
        <v>455.44151530462386</v>
      </c>
    </row>
    <row r="100" spans="2:33" ht="11.1" customHeight="1" x14ac:dyDescent="0.15">
      <c r="B100" s="191">
        <v>39</v>
      </c>
      <c r="C100" s="192">
        <v>42131</v>
      </c>
      <c r="D100" s="193">
        <v>5017.6899999999996</v>
      </c>
      <c r="E100" s="194">
        <v>42125</v>
      </c>
      <c r="F100" s="191">
        <v>67</v>
      </c>
      <c r="G100" s="191">
        <v>230</v>
      </c>
      <c r="H100" s="195">
        <f t="shared" si="12"/>
        <v>297</v>
      </c>
      <c r="I100" s="208">
        <v>1.9628510813328102</v>
      </c>
      <c r="J100" s="198">
        <v>6.0576254254508433</v>
      </c>
      <c r="K100" s="198">
        <f t="shared" si="10"/>
        <v>8.0204765067836536</v>
      </c>
      <c r="L100" s="184"/>
      <c r="M100" s="593">
        <f t="shared" si="0"/>
        <v>21.144194546081089</v>
      </c>
      <c r="N100" s="198">
        <f t="shared" si="13"/>
        <v>20.466000000000001</v>
      </c>
      <c r="O100" s="195">
        <f t="shared" si="14"/>
        <v>57.547823700643598</v>
      </c>
      <c r="P100" s="594">
        <f t="shared" si="3"/>
        <v>68.210035419920615</v>
      </c>
      <c r="Q100" s="198">
        <f t="shared" si="15"/>
        <v>101.36076923076924</v>
      </c>
      <c r="R100" s="185">
        <f t="shared" si="16"/>
        <v>234.52019095962723</v>
      </c>
      <c r="S100" s="122"/>
      <c r="T100" s="171">
        <v>140</v>
      </c>
      <c r="U100" s="200">
        <f t="shared" si="17"/>
        <v>2.4434609527920612</v>
      </c>
      <c r="V100" s="201">
        <f t="shared" si="18"/>
        <v>-0.7660444431189779</v>
      </c>
      <c r="W100" s="172">
        <v>1190</v>
      </c>
      <c r="X100" s="200">
        <f t="shared" si="19"/>
        <v>20.769418098732523</v>
      </c>
      <c r="Y100" s="200">
        <f t="shared" si="20"/>
        <v>-0.34202014332566927</v>
      </c>
      <c r="AA100" s="203">
        <v>1.3851748082076719E-57</v>
      </c>
      <c r="AB100" s="204">
        <v>0.24800303276876004</v>
      </c>
      <c r="AC100" s="204">
        <v>0.9088158656591101</v>
      </c>
      <c r="AD100" s="204">
        <f t="shared" si="11"/>
        <v>1.1568188984278702</v>
      </c>
      <c r="AE100" s="185">
        <v>6444.3602430914034</v>
      </c>
      <c r="AF100" s="185">
        <v>124.00151638438003</v>
      </c>
      <c r="AG100" s="185">
        <v>454.40793282955502</v>
      </c>
    </row>
    <row r="101" spans="2:33" ht="11.1" customHeight="1" x14ac:dyDescent="0.15">
      <c r="B101" s="191">
        <v>40</v>
      </c>
      <c r="C101" s="192">
        <v>42158</v>
      </c>
      <c r="D101" s="193">
        <v>5245.7</v>
      </c>
      <c r="E101" s="194">
        <v>42156</v>
      </c>
      <c r="F101" s="191">
        <v>58</v>
      </c>
      <c r="G101" s="191">
        <v>240</v>
      </c>
      <c r="H101" s="195">
        <f t="shared" si="12"/>
        <v>298</v>
      </c>
      <c r="I101" s="208">
        <v>1.9146768924114306</v>
      </c>
      <c r="J101" s="191">
        <v>18</v>
      </c>
      <c r="K101" s="198">
        <f t="shared" si="10"/>
        <v>19.914676892411432</v>
      </c>
      <c r="L101" s="184"/>
      <c r="M101" s="593">
        <f t="shared" si="0"/>
        <v>19.46282640507086</v>
      </c>
      <c r="N101" s="198">
        <f t="shared" si="13"/>
        <v>20.470500000000001</v>
      </c>
      <c r="O101" s="195">
        <f t="shared" si="14"/>
        <v>59.899989607606287</v>
      </c>
      <c r="P101" s="594">
        <f t="shared" si="3"/>
        <v>64.312998260180336</v>
      </c>
      <c r="Q101" s="198">
        <f t="shared" si="15"/>
        <v>101.35307692307693</v>
      </c>
      <c r="R101" s="185">
        <f t="shared" si="16"/>
        <v>248.49911277488587</v>
      </c>
      <c r="S101" s="122"/>
      <c r="T101" s="171">
        <v>180</v>
      </c>
      <c r="U101" s="200">
        <f t="shared" si="17"/>
        <v>3.1415926535897931</v>
      </c>
      <c r="V101" s="201">
        <f t="shared" si="18"/>
        <v>-1</v>
      </c>
      <c r="W101" s="172">
        <v>1220</v>
      </c>
      <c r="X101" s="200">
        <f t="shared" si="19"/>
        <v>21.293016874330821</v>
      </c>
      <c r="Y101" s="200">
        <f t="shared" si="20"/>
        <v>-0.76604444311897801</v>
      </c>
      <c r="AA101" s="203">
        <v>1.3433366518383738E-58</v>
      </c>
      <c r="AB101" s="204">
        <v>0.24191630256935798</v>
      </c>
      <c r="AC101" s="204">
        <v>0.90726857115540793</v>
      </c>
      <c r="AD101" s="204">
        <f t="shared" si="11"/>
        <v>1.1491848737247659</v>
      </c>
      <c r="AE101" s="185">
        <v>6392.611796113446</v>
      </c>
      <c r="AF101" s="185">
        <v>120.95815128467899</v>
      </c>
      <c r="AG101" s="185">
        <v>453.63428557770396</v>
      </c>
    </row>
    <row r="102" spans="2:33" ht="11.1" customHeight="1" x14ac:dyDescent="0.15">
      <c r="B102" s="191">
        <v>41</v>
      </c>
      <c r="C102" s="192">
        <v>42193</v>
      </c>
      <c r="D102" s="193">
        <v>5444.63</v>
      </c>
      <c r="E102" s="194">
        <v>42186</v>
      </c>
      <c r="F102" s="191">
        <v>56</v>
      </c>
      <c r="G102" s="191">
        <v>230</v>
      </c>
      <c r="H102" s="195">
        <f t="shared" si="12"/>
        <v>286</v>
      </c>
      <c r="I102" s="208">
        <v>1.8539843060561512</v>
      </c>
      <c r="J102" s="198">
        <v>6.033969061324183</v>
      </c>
      <c r="K102" s="198">
        <f t="shared" si="10"/>
        <v>7.8879533673803337</v>
      </c>
      <c r="L102" s="184"/>
      <c r="M102" s="593">
        <f t="shared" si="0"/>
        <v>17.963108212449608</v>
      </c>
      <c r="N102" s="198">
        <f t="shared" si="13"/>
        <v>20.471499999999999</v>
      </c>
      <c r="O102" s="195">
        <f t="shared" si="14"/>
        <v>55.077281760691285</v>
      </c>
      <c r="P102" s="594">
        <f t="shared" si="3"/>
        <v>60.753795713694004</v>
      </c>
      <c r="Q102" s="198">
        <f t="shared" si="15"/>
        <v>101.36076923076924</v>
      </c>
      <c r="R102" s="185">
        <f t="shared" si="16"/>
        <v>232.3122307271469</v>
      </c>
      <c r="S102" s="122"/>
      <c r="T102" s="171">
        <v>210</v>
      </c>
      <c r="U102" s="200">
        <f t="shared" si="17"/>
        <v>3.6651914291880923</v>
      </c>
      <c r="V102" s="201">
        <f t="shared" si="18"/>
        <v>-0.8660254037844386</v>
      </c>
      <c r="W102" s="172">
        <v>1250</v>
      </c>
      <c r="X102" s="200">
        <f t="shared" si="19"/>
        <v>21.816615649929119</v>
      </c>
      <c r="Y102" s="200">
        <f t="shared" si="20"/>
        <v>-0.98480775301220791</v>
      </c>
      <c r="AA102" s="203">
        <v>6.525627266143427E-60</v>
      </c>
      <c r="AB102" s="204">
        <v>0.23424789327135445</v>
      </c>
      <c r="AC102" s="204">
        <v>0.90526673913970079</v>
      </c>
      <c r="AD102" s="204">
        <f t="shared" si="11"/>
        <v>1.1395146324110552</v>
      </c>
      <c r="AE102" s="185">
        <v>6327.1472062096764</v>
      </c>
      <c r="AF102" s="185">
        <v>117.12394663567723</v>
      </c>
      <c r="AG102" s="185">
        <v>452.6333695698504</v>
      </c>
    </row>
    <row r="103" spans="2:33" ht="11.1" customHeight="1" x14ac:dyDescent="0.15">
      <c r="B103" s="191">
        <v>42</v>
      </c>
      <c r="C103" s="192">
        <v>42221</v>
      </c>
      <c r="D103" s="193">
        <v>5507.05</v>
      </c>
      <c r="E103" s="194">
        <v>42217</v>
      </c>
      <c r="F103" s="191">
        <v>39</v>
      </c>
      <c r="G103" s="191">
        <v>170</v>
      </c>
      <c r="H103" s="195">
        <f t="shared" si="12"/>
        <v>209</v>
      </c>
      <c r="I103" s="208">
        <v>1.8068183790635559</v>
      </c>
      <c r="J103" s="191">
        <v>17</v>
      </c>
      <c r="K103" s="198">
        <f t="shared" si="10"/>
        <v>18.806818379063557</v>
      </c>
      <c r="L103" s="184"/>
      <c r="M103" s="593">
        <f t="shared" si="0"/>
        <v>16.534697317151174</v>
      </c>
      <c r="N103" s="198">
        <f t="shared" si="13"/>
        <v>20.48</v>
      </c>
      <c r="O103" s="195">
        <f t="shared" si="14"/>
        <v>46.268371646438979</v>
      </c>
      <c r="P103" s="594">
        <f t="shared" si="3"/>
        <v>57.282755154427697</v>
      </c>
      <c r="Q103" s="198">
        <f t="shared" si="15"/>
        <v>101.40692307692308</v>
      </c>
      <c r="R103" s="185">
        <f t="shared" si="16"/>
        <v>198.36209778918848</v>
      </c>
      <c r="S103" s="122"/>
      <c r="T103" s="171">
        <v>240</v>
      </c>
      <c r="U103" s="200">
        <f t="shared" si="17"/>
        <v>4.1887902047863905</v>
      </c>
      <c r="V103" s="201">
        <f t="shared" si="18"/>
        <v>-0.50000000000000044</v>
      </c>
      <c r="W103" s="172">
        <v>1280</v>
      </c>
      <c r="X103" s="200">
        <f t="shared" si="19"/>
        <v>22.340214425527417</v>
      </c>
      <c r="Y103" s="200">
        <f t="shared" si="20"/>
        <v>-0.93969262078590887</v>
      </c>
      <c r="AA103" s="203">
        <v>5.8045984781933596E-61</v>
      </c>
      <c r="AB103" s="204">
        <v>0.22828855532220599</v>
      </c>
      <c r="AC103" s="204">
        <v>0.903668454176622</v>
      </c>
      <c r="AD103" s="204">
        <f t="shared" si="11"/>
        <v>1.131957009498828</v>
      </c>
      <c r="AE103" s="185">
        <v>6276.054406070989</v>
      </c>
      <c r="AF103" s="185">
        <v>114.14427766110299</v>
      </c>
      <c r="AG103" s="185">
        <v>451.83422708831102</v>
      </c>
    </row>
    <row r="104" spans="2:33" ht="11.1" customHeight="1" x14ac:dyDescent="0.15">
      <c r="B104" s="191">
        <v>43</v>
      </c>
      <c r="C104" s="192">
        <v>42249</v>
      </c>
      <c r="D104" s="193">
        <v>5124.37</v>
      </c>
      <c r="E104" s="194">
        <v>42248</v>
      </c>
      <c r="F104" s="191">
        <v>35</v>
      </c>
      <c r="G104" s="191">
        <v>160</v>
      </c>
      <c r="H104" s="195">
        <f t="shared" si="12"/>
        <v>195</v>
      </c>
      <c r="I104" s="208">
        <v>1.760852367659137</v>
      </c>
      <c r="J104" s="198">
        <v>6.0126814382084532</v>
      </c>
      <c r="K104" s="198">
        <f t="shared" si="10"/>
        <v>7.77353380586759</v>
      </c>
      <c r="L104" s="184"/>
      <c r="M104" s="593">
        <f t="shared" si="0"/>
        <v>15.219872426105235</v>
      </c>
      <c r="N104" s="198">
        <f t="shared" si="13"/>
        <v>20.481999999999999</v>
      </c>
      <c r="O104" s="195">
        <f t="shared" si="14"/>
        <v>41.807252188190851</v>
      </c>
      <c r="P104" s="594">
        <f t="shared" si="3"/>
        <v>54.010025209708829</v>
      </c>
      <c r="Q104" s="198">
        <f t="shared" si="15"/>
        <v>101.41461538461539</v>
      </c>
      <c r="R104" s="185">
        <f t="shared" si="16"/>
        <v>182.00381952052985</v>
      </c>
      <c r="S104" s="122"/>
      <c r="T104" s="171">
        <v>250</v>
      </c>
      <c r="U104" s="200">
        <f t="shared" si="17"/>
        <v>4.3633231299858242</v>
      </c>
      <c r="V104" s="201">
        <f t="shared" si="18"/>
        <v>-0.34202014332566855</v>
      </c>
      <c r="W104" s="172">
        <v>1310</v>
      </c>
      <c r="X104" s="200">
        <f t="shared" si="19"/>
        <v>22.863813201125716</v>
      </c>
      <c r="Y104" s="200">
        <f t="shared" si="20"/>
        <v>-0.64278760968654081</v>
      </c>
      <c r="AA104" s="203">
        <v>5.1632375124848392E-62</v>
      </c>
      <c r="AB104" s="204">
        <v>0.22248082475059341</v>
      </c>
      <c r="AC104" s="204">
        <v>0.90207299105014993</v>
      </c>
      <c r="AD104" s="204">
        <f t="shared" si="11"/>
        <v>1.1245538158007433</v>
      </c>
      <c r="AE104" s="185">
        <v>6226.0674393510199</v>
      </c>
      <c r="AF104" s="185">
        <v>111.24041237529671</v>
      </c>
      <c r="AG104" s="185">
        <v>451.03649552507494</v>
      </c>
    </row>
    <row r="105" spans="2:33" ht="11.1" customHeight="1" x14ac:dyDescent="0.15">
      <c r="B105" s="191">
        <v>44</v>
      </c>
      <c r="C105" s="192">
        <v>42284</v>
      </c>
      <c r="D105" s="193">
        <v>5005.3</v>
      </c>
      <c r="E105" s="194">
        <v>42278</v>
      </c>
      <c r="F105" s="191">
        <v>34</v>
      </c>
      <c r="G105" s="191">
        <v>160</v>
      </c>
      <c r="H105" s="195">
        <f t="shared" si="12"/>
        <v>194</v>
      </c>
      <c r="I105" s="208">
        <v>1.7050358041404479</v>
      </c>
      <c r="J105" s="191">
        <v>11</v>
      </c>
      <c r="K105" s="198">
        <f t="shared" si="10"/>
        <v>12.705035804140447</v>
      </c>
      <c r="L105" s="184"/>
      <c r="M105" s="593">
        <f t="shared" si="0"/>
        <v>14.047097255030502</v>
      </c>
      <c r="N105" s="198">
        <f t="shared" si="13"/>
        <v>20.482500000000002</v>
      </c>
      <c r="O105" s="195">
        <f t="shared" si="14"/>
        <v>37.527598074485049</v>
      </c>
      <c r="P105" s="594">
        <f t="shared" si="3"/>
        <v>51.021008611780928</v>
      </c>
      <c r="Q105" s="198">
        <f t="shared" si="15"/>
        <v>101.41461538461539</v>
      </c>
      <c r="R105" s="185">
        <f t="shared" si="16"/>
        <v>165.67070815564415</v>
      </c>
      <c r="S105" s="122"/>
      <c r="T105" s="171">
        <v>260</v>
      </c>
      <c r="U105" s="200">
        <f t="shared" si="17"/>
        <v>4.5378560551852569</v>
      </c>
      <c r="V105" s="201">
        <f t="shared" si="18"/>
        <v>-0.17364817766693033</v>
      </c>
      <c r="W105" s="172">
        <v>1340</v>
      </c>
      <c r="X105" s="200">
        <f t="shared" si="19"/>
        <v>23.387411976724017</v>
      </c>
      <c r="Y105" s="200">
        <f t="shared" si="20"/>
        <v>-0.1736481776669293</v>
      </c>
      <c r="AA105" s="203">
        <v>2.5081846346510251E-63</v>
      </c>
      <c r="AB105" s="204">
        <v>0.21542849298532998</v>
      </c>
      <c r="AC105" s="204">
        <v>0.90008262276075857</v>
      </c>
      <c r="AD105" s="204">
        <f t="shared" si="11"/>
        <v>1.1155111157460886</v>
      </c>
      <c r="AE105" s="185">
        <v>6165.096539996619</v>
      </c>
      <c r="AF105" s="185">
        <v>107.714246492665</v>
      </c>
      <c r="AG105" s="185">
        <v>450.04131138037928</v>
      </c>
    </row>
    <row r="106" spans="2:33" ht="11.1" customHeight="1" x14ac:dyDescent="0.15">
      <c r="B106" s="191">
        <v>45</v>
      </c>
      <c r="C106" s="192">
        <v>42312</v>
      </c>
      <c r="D106" s="193">
        <v>4810.2299999999996</v>
      </c>
      <c r="E106" s="194">
        <v>42309</v>
      </c>
      <c r="F106" s="191">
        <v>39</v>
      </c>
      <c r="G106" s="191">
        <v>170</v>
      </c>
      <c r="H106" s="195">
        <f t="shared" si="12"/>
        <v>209</v>
      </c>
      <c r="I106" s="208">
        <v>1.6616591725286518</v>
      </c>
      <c r="J106" s="191">
        <v>10</v>
      </c>
      <c r="K106" s="198">
        <f t="shared" si="10"/>
        <v>11.661659172528651</v>
      </c>
      <c r="L106" s="184"/>
      <c r="M106" s="593">
        <f t="shared" si="0"/>
        <v>12.930084178613377</v>
      </c>
      <c r="N106" s="198">
        <f t="shared" si="13"/>
        <v>20.48</v>
      </c>
      <c r="O106" s="195">
        <f t="shared" si="14"/>
        <v>30.509284061955903</v>
      </c>
      <c r="P106" s="594">
        <f t="shared" si="3"/>
        <v>48.106030408596013</v>
      </c>
      <c r="Q106" s="198">
        <f t="shared" si="15"/>
        <v>101.40692307692308</v>
      </c>
      <c r="R106" s="185">
        <f t="shared" si="16"/>
        <v>136.53162753033865</v>
      </c>
      <c r="S106" s="122"/>
      <c r="T106" s="171">
        <v>280</v>
      </c>
      <c r="U106" s="200">
        <f t="shared" si="17"/>
        <v>4.8869219055841224</v>
      </c>
      <c r="V106" s="201">
        <f t="shared" si="18"/>
        <v>0.17364817766692997</v>
      </c>
      <c r="W106" s="172">
        <v>1370</v>
      </c>
      <c r="X106" s="200">
        <f t="shared" si="19"/>
        <v>23.911010752322316</v>
      </c>
      <c r="Y106" s="200">
        <f t="shared" si="20"/>
        <v>0.34202014332566916</v>
      </c>
      <c r="AA106" s="203">
        <v>2.2310506131509309E-64</v>
      </c>
      <c r="AB106" s="204">
        <v>0.20994792632730608</v>
      </c>
      <c r="AC106" s="204">
        <v>0.89849349056436967</v>
      </c>
      <c r="AD106" s="204">
        <f t="shared" si="11"/>
        <v>1.1084414168916759</v>
      </c>
      <c r="AE106" s="185">
        <v>6117.4971647689581</v>
      </c>
      <c r="AF106" s="185">
        <v>104.97396316365304</v>
      </c>
      <c r="AG106" s="185">
        <v>449.24674528218486</v>
      </c>
    </row>
    <row r="107" spans="2:33" ht="11.1" customHeight="1" x14ac:dyDescent="0.15">
      <c r="B107" s="191">
        <v>46</v>
      </c>
      <c r="C107" s="192">
        <v>42340</v>
      </c>
      <c r="D107" s="193">
        <v>5090.9399999999996</v>
      </c>
      <c r="E107" s="194">
        <v>42339</v>
      </c>
      <c r="F107" s="191">
        <v>33</v>
      </c>
      <c r="G107" s="191">
        <v>140</v>
      </c>
      <c r="H107" s="195">
        <f t="shared" si="12"/>
        <v>173</v>
      </c>
      <c r="I107" s="208">
        <v>1.6193860556732116</v>
      </c>
      <c r="J107" s="198">
        <v>5</v>
      </c>
      <c r="K107" s="198">
        <f t="shared" si="10"/>
        <v>6.6193860556732114</v>
      </c>
      <c r="L107" s="184"/>
      <c r="M107" s="593">
        <f t="shared" si="0"/>
        <v>11.933749829675319</v>
      </c>
      <c r="N107" s="198">
        <f t="shared" si="13"/>
        <v>20.483000000000001</v>
      </c>
      <c r="O107" s="195">
        <f t="shared" si="14"/>
        <v>21.998207261263556</v>
      </c>
      <c r="P107" s="594">
        <f t="shared" si="3"/>
        <v>45.44375201132781</v>
      </c>
      <c r="Q107" s="198">
        <f t="shared" si="15"/>
        <v>101.43</v>
      </c>
      <c r="R107" s="185">
        <f t="shared" si="16"/>
        <v>99.669438020800342</v>
      </c>
      <c r="S107" s="122"/>
      <c r="T107" s="171">
        <v>310</v>
      </c>
      <c r="U107" s="200">
        <f t="shared" si="17"/>
        <v>5.4105206811824216</v>
      </c>
      <c r="V107" s="201">
        <f t="shared" si="18"/>
        <v>0.64278760968653925</v>
      </c>
      <c r="W107" s="172">
        <v>1400</v>
      </c>
      <c r="X107" s="200">
        <f t="shared" si="19"/>
        <v>24.434609527920614</v>
      </c>
      <c r="Y107" s="200">
        <f t="shared" si="20"/>
        <v>0.7660444431189779</v>
      </c>
      <c r="AA107" s="203">
        <v>1.9845376491327153E-65</v>
      </c>
      <c r="AB107" s="204">
        <v>0.20460678695894485</v>
      </c>
      <c r="AC107" s="204">
        <v>0.89690716404500836</v>
      </c>
      <c r="AD107" s="204">
        <f t="shared" si="11"/>
        <v>1.1015139510039531</v>
      </c>
      <c r="AE107" s="185">
        <v>6070.9158600298852</v>
      </c>
      <c r="AF107" s="185">
        <v>102.30339347947243</v>
      </c>
      <c r="AG107" s="185">
        <v>448.45358202250418</v>
      </c>
    </row>
    <row r="108" spans="2:33" ht="11.1" customHeight="1" x14ac:dyDescent="0.15">
      <c r="B108" s="191">
        <v>47</v>
      </c>
      <c r="C108" s="192">
        <v>42375</v>
      </c>
      <c r="D108" s="193">
        <v>4515.71</v>
      </c>
      <c r="E108" s="194">
        <v>42370</v>
      </c>
      <c r="F108" s="191">
        <v>23</v>
      </c>
      <c r="G108" s="191">
        <v>110</v>
      </c>
      <c r="H108" s="195">
        <f t="shared" si="12"/>
        <v>133</v>
      </c>
      <c r="I108" s="208">
        <v>1.5680537768871574</v>
      </c>
      <c r="J108" s="198">
        <v>4.5885065185998704</v>
      </c>
      <c r="K108" s="198">
        <f t="shared" si="10"/>
        <v>6.1565602954870275</v>
      </c>
      <c r="L108" s="184"/>
      <c r="M108" s="593">
        <f t="shared" si="0"/>
        <v>10.984788320516241</v>
      </c>
      <c r="N108" s="198">
        <f t="shared" si="13"/>
        <v>20.488</v>
      </c>
      <c r="O108" s="195">
        <f t="shared" si="14"/>
        <v>19.418011019320573</v>
      </c>
      <c r="P108" s="594">
        <f t="shared" si="3"/>
        <v>42.847418653986558</v>
      </c>
      <c r="Q108" s="198">
        <f t="shared" si="15"/>
        <v>101.45307692307692</v>
      </c>
      <c r="R108" s="185">
        <f t="shared" si="16"/>
        <v>89.030199189001422</v>
      </c>
      <c r="S108" s="122"/>
      <c r="T108" s="171">
        <v>320</v>
      </c>
      <c r="U108" s="200">
        <f t="shared" si="17"/>
        <v>5.5850536063818543</v>
      </c>
      <c r="V108" s="201">
        <f t="shared" si="18"/>
        <v>0.76604444311897779</v>
      </c>
      <c r="W108" s="172">
        <v>1430</v>
      </c>
      <c r="X108" s="200">
        <f t="shared" si="19"/>
        <v>24.958208303518912</v>
      </c>
      <c r="Y108" s="200">
        <f t="shared" si="20"/>
        <v>0.98480775301220791</v>
      </c>
      <c r="AA108" s="203">
        <v>9.6404374704922466E-67</v>
      </c>
      <c r="AB108" s="204">
        <v>0.19812103725590127</v>
      </c>
      <c r="AC108" s="204">
        <v>0.89492819383355693</v>
      </c>
      <c r="AD108" s="204">
        <f t="shared" si="11"/>
        <v>1.0930492310894582</v>
      </c>
      <c r="AE108" s="185">
        <v>6014.082014522126</v>
      </c>
      <c r="AF108" s="185">
        <v>99.060518627950643</v>
      </c>
      <c r="AG108" s="185">
        <v>447.46409691677849</v>
      </c>
    </row>
    <row r="109" spans="2:33" ht="11.1" customHeight="1" x14ac:dyDescent="0.15">
      <c r="B109" s="191">
        <v>48</v>
      </c>
      <c r="C109" s="192">
        <v>42403</v>
      </c>
      <c r="D109" s="193">
        <v>4193.24</v>
      </c>
      <c r="E109" s="194">
        <v>42401</v>
      </c>
      <c r="F109" s="191">
        <v>24</v>
      </c>
      <c r="G109" s="191">
        <v>120</v>
      </c>
      <c r="H109" s="195">
        <f t="shared" si="12"/>
        <v>144</v>
      </c>
      <c r="I109" s="208">
        <v>1.5281620098859308</v>
      </c>
      <c r="J109" s="198">
        <v>4.5804053251564492</v>
      </c>
      <c r="K109" s="198">
        <f t="shared" si="10"/>
        <v>6.1085673350423804</v>
      </c>
      <c r="L109" s="184"/>
      <c r="M109" s="593">
        <f t="shared" si="0"/>
        <v>10.11128741332371</v>
      </c>
      <c r="N109" s="198">
        <f t="shared" si="13"/>
        <v>20.487500000000001</v>
      </c>
      <c r="O109" s="195">
        <f t="shared" si="14"/>
        <v>17.349123800854784</v>
      </c>
      <c r="P109" s="594">
        <f t="shared" si="3"/>
        <v>40.39942135174843</v>
      </c>
      <c r="Q109" s="198">
        <f t="shared" si="15"/>
        <v>101.44538461538461</v>
      </c>
      <c r="R109" s="185">
        <f t="shared" si="16"/>
        <v>80.424203285927177</v>
      </c>
      <c r="S109" s="122"/>
      <c r="T109" s="171">
        <v>330</v>
      </c>
      <c r="U109" s="200">
        <f t="shared" si="17"/>
        <v>5.7595865315812871</v>
      </c>
      <c r="V109" s="201">
        <f t="shared" si="18"/>
        <v>0.86602540378443837</v>
      </c>
      <c r="W109" s="172">
        <v>1460</v>
      </c>
      <c r="X109" s="200">
        <f t="shared" si="19"/>
        <v>25.48180707911721</v>
      </c>
      <c r="Y109" s="200">
        <f t="shared" si="20"/>
        <v>0.93969262078590887</v>
      </c>
      <c r="AA109" s="203">
        <v>8.5752474648173096E-68</v>
      </c>
      <c r="AB109" s="204">
        <v>0.19308077755770178</v>
      </c>
      <c r="AC109" s="204">
        <v>0.89334816198946354</v>
      </c>
      <c r="AD109" s="204">
        <f t="shared" si="11"/>
        <v>1.0864289395471654</v>
      </c>
      <c r="AE109" s="185">
        <v>5969.6989045651371</v>
      </c>
      <c r="AF109" s="185">
        <v>96.540388778850897</v>
      </c>
      <c r="AG109" s="185">
        <v>446.67408099473175</v>
      </c>
    </row>
    <row r="110" spans="2:33" ht="11.1" customHeight="1" x14ac:dyDescent="0.15">
      <c r="B110" s="191">
        <v>49</v>
      </c>
      <c r="C110" s="192">
        <v>42431</v>
      </c>
      <c r="D110" s="193">
        <v>4900.29</v>
      </c>
      <c r="E110" s="194">
        <v>42430</v>
      </c>
      <c r="F110" s="191">
        <v>17</v>
      </c>
      <c r="G110" s="191">
        <v>75</v>
      </c>
      <c r="H110" s="195">
        <f t="shared" si="12"/>
        <v>92</v>
      </c>
      <c r="I110" s="208">
        <v>1.489285101621016</v>
      </c>
      <c r="J110" s="198">
        <v>4.5723184346970021</v>
      </c>
      <c r="K110" s="198">
        <f t="shared" si="10"/>
        <v>6.0616035363180183</v>
      </c>
      <c r="L110" s="184"/>
      <c r="M110" s="593">
        <f t="shared" si="0"/>
        <v>9.3571339502823587</v>
      </c>
      <c r="N110" s="198">
        <f t="shared" si="13"/>
        <v>20.491</v>
      </c>
      <c r="O110" s="195">
        <f t="shared" si="14"/>
        <v>15.82409834162752</v>
      </c>
      <c r="P110" s="594">
        <f t="shared" si="3"/>
        <v>38.236134659234203</v>
      </c>
      <c r="Q110" s="198">
        <f t="shared" si="15"/>
        <v>101.48</v>
      </c>
      <c r="R110" s="185">
        <f t="shared" si="16"/>
        <v>74.071024287227857</v>
      </c>
      <c r="S110" s="122"/>
      <c r="T110" s="171">
        <v>340</v>
      </c>
      <c r="U110" s="200">
        <f t="shared" si="17"/>
        <v>5.9341194567807207</v>
      </c>
      <c r="V110" s="201">
        <f t="shared" si="18"/>
        <v>0.93969262078590843</v>
      </c>
      <c r="W110" s="172">
        <v>1490</v>
      </c>
      <c r="X110" s="200">
        <f t="shared" si="19"/>
        <v>26.005405854715509</v>
      </c>
      <c r="Y110" s="200">
        <f t="shared" si="20"/>
        <v>0.64278760968654081</v>
      </c>
      <c r="AA110" s="203">
        <v>7.6277522994089775E-69</v>
      </c>
      <c r="AB110" s="204">
        <v>0.18816874360562783</v>
      </c>
      <c r="AC110" s="204">
        <v>0.89177091975535849</v>
      </c>
      <c r="AD110" s="204">
        <f t="shared" si="11"/>
        <v>1.0799396633609863</v>
      </c>
      <c r="AE110" s="185">
        <v>5926.2531468309971</v>
      </c>
      <c r="AF110" s="185">
        <v>94.084371802813919</v>
      </c>
      <c r="AG110" s="185">
        <v>445.88545987767924</v>
      </c>
    </row>
    <row r="111" spans="2:33" ht="11.1" customHeight="1" x14ac:dyDescent="0.15">
      <c r="B111" s="191">
        <v>50</v>
      </c>
      <c r="C111" s="192">
        <v>42461</v>
      </c>
      <c r="D111" s="193">
        <v>4802.12</v>
      </c>
      <c r="E111" s="194">
        <v>42461</v>
      </c>
      <c r="F111" s="191">
        <v>22</v>
      </c>
      <c r="G111" s="191">
        <v>120</v>
      </c>
      <c r="H111" s="195">
        <f t="shared" si="12"/>
        <v>142</v>
      </c>
      <c r="I111" s="208">
        <v>1.44872813467199</v>
      </c>
      <c r="J111" s="198">
        <v>4.5636697524496483</v>
      </c>
      <c r="K111" s="198">
        <f t="shared" si="10"/>
        <v>6.0123978871216384</v>
      </c>
      <c r="L111" s="184"/>
      <c r="M111" s="593">
        <f t="shared" si="0"/>
        <v>8.6130627168815153</v>
      </c>
      <c r="N111" s="198">
        <f t="shared" si="13"/>
        <v>20.488499999999998</v>
      </c>
      <c r="O111" s="195">
        <f t="shared" si="14"/>
        <v>26.574846050358332</v>
      </c>
      <c r="P111" s="594">
        <f t="shared" si="3"/>
        <v>36.051593386171731</v>
      </c>
      <c r="Q111" s="198">
        <f t="shared" si="15"/>
        <v>101.44538461538461</v>
      </c>
      <c r="R111" s="185">
        <f t="shared" si="16"/>
        <v>125.55892816921619</v>
      </c>
      <c r="S111" s="122"/>
      <c r="T111" s="199">
        <v>80</v>
      </c>
      <c r="U111" s="200">
        <f t="shared" si="17"/>
        <v>1.3962634015954636</v>
      </c>
      <c r="V111" s="201">
        <f t="shared" si="18"/>
        <v>0.17364817766693041</v>
      </c>
      <c r="W111" s="202">
        <v>1520</v>
      </c>
      <c r="X111" s="200">
        <f t="shared" si="19"/>
        <v>26.529004630313811</v>
      </c>
      <c r="Y111" s="200">
        <f t="shared" si="20"/>
        <v>0.17364817766692942</v>
      </c>
      <c r="AA111" s="203">
        <v>5.7080238778573489E-70</v>
      </c>
      <c r="AB111" s="204">
        <v>0.1830444369789474</v>
      </c>
      <c r="AC111" s="204">
        <v>0.89008410737941646</v>
      </c>
      <c r="AD111" s="204">
        <f t="shared" si="11"/>
        <v>1.0731285443583638</v>
      </c>
      <c r="AE111" s="185">
        <v>5880.7175991466356</v>
      </c>
      <c r="AF111" s="185">
        <v>91.522218489473701</v>
      </c>
      <c r="AG111" s="185">
        <v>445.04205368970821</v>
      </c>
    </row>
    <row r="112" spans="2:33" ht="11.1" customHeight="1" x14ac:dyDescent="0.15">
      <c r="B112" s="191">
        <v>51</v>
      </c>
      <c r="C112" s="192">
        <v>42492</v>
      </c>
      <c r="D112" s="193">
        <v>5502.55</v>
      </c>
      <c r="E112" s="194">
        <v>42491</v>
      </c>
      <c r="F112" s="191">
        <v>33</v>
      </c>
      <c r="G112" s="191">
        <v>180</v>
      </c>
      <c r="H112" s="195">
        <f t="shared" si="12"/>
        <v>213</v>
      </c>
      <c r="I112" s="208">
        <v>1.4079792202737438</v>
      </c>
      <c r="J112" s="198">
        <v>4.5547499667346312</v>
      </c>
      <c r="K112" s="198">
        <f t="shared" si="10"/>
        <v>5.9627291870083745</v>
      </c>
      <c r="L112" s="184"/>
      <c r="M112" s="593">
        <f t="shared" si="0"/>
        <v>7.9493786978261127</v>
      </c>
      <c r="N112" s="198">
        <f t="shared" si="13"/>
        <v>20.483000000000001</v>
      </c>
      <c r="O112" s="195">
        <f t="shared" si="14"/>
        <v>39.322611550888162</v>
      </c>
      <c r="P112" s="594">
        <f t="shared" si="3"/>
        <v>34.056430254982452</v>
      </c>
      <c r="Q112" s="198">
        <f t="shared" si="15"/>
        <v>101.39923076923077</v>
      </c>
      <c r="R112" s="185">
        <f t="shared" si="16"/>
        <v>187.33818923251644</v>
      </c>
      <c r="S112" s="122"/>
      <c r="T112" s="199">
        <v>140</v>
      </c>
      <c r="U112" s="200">
        <f t="shared" si="17"/>
        <v>2.4434609527920612</v>
      </c>
      <c r="V112" s="201">
        <f t="shared" si="18"/>
        <v>-0.7660444431189779</v>
      </c>
      <c r="W112" s="202">
        <v>1550</v>
      </c>
      <c r="X112" s="200">
        <f t="shared" si="19"/>
        <v>27.052603405912109</v>
      </c>
      <c r="Y112" s="200">
        <f t="shared" si="20"/>
        <v>-0.34202014332566905</v>
      </c>
      <c r="AA112" s="203">
        <v>3.9178212805284191E-71</v>
      </c>
      <c r="AB112" s="204">
        <v>0.17789587810511887</v>
      </c>
      <c r="AC112" s="204">
        <v>0.8883444198172511</v>
      </c>
      <c r="AD112" s="204">
        <f t="shared" si="11"/>
        <v>1.06624029792237</v>
      </c>
      <c r="AE112" s="185">
        <v>5834.7364017951095</v>
      </c>
      <c r="AF112" s="185">
        <v>88.947939052559434</v>
      </c>
      <c r="AG112" s="185">
        <v>444.17220990862558</v>
      </c>
    </row>
    <row r="113" spans="2:33" ht="11.1" customHeight="1" x14ac:dyDescent="0.15">
      <c r="B113" s="191">
        <v>52</v>
      </c>
      <c r="C113" s="192">
        <v>42522</v>
      </c>
      <c r="D113" s="193">
        <v>4991.43</v>
      </c>
      <c r="E113" s="194">
        <v>42522</v>
      </c>
      <c r="F113" s="191">
        <v>42</v>
      </c>
      <c r="G113" s="191">
        <v>210</v>
      </c>
      <c r="H113" s="195">
        <f t="shared" si="12"/>
        <v>252</v>
      </c>
      <c r="I113" s="208">
        <v>1.3696364163073285</v>
      </c>
      <c r="J113" s="191">
        <v>14</v>
      </c>
      <c r="K113" s="198">
        <f t="shared" si="10"/>
        <v>15.369636416307328</v>
      </c>
      <c r="L113" s="184"/>
      <c r="M113" s="593">
        <f t="shared" si="0"/>
        <v>7.3172509497475078</v>
      </c>
      <c r="N113" s="198">
        <f t="shared" si="13"/>
        <v>20.4785</v>
      </c>
      <c r="O113" s="195">
        <f t="shared" si="14"/>
        <v>41.693626424621257</v>
      </c>
      <c r="P113" s="594">
        <f t="shared" si="3"/>
        <v>32.110687617338115</v>
      </c>
      <c r="Q113" s="198">
        <f t="shared" si="15"/>
        <v>101.37615384615384</v>
      </c>
      <c r="R113" s="185">
        <f t="shared" si="16"/>
        <v>200.23026219523791</v>
      </c>
      <c r="S113" s="122"/>
      <c r="T113" s="199">
        <v>180</v>
      </c>
      <c r="U113" s="200">
        <f t="shared" si="17"/>
        <v>3.1415926535897931</v>
      </c>
      <c r="V113" s="201">
        <f t="shared" si="18"/>
        <v>-1</v>
      </c>
      <c r="W113" s="202">
        <v>1580</v>
      </c>
      <c r="X113" s="200">
        <f t="shared" si="19"/>
        <v>27.576202181510407</v>
      </c>
      <c r="Y113" s="200">
        <f t="shared" si="20"/>
        <v>-0.7660444431189779</v>
      </c>
      <c r="AA113" s="203">
        <v>2.9317964900573999E-72</v>
      </c>
      <c r="AB113" s="204">
        <v>0.17305132736005066</v>
      </c>
      <c r="AC113" s="204">
        <v>0.88666408877230318</v>
      </c>
      <c r="AD113" s="204">
        <f t="shared" si="11"/>
        <v>1.0597154161323539</v>
      </c>
      <c r="AE113" s="185">
        <v>5791.2479432062964</v>
      </c>
      <c r="AF113" s="185">
        <v>86.525663680025332</v>
      </c>
      <c r="AG113" s="185">
        <v>443.33204438615161</v>
      </c>
    </row>
    <row r="114" spans="2:33" ht="11.1" customHeight="1" x14ac:dyDescent="0.15">
      <c r="B114" s="191">
        <v>53</v>
      </c>
      <c r="C114" s="192">
        <v>42552</v>
      </c>
      <c r="D114" s="193">
        <v>5226.55</v>
      </c>
      <c r="E114" s="194">
        <v>42552</v>
      </c>
      <c r="F114" s="191">
        <v>33</v>
      </c>
      <c r="G114" s="191">
        <v>180</v>
      </c>
      <c r="H114" s="195">
        <f t="shared" si="12"/>
        <v>213</v>
      </c>
      <c r="I114" s="208">
        <v>1.3323377830181777</v>
      </c>
      <c r="J114" s="191">
        <v>11</v>
      </c>
      <c r="K114" s="198">
        <f t="shared" si="10"/>
        <v>12.332337783018177</v>
      </c>
      <c r="L114" s="184"/>
      <c r="M114" s="593">
        <f t="shared" si="0"/>
        <v>6.7534163791194484</v>
      </c>
      <c r="N114" s="198">
        <f t="shared" si="13"/>
        <v>20.483000000000001</v>
      </c>
      <c r="O114" s="195">
        <f t="shared" si="14"/>
        <v>39.03013062530345</v>
      </c>
      <c r="P114" s="594">
        <f t="shared" si="3"/>
        <v>30.333621639560175</v>
      </c>
      <c r="Q114" s="198">
        <f t="shared" si="15"/>
        <v>101.39923076923077</v>
      </c>
      <c r="R114" s="185">
        <f t="shared" si="16"/>
        <v>188.77485075829043</v>
      </c>
      <c r="S114" s="122"/>
      <c r="T114" s="199">
        <v>210</v>
      </c>
      <c r="U114" s="200">
        <f t="shared" si="17"/>
        <v>3.6651914291880923</v>
      </c>
      <c r="V114" s="201">
        <f t="shared" si="18"/>
        <v>-0.8660254037844386</v>
      </c>
      <c r="W114" s="202">
        <v>1610</v>
      </c>
      <c r="X114" s="200">
        <f t="shared" si="19"/>
        <v>28.099800957108705</v>
      </c>
      <c r="Y114" s="200">
        <f t="shared" si="20"/>
        <v>-0.98480775301220791</v>
      </c>
      <c r="AA114" s="203">
        <v>2.1939312805901085E-73</v>
      </c>
      <c r="AB114" s="204">
        <v>0.16833870587704022</v>
      </c>
      <c r="AC114" s="204">
        <v>0.88498693612568557</v>
      </c>
      <c r="AD114" s="204">
        <f t="shared" si="11"/>
        <v>1.0533256420027257</v>
      </c>
      <c r="AE114" s="185">
        <v>5748.7254902608574</v>
      </c>
      <c r="AF114" s="185">
        <v>84.169352938520106</v>
      </c>
      <c r="AG114" s="185">
        <v>442.49346806284279</v>
      </c>
    </row>
    <row r="115" spans="2:33" ht="11.1" customHeight="1" x14ac:dyDescent="0.15">
      <c r="B115" s="191">
        <v>54</v>
      </c>
      <c r="C115" s="192">
        <v>42585</v>
      </c>
      <c r="D115" s="193">
        <v>5805.25</v>
      </c>
      <c r="E115" s="194">
        <v>42583</v>
      </c>
      <c r="F115" s="191">
        <v>24</v>
      </c>
      <c r="G115" s="191">
        <v>150</v>
      </c>
      <c r="H115" s="195">
        <f t="shared" si="12"/>
        <v>174</v>
      </c>
      <c r="I115" s="208">
        <v>1.2924813891194442</v>
      </c>
      <c r="J115" s="191">
        <v>14</v>
      </c>
      <c r="K115" s="198">
        <f t="shared" si="10"/>
        <v>15.292481389119445</v>
      </c>
      <c r="L115" s="184"/>
      <c r="M115" s="593">
        <f t="shared" si="0"/>
        <v>6.2163905246665285</v>
      </c>
      <c r="N115" s="198">
        <f t="shared" si="13"/>
        <v>20.487500000000001</v>
      </c>
      <c r="O115" s="195">
        <f t="shared" si="14"/>
        <v>33.379863155833171</v>
      </c>
      <c r="P115" s="594">
        <f t="shared" si="3"/>
        <v>28.600573855738844</v>
      </c>
      <c r="Q115" s="198">
        <f t="shared" si="15"/>
        <v>101.4223076923077</v>
      </c>
      <c r="R115" s="185">
        <f t="shared" si="16"/>
        <v>162.52860193505822</v>
      </c>
      <c r="S115" s="122"/>
      <c r="T115" s="199">
        <v>240</v>
      </c>
      <c r="U115" s="200">
        <f t="shared" si="17"/>
        <v>4.1887902047863905</v>
      </c>
      <c r="V115" s="201">
        <f t="shared" si="18"/>
        <v>-0.50000000000000044</v>
      </c>
      <c r="W115" s="202">
        <v>1640</v>
      </c>
      <c r="X115" s="200">
        <f t="shared" si="19"/>
        <v>28.623399732707004</v>
      </c>
      <c r="Y115" s="200">
        <f t="shared" si="20"/>
        <v>-0.93969262078590887</v>
      </c>
      <c r="AA115" s="203">
        <v>1.2668381690673443E-74</v>
      </c>
      <c r="AB115" s="204">
        <v>0.16330291551264819</v>
      </c>
      <c r="AC115" s="204">
        <v>0.88314573208944813</v>
      </c>
      <c r="AD115" s="204">
        <f t="shared" si="11"/>
        <v>1.0464486476020962</v>
      </c>
      <c r="AE115" s="185">
        <v>5703.0356453551849</v>
      </c>
      <c r="AF115" s="185">
        <v>81.651457756324092</v>
      </c>
      <c r="AG115" s="185">
        <v>441.57286604472409</v>
      </c>
    </row>
    <row r="116" spans="2:33" ht="11.1" customHeight="1" x14ac:dyDescent="0.15">
      <c r="B116" s="191">
        <v>55</v>
      </c>
      <c r="C116" s="192">
        <v>42614</v>
      </c>
      <c r="D116" s="193">
        <v>5310.79</v>
      </c>
      <c r="E116" s="194">
        <v>42614</v>
      </c>
      <c r="F116" s="191">
        <v>19</v>
      </c>
      <c r="G116" s="191">
        <v>110</v>
      </c>
      <c r="H116" s="195">
        <f t="shared" si="12"/>
        <v>129</v>
      </c>
      <c r="I116" s="208">
        <v>1.2584415412727514</v>
      </c>
      <c r="J116" s="191">
        <v>12</v>
      </c>
      <c r="K116" s="198">
        <f t="shared" si="10"/>
        <v>13.258441541272752</v>
      </c>
      <c r="L116" s="184"/>
      <c r="M116" s="593">
        <f t="shared" si="0"/>
        <v>5.7220685036752235</v>
      </c>
      <c r="N116" s="198">
        <f t="shared" si="13"/>
        <v>20.49</v>
      </c>
      <c r="O116" s="195">
        <f t="shared" si="14"/>
        <v>30.694596216919841</v>
      </c>
      <c r="P116" s="594">
        <f t="shared" si="3"/>
        <v>26.966540118334276</v>
      </c>
      <c r="Q116" s="198">
        <f t="shared" si="15"/>
        <v>101.45307692307692</v>
      </c>
      <c r="R116" s="185">
        <f t="shared" si="16"/>
        <v>150.38066495457664</v>
      </c>
      <c r="S116" s="122"/>
      <c r="T116" s="199">
        <v>250</v>
      </c>
      <c r="U116" s="200">
        <f t="shared" si="17"/>
        <v>4.3633231299858242</v>
      </c>
      <c r="V116" s="201">
        <f t="shared" si="18"/>
        <v>-0.34202014332566855</v>
      </c>
      <c r="W116" s="202">
        <v>1670</v>
      </c>
      <c r="X116" s="200">
        <f t="shared" si="19"/>
        <v>29.146998508305302</v>
      </c>
      <c r="Y116" s="200">
        <f t="shared" si="20"/>
        <v>-0.64278760968654092</v>
      </c>
      <c r="AA116" s="203">
        <v>1.0335719145216021E-75</v>
      </c>
      <c r="AB116" s="204">
        <v>0.15900203625530041</v>
      </c>
      <c r="AC116" s="204">
        <v>0.8815308668348435</v>
      </c>
      <c r="AD116" s="204">
        <f t="shared" si="11"/>
        <v>1.0405329030901438</v>
      </c>
      <c r="AE116" s="185">
        <v>5663.7964955551579</v>
      </c>
      <c r="AF116" s="185">
        <v>79.501018127650198</v>
      </c>
      <c r="AG116" s="185">
        <v>440.76543341742178</v>
      </c>
    </row>
    <row r="117" spans="2:33" ht="11.1" customHeight="1" x14ac:dyDescent="0.15">
      <c r="B117" s="191">
        <v>56</v>
      </c>
      <c r="C117" s="192">
        <v>42647</v>
      </c>
      <c r="D117" s="193">
        <v>4948.62</v>
      </c>
      <c r="E117" s="194">
        <v>42644</v>
      </c>
      <c r="F117" s="191">
        <v>21</v>
      </c>
      <c r="G117" s="191">
        <v>120</v>
      </c>
      <c r="H117" s="195">
        <f t="shared" si="12"/>
        <v>141</v>
      </c>
      <c r="I117" s="208">
        <v>1.220795726219849</v>
      </c>
      <c r="J117" s="198">
        <v>4.5104118662090134</v>
      </c>
      <c r="K117" s="198">
        <f t="shared" si="10"/>
        <v>5.7312075924288628</v>
      </c>
      <c r="L117" s="184"/>
      <c r="M117" s="593">
        <f t="shared" si="0"/>
        <v>5.2811515445561223</v>
      </c>
      <c r="N117" s="198">
        <f t="shared" si="13"/>
        <v>20.489000000000001</v>
      </c>
      <c r="O117" s="195">
        <f t="shared" si="14"/>
        <v>28.007621471512525</v>
      </c>
      <c r="P117" s="594">
        <f t="shared" si="3"/>
        <v>25.474160959290661</v>
      </c>
      <c r="Q117" s="198">
        <f t="shared" si="15"/>
        <v>101.44538461538461</v>
      </c>
      <c r="R117" s="185">
        <f t="shared" si="16"/>
        <v>137.93921947435391</v>
      </c>
      <c r="S117" s="122"/>
      <c r="T117" s="199">
        <v>260</v>
      </c>
      <c r="U117" s="200">
        <f t="shared" si="17"/>
        <v>4.5378560551852569</v>
      </c>
      <c r="V117" s="201">
        <f t="shared" si="18"/>
        <v>-0.17364817766693033</v>
      </c>
      <c r="W117" s="202">
        <v>1700</v>
      </c>
      <c r="X117" s="200">
        <f t="shared" si="19"/>
        <v>29.670597283903604</v>
      </c>
      <c r="Y117" s="200">
        <f t="shared" si="20"/>
        <v>-0.17364817766692955</v>
      </c>
      <c r="AA117" s="203">
        <v>5.9681374862382449E-77</v>
      </c>
      <c r="AB117" s="204">
        <v>0.15424554892268413</v>
      </c>
      <c r="AC117" s="204">
        <v>0.87969685310669776</v>
      </c>
      <c r="AD117" s="204">
        <f t="shared" si="11"/>
        <v>1.0339424020293819</v>
      </c>
      <c r="AE117" s="185">
        <v>5620.1541144364355</v>
      </c>
      <c r="AF117" s="185">
        <v>77.122774461342061</v>
      </c>
      <c r="AG117" s="185">
        <v>439.84842655334887</v>
      </c>
    </row>
    <row r="118" spans="2:33" ht="11.1" customHeight="1" x14ac:dyDescent="0.15">
      <c r="B118" s="191">
        <v>57</v>
      </c>
      <c r="C118" s="192">
        <v>42678</v>
      </c>
      <c r="D118" s="193">
        <v>4702.2700000000004</v>
      </c>
      <c r="E118" s="194">
        <v>42675</v>
      </c>
      <c r="F118" s="191">
        <v>21</v>
      </c>
      <c r="G118" s="191">
        <v>110</v>
      </c>
      <c r="H118" s="195">
        <f t="shared" si="12"/>
        <v>131</v>
      </c>
      <c r="I118" s="208">
        <v>1.1864579513434461</v>
      </c>
      <c r="J118" s="191">
        <v>10</v>
      </c>
      <c r="K118" s="198">
        <f t="shared" si="10"/>
        <v>11.186457951343446</v>
      </c>
      <c r="L118" s="184"/>
      <c r="M118" s="593">
        <f t="shared" si="0"/>
        <v>4.8611989218391995</v>
      </c>
      <c r="N118" s="198">
        <f t="shared" si="13"/>
        <v>20.489000000000001</v>
      </c>
      <c r="O118" s="195">
        <f t="shared" si="14"/>
        <v>23.149190998703425</v>
      </c>
      <c r="P118" s="594">
        <f t="shared" si="3"/>
        <v>24.018748258499592</v>
      </c>
      <c r="Q118" s="198">
        <f t="shared" si="15"/>
        <v>101.45307692307692</v>
      </c>
      <c r="R118" s="185">
        <f t="shared" si="16"/>
        <v>114.57784828591433</v>
      </c>
      <c r="S118" s="122"/>
      <c r="T118" s="199">
        <v>280</v>
      </c>
      <c r="U118" s="200">
        <f t="shared" si="17"/>
        <v>4.8869219055841224</v>
      </c>
      <c r="V118" s="201">
        <f t="shared" si="18"/>
        <v>0.17364817766692997</v>
      </c>
      <c r="W118" s="202">
        <v>1730</v>
      </c>
      <c r="X118" s="200">
        <f t="shared" si="19"/>
        <v>30.194196059501902</v>
      </c>
      <c r="Y118" s="200">
        <f t="shared" si="20"/>
        <v>0.34202014332566893</v>
      </c>
      <c r="AA118" s="203">
        <v>4.0963556826397349E-78</v>
      </c>
      <c r="AB118" s="204">
        <v>0.14990702707104347</v>
      </c>
      <c r="AC118" s="204">
        <v>0.87797746764510198</v>
      </c>
      <c r="AD118" s="204">
        <f t="shared" si="11"/>
        <v>1.0278844947161454</v>
      </c>
      <c r="AE118" s="185">
        <v>5580.108162712354</v>
      </c>
      <c r="AF118" s="185">
        <v>74.953513535521736</v>
      </c>
      <c r="AG118" s="185">
        <v>438.98873382255101</v>
      </c>
    </row>
    <row r="119" spans="2:33" ht="11.1" customHeight="1" x14ac:dyDescent="0.15">
      <c r="B119" s="191">
        <v>58</v>
      </c>
      <c r="C119" s="192">
        <v>42705</v>
      </c>
      <c r="D119" s="193">
        <v>5076.05</v>
      </c>
      <c r="E119" s="194">
        <v>42705</v>
      </c>
      <c r="F119" s="191">
        <v>18</v>
      </c>
      <c r="G119" s="191">
        <v>120</v>
      </c>
      <c r="H119" s="195">
        <f t="shared" si="12"/>
        <v>138</v>
      </c>
      <c r="I119" s="208">
        <v>1.1573387532347019</v>
      </c>
      <c r="J119" s="198">
        <v>4.4939320308306936</v>
      </c>
      <c r="K119" s="198">
        <f t="shared" si="10"/>
        <v>5.651270784065396</v>
      </c>
      <c r="L119" s="184"/>
      <c r="M119" s="593">
        <f t="shared" si="0"/>
        <v>4.4866167152623699</v>
      </c>
      <c r="N119" s="198">
        <f t="shared" si="13"/>
        <v>20.490500000000001</v>
      </c>
      <c r="O119" s="195">
        <f t="shared" si="14"/>
        <v>16.949626140129766</v>
      </c>
      <c r="P119" s="594">
        <f t="shared" si="3"/>
        <v>22.689505457235327</v>
      </c>
      <c r="Q119" s="198">
        <f t="shared" si="15"/>
        <v>101.44538461538461</v>
      </c>
      <c r="R119" s="185">
        <f t="shared" si="16"/>
        <v>84.238705438379597</v>
      </c>
      <c r="S119" s="122"/>
      <c r="T119" s="199">
        <v>310</v>
      </c>
      <c r="U119" s="200">
        <f t="shared" si="17"/>
        <v>5.4105206811824216</v>
      </c>
      <c r="V119" s="201">
        <f t="shared" si="18"/>
        <v>0.64278760968653925</v>
      </c>
      <c r="W119" s="202">
        <v>1760</v>
      </c>
      <c r="X119" s="200">
        <f t="shared" si="19"/>
        <v>30.7177948351002</v>
      </c>
      <c r="Y119" s="200">
        <f t="shared" si="20"/>
        <v>0.76604444311897779</v>
      </c>
      <c r="AA119" s="203">
        <v>3.9726283605868161E-79</v>
      </c>
      <c r="AB119" s="204">
        <v>0.14622786388263734</v>
      </c>
      <c r="AC119" s="204">
        <v>0.87648267671836511</v>
      </c>
      <c r="AD119" s="204">
        <f t="shared" si="11"/>
        <v>1.0227105406010024</v>
      </c>
      <c r="AE119" s="185">
        <v>5545.9600891872888</v>
      </c>
      <c r="AF119" s="185">
        <v>73.113931941318668</v>
      </c>
      <c r="AG119" s="185">
        <v>438.24133835918258</v>
      </c>
    </row>
    <row r="120" spans="2:33" ht="11.1" customHeight="1" x14ac:dyDescent="0.15">
      <c r="B120" s="191">
        <v>59</v>
      </c>
      <c r="C120" s="192">
        <v>42741</v>
      </c>
      <c r="D120" s="193">
        <v>4597.87</v>
      </c>
      <c r="E120" s="194">
        <v>42736</v>
      </c>
      <c r="F120" s="191">
        <v>15</v>
      </c>
      <c r="G120" s="191">
        <v>93</v>
      </c>
      <c r="H120" s="195">
        <f t="shared" si="12"/>
        <v>108</v>
      </c>
      <c r="I120" s="208">
        <v>1.119621822861999</v>
      </c>
      <c r="J120" s="198">
        <v>4.4837334669423967</v>
      </c>
      <c r="K120" s="198">
        <f t="shared" si="10"/>
        <v>5.6033552898043961</v>
      </c>
      <c r="L120" s="184"/>
      <c r="M120" s="593">
        <f t="shared" si="0"/>
        <v>4.1298448179207341</v>
      </c>
      <c r="N120" s="198">
        <f t="shared" si="13"/>
        <v>20.492000000000001</v>
      </c>
      <c r="O120" s="195">
        <f t="shared" si="14"/>
        <v>15.191131116867744</v>
      </c>
      <c r="P120" s="594">
        <f t="shared" si="3"/>
        <v>21.393188201883877</v>
      </c>
      <c r="Q120" s="198">
        <f t="shared" si="15"/>
        <v>101.46615384615384</v>
      </c>
      <c r="R120" s="185">
        <f t="shared" si="16"/>
        <v>75.801483917461184</v>
      </c>
      <c r="S120" s="122"/>
      <c r="T120" s="199">
        <v>320</v>
      </c>
      <c r="U120" s="200">
        <f t="shared" si="17"/>
        <v>5.5850536063818543</v>
      </c>
      <c r="V120" s="201">
        <f t="shared" si="18"/>
        <v>0.76604444311897779</v>
      </c>
      <c r="W120" s="202">
        <v>1790</v>
      </c>
      <c r="X120" s="200">
        <f t="shared" si="19"/>
        <v>31.241393610698498</v>
      </c>
      <c r="Y120" s="200">
        <f t="shared" si="20"/>
        <v>0.98480775301220791</v>
      </c>
      <c r="AA120" s="203">
        <v>1.7700477336823373E-80</v>
      </c>
      <c r="AB120" s="204">
        <v>0.14146239124535151</v>
      </c>
      <c r="AC120" s="204">
        <v>0.87449358019572687</v>
      </c>
      <c r="AD120" s="204">
        <f t="shared" si="11"/>
        <v>1.0159559714410784</v>
      </c>
      <c r="AE120" s="185">
        <v>5501.4579888864637</v>
      </c>
      <c r="AF120" s="185">
        <v>70.731195622675756</v>
      </c>
      <c r="AG120" s="185">
        <v>437.24679009786342</v>
      </c>
    </row>
    <row r="121" spans="2:33" ht="11.1" customHeight="1" x14ac:dyDescent="0.15">
      <c r="B121" s="191">
        <v>60</v>
      </c>
      <c r="C121" s="192">
        <v>42767</v>
      </c>
      <c r="D121" s="193">
        <v>3936.52</v>
      </c>
      <c r="E121" s="194">
        <v>42767</v>
      </c>
      <c r="F121" s="191">
        <v>11</v>
      </c>
      <c r="G121" s="191">
        <v>70</v>
      </c>
      <c r="H121" s="195">
        <f t="shared" si="12"/>
        <v>81</v>
      </c>
      <c r="I121" s="208">
        <v>1.093148586611457</v>
      </c>
      <c r="J121" s="198">
        <v>4.4763822344971125</v>
      </c>
      <c r="K121" s="198">
        <f t="shared" si="10"/>
        <v>5.5695308211085699</v>
      </c>
      <c r="L121" s="184"/>
      <c r="M121" s="593">
        <f t="shared" si="0"/>
        <v>3.8014431146052017</v>
      </c>
      <c r="N121" s="198">
        <f t="shared" si="13"/>
        <v>20.494</v>
      </c>
      <c r="O121" s="195">
        <f t="shared" si="14"/>
        <v>13.77520764788129</v>
      </c>
      <c r="P121" s="594">
        <f t="shared" si="3"/>
        <v>20.170933311165683</v>
      </c>
      <c r="Q121" s="198">
        <f t="shared" si="15"/>
        <v>101.48384615384616</v>
      </c>
      <c r="R121" s="185">
        <f t="shared" si="16"/>
        <v>68.976714710764995</v>
      </c>
      <c r="S121" s="122"/>
      <c r="T121" s="199">
        <v>330</v>
      </c>
      <c r="U121" s="200">
        <f t="shared" si="17"/>
        <v>5.7595865315812871</v>
      </c>
      <c r="V121" s="201">
        <f t="shared" si="18"/>
        <v>0.86602540378443837</v>
      </c>
      <c r="W121" s="202">
        <v>1820</v>
      </c>
      <c r="X121" s="200">
        <f t="shared" si="19"/>
        <v>31.764992386296797</v>
      </c>
      <c r="Y121" s="200">
        <f t="shared" si="20"/>
        <v>0.93969262078590898</v>
      </c>
      <c r="AA121" s="203">
        <v>1.8715249363828036E-81</v>
      </c>
      <c r="AB121" s="204">
        <v>0.13811754102223606</v>
      </c>
      <c r="AC121" s="204">
        <v>0.87305981843728964</v>
      </c>
      <c r="AD121" s="204">
        <f t="shared" si="11"/>
        <v>1.0111773594595257</v>
      </c>
      <c r="AE121" s="185">
        <v>5470.029382684027</v>
      </c>
      <c r="AF121" s="185">
        <v>69.058770511118027</v>
      </c>
      <c r="AG121" s="185">
        <v>436.52990921864483</v>
      </c>
    </row>
    <row r="122" spans="2:33" ht="11.1" customHeight="1" x14ac:dyDescent="0.15">
      <c r="B122" s="191">
        <v>61</v>
      </c>
      <c r="C122" s="192">
        <v>42797</v>
      </c>
      <c r="D122" s="193">
        <v>4818.8599999999997</v>
      </c>
      <c r="E122" s="194">
        <v>42795</v>
      </c>
      <c r="F122" s="191">
        <v>12</v>
      </c>
      <c r="G122" s="191">
        <v>72</v>
      </c>
      <c r="H122" s="195">
        <f t="shared" si="12"/>
        <v>84</v>
      </c>
      <c r="I122" s="208">
        <v>1.0633794100788247</v>
      </c>
      <c r="J122" s="198">
        <v>4.467915018550368</v>
      </c>
      <c r="K122" s="198">
        <f t="shared" si="10"/>
        <v>5.5312944286291925</v>
      </c>
      <c r="L122" s="184"/>
      <c r="M122" s="593">
        <f t="shared" si="0"/>
        <v>3.5273268263169122</v>
      </c>
      <c r="N122" s="198">
        <f t="shared" si="13"/>
        <v>20.493500000000001</v>
      </c>
      <c r="O122" s="195">
        <f t="shared" si="14"/>
        <v>12.734729969383816</v>
      </c>
      <c r="P122" s="594">
        <f t="shared" si="3"/>
        <v>19.127094752086979</v>
      </c>
      <c r="Q122" s="198">
        <f t="shared" si="15"/>
        <v>101.4823076923077</v>
      </c>
      <c r="R122" s="185">
        <f t="shared" si="16"/>
        <v>63.941519707196882</v>
      </c>
      <c r="S122" s="122"/>
      <c r="T122" s="199">
        <v>340</v>
      </c>
      <c r="U122" s="200">
        <f t="shared" si="17"/>
        <v>5.9341194567807207</v>
      </c>
      <c r="V122" s="201">
        <f t="shared" si="18"/>
        <v>0.93969262078590843</v>
      </c>
      <c r="W122" s="202">
        <v>1850</v>
      </c>
      <c r="X122" s="200">
        <f t="shared" si="19"/>
        <v>32.288591161895098</v>
      </c>
      <c r="Y122" s="200">
        <f t="shared" si="20"/>
        <v>0.64278760968653836</v>
      </c>
      <c r="AA122" s="203">
        <v>1.4005054969741002E-82</v>
      </c>
      <c r="AB122" s="204">
        <v>0.13435625412006913</v>
      </c>
      <c r="AC122" s="204">
        <v>0.87140839869029707</v>
      </c>
      <c r="AD122" s="204">
        <f t="shared" si="11"/>
        <v>1.0057646528103663</v>
      </c>
      <c r="AE122" s="185">
        <v>5434.4871670277453</v>
      </c>
      <c r="AF122" s="185">
        <v>67.178127060034569</v>
      </c>
      <c r="AG122" s="185">
        <v>435.70419934514854</v>
      </c>
    </row>
    <row r="123" spans="2:33" ht="11.1" customHeight="1" x14ac:dyDescent="0.15">
      <c r="B123" s="191">
        <v>62</v>
      </c>
      <c r="C123" s="192">
        <v>42828</v>
      </c>
      <c r="D123" s="193">
        <v>4574.25</v>
      </c>
      <c r="E123" s="194">
        <v>42826</v>
      </c>
      <c r="F123" s="191">
        <v>17</v>
      </c>
      <c r="G123" s="191">
        <v>120</v>
      </c>
      <c r="H123" s="195">
        <f t="shared" si="12"/>
        <v>137</v>
      </c>
      <c r="I123" s="208">
        <v>1.0334693424014472</v>
      </c>
      <c r="J123" s="198">
        <v>4.4591823874179362</v>
      </c>
      <c r="K123" s="198">
        <f t="shared" si="10"/>
        <v>5.4926517298193831</v>
      </c>
      <c r="L123" s="184"/>
      <c r="M123" s="593">
        <f t="shared" si="0"/>
        <v>3.2468368348076768</v>
      </c>
      <c r="N123" s="198">
        <f t="shared" si="13"/>
        <v>20.491</v>
      </c>
      <c r="O123" s="195">
        <f t="shared" si="14"/>
        <v>21.676820780748031</v>
      </c>
      <c r="P123" s="594">
        <f t="shared" si="3"/>
        <v>18.034308352726946</v>
      </c>
      <c r="Q123" s="198">
        <f t="shared" si="15"/>
        <v>101.44538461538461</v>
      </c>
      <c r="R123" s="185">
        <f t="shared" si="16"/>
        <v>109.10597749205307</v>
      </c>
      <c r="S123" s="122"/>
      <c r="T123" s="171">
        <v>80</v>
      </c>
      <c r="U123" s="200">
        <f t="shared" si="17"/>
        <v>1.3962634015954636</v>
      </c>
      <c r="V123" s="201">
        <f t="shared" si="18"/>
        <v>0.17364817766693041</v>
      </c>
      <c r="W123" s="172">
        <v>1880</v>
      </c>
      <c r="X123" s="200">
        <f t="shared" si="19"/>
        <v>32.812189937493393</v>
      </c>
      <c r="Y123" s="200">
        <f t="shared" si="20"/>
        <v>0.17364817766693316</v>
      </c>
      <c r="AA123" s="203">
        <v>9.6126616793367468E-84</v>
      </c>
      <c r="AB123" s="204">
        <v>0.13057716585155327</v>
      </c>
      <c r="AC123" s="204">
        <v>0.86970521318209693</v>
      </c>
      <c r="AD123" s="204">
        <f t="shared" si="11"/>
        <v>1.0002823790336501</v>
      </c>
      <c r="AE123" s="185">
        <v>5398.5514267881908</v>
      </c>
      <c r="AF123" s="185">
        <v>65.288582925776637</v>
      </c>
      <c r="AG123" s="185">
        <v>434.85260659104847</v>
      </c>
    </row>
    <row r="124" spans="2:33" ht="11.1" customHeight="1" x14ac:dyDescent="0.15">
      <c r="B124" s="191">
        <v>63</v>
      </c>
      <c r="C124" s="192">
        <v>42857</v>
      </c>
      <c r="D124" s="193">
        <v>5535.09</v>
      </c>
      <c r="E124" s="194">
        <v>42856</v>
      </c>
      <c r="F124" s="191">
        <v>25</v>
      </c>
      <c r="G124" s="191">
        <v>170</v>
      </c>
      <c r="H124" s="195">
        <f t="shared" si="12"/>
        <v>195</v>
      </c>
      <c r="I124" s="208">
        <v>1.0062510478358797</v>
      </c>
      <c r="J124" s="191">
        <v>12</v>
      </c>
      <c r="K124" s="198">
        <f t="shared" si="10"/>
        <v>13.00625104783588</v>
      </c>
      <c r="L124" s="184"/>
      <c r="M124" s="593">
        <f t="shared" si="0"/>
        <v>2.9966501369308864</v>
      </c>
      <c r="N124" s="198">
        <f t="shared" si="13"/>
        <v>20.486999999999998</v>
      </c>
      <c r="O124" s="195">
        <f t="shared" si="14"/>
        <v>32.478409982703944</v>
      </c>
      <c r="P124" s="594">
        <f t="shared" si="3"/>
        <v>17.036255735844243</v>
      </c>
      <c r="Q124" s="198">
        <f t="shared" si="15"/>
        <v>101.40692307692308</v>
      </c>
      <c r="R124" s="185">
        <f t="shared" si="16"/>
        <v>163.80954829020123</v>
      </c>
      <c r="S124" s="122"/>
      <c r="T124" s="171">
        <v>140</v>
      </c>
      <c r="U124" s="200">
        <f t="shared" si="17"/>
        <v>2.4434609527920612</v>
      </c>
      <c r="V124" s="201">
        <f t="shared" si="18"/>
        <v>-0.7660444431189779</v>
      </c>
      <c r="W124" s="172">
        <v>1910</v>
      </c>
      <c r="X124" s="200">
        <f t="shared" si="19"/>
        <v>33.335788713091695</v>
      </c>
      <c r="Y124" s="200">
        <f t="shared" si="20"/>
        <v>-0.34202014332566882</v>
      </c>
      <c r="AA124" s="203">
        <v>7.8426569218979379E-85</v>
      </c>
      <c r="AB124" s="204">
        <v>0.12713817872550462</v>
      </c>
      <c r="AC124" s="204">
        <v>0.86811492442285254</v>
      </c>
      <c r="AD124" s="204">
        <f t="shared" si="11"/>
        <v>0.99525310314835713</v>
      </c>
      <c r="AE124" s="185">
        <v>5365.642721791819</v>
      </c>
      <c r="AF124" s="185">
        <v>63.569089362752308</v>
      </c>
      <c r="AG124" s="185">
        <v>434.0574622114263</v>
      </c>
    </row>
    <row r="125" spans="2:33" ht="11.1" customHeight="1" x14ac:dyDescent="0.15">
      <c r="B125" s="191">
        <v>64</v>
      </c>
      <c r="C125" s="192">
        <v>42887</v>
      </c>
      <c r="D125" s="193">
        <v>5442.01</v>
      </c>
      <c r="E125" s="194">
        <v>42887</v>
      </c>
      <c r="F125" s="191">
        <v>22</v>
      </c>
      <c r="G125" s="191">
        <v>150</v>
      </c>
      <c r="H125" s="195">
        <f t="shared" si="12"/>
        <v>172</v>
      </c>
      <c r="I125" s="208">
        <v>0.97884830913589449</v>
      </c>
      <c r="J125" s="198">
        <v>4.442609345599128</v>
      </c>
      <c r="K125" s="198">
        <f t="shared" si="10"/>
        <v>5.4214576547350228</v>
      </c>
      <c r="L125" s="184"/>
      <c r="M125" s="593">
        <f t="shared" si="0"/>
        <v>2.7583590987450242</v>
      </c>
      <c r="N125" s="198">
        <f t="shared" si="13"/>
        <v>20.488499999999998</v>
      </c>
      <c r="O125" s="195">
        <f t="shared" si="14"/>
        <v>34.870288648117537</v>
      </c>
      <c r="P125" s="594">
        <f t="shared" si="3"/>
        <v>16.062925033745909</v>
      </c>
      <c r="Q125" s="198">
        <f t="shared" si="15"/>
        <v>101.4223076923077</v>
      </c>
      <c r="R125" s="185">
        <f t="shared" si="16"/>
        <v>176.22784908908042</v>
      </c>
      <c r="S125" s="122"/>
      <c r="T125" s="171">
        <v>180</v>
      </c>
      <c r="U125" s="200">
        <f t="shared" si="17"/>
        <v>3.1415926535897931</v>
      </c>
      <c r="V125" s="201">
        <f t="shared" si="18"/>
        <v>-1</v>
      </c>
      <c r="W125" s="172">
        <v>1940</v>
      </c>
      <c r="X125" s="200">
        <f t="shared" si="19"/>
        <v>33.85938748868999</v>
      </c>
      <c r="Y125" s="200">
        <f t="shared" si="20"/>
        <v>-0.76604444311897546</v>
      </c>
      <c r="AA125" s="203">
        <v>5.8688419889444773E-86</v>
      </c>
      <c r="AB125" s="204">
        <v>0.12367588738389575</v>
      </c>
      <c r="AC125" s="204">
        <v>0.86647285809638153</v>
      </c>
      <c r="AD125" s="204">
        <f t="shared" si="11"/>
        <v>0.99014874548027731</v>
      </c>
      <c r="AE125" s="185">
        <v>5332.3008186488569</v>
      </c>
      <c r="AF125" s="185">
        <v>61.837943691947871</v>
      </c>
      <c r="AG125" s="185">
        <v>433.23642904819076</v>
      </c>
    </row>
    <row r="126" spans="2:33" ht="11.1" customHeight="1" x14ac:dyDescent="0.15">
      <c r="B126" s="191">
        <v>65</v>
      </c>
      <c r="C126" s="192">
        <v>42919</v>
      </c>
      <c r="D126" s="193">
        <v>5365.97</v>
      </c>
      <c r="E126" s="194">
        <v>42917</v>
      </c>
      <c r="F126" s="191">
        <v>20</v>
      </c>
      <c r="G126" s="191">
        <v>140</v>
      </c>
      <c r="H126" s="195">
        <f t="shared" si="12"/>
        <v>160</v>
      </c>
      <c r="I126" s="208">
        <v>0.95044074834934622</v>
      </c>
      <c r="J126" s="198">
        <v>4.4336463553824812</v>
      </c>
      <c r="K126" s="198">
        <f t="shared" si="10"/>
        <v>5.3840871037318276</v>
      </c>
      <c r="L126" s="184"/>
      <c r="M126" s="593">
        <f t="shared" si="0"/>
        <v>2.5458123064100464</v>
      </c>
      <c r="N126" s="198">
        <f t="shared" si="13"/>
        <v>20.4895</v>
      </c>
      <c r="O126" s="195">
        <f t="shared" si="14"/>
        <v>33.009895127139742</v>
      </c>
      <c r="P126" s="594">
        <f t="shared" si="3"/>
        <v>15.173972485571428</v>
      </c>
      <c r="Q126" s="198">
        <f t="shared" si="15"/>
        <v>101.43</v>
      </c>
      <c r="R126" s="185">
        <f t="shared" si="16"/>
        <v>167.0949736629147</v>
      </c>
      <c r="S126" s="122"/>
      <c r="T126" s="171">
        <v>210</v>
      </c>
      <c r="U126" s="200">
        <f t="shared" si="17"/>
        <v>3.6651914291880923</v>
      </c>
      <c r="V126" s="201">
        <f t="shared" si="18"/>
        <v>-0.8660254037844386</v>
      </c>
      <c r="W126" s="172">
        <v>1970</v>
      </c>
      <c r="X126" s="200">
        <f t="shared" si="19"/>
        <v>34.382986264288292</v>
      </c>
      <c r="Y126" s="200">
        <f t="shared" si="20"/>
        <v>-0.98480775301220791</v>
      </c>
      <c r="AA126" s="203">
        <v>3.6947145981357063E-87</v>
      </c>
      <c r="AB126" s="204">
        <v>0.12008663841048757</v>
      </c>
      <c r="AC126" s="204">
        <v>0.86472474406114674</v>
      </c>
      <c r="AD126" s="204">
        <f t="shared" si="11"/>
        <v>0.98481138247163436</v>
      </c>
      <c r="AE126" s="185">
        <v>5297.5013358460055</v>
      </c>
      <c r="AF126" s="185">
        <v>60.043319205243783</v>
      </c>
      <c r="AG126" s="185">
        <v>432.3623720305734</v>
      </c>
    </row>
    <row r="127" spans="2:33" ht="11.1" customHeight="1" x14ac:dyDescent="0.15">
      <c r="B127" s="191">
        <v>66</v>
      </c>
      <c r="C127" s="210">
        <v>42948</v>
      </c>
      <c r="D127" s="211">
        <v>5947.22</v>
      </c>
      <c r="E127" s="194">
        <v>42948</v>
      </c>
      <c r="F127" s="191">
        <v>14</v>
      </c>
      <c r="G127" s="191">
        <v>120</v>
      </c>
      <c r="H127" s="195">
        <f t="shared" si="12"/>
        <v>134</v>
      </c>
      <c r="I127" s="208">
        <v>0.92540916280121643</v>
      </c>
      <c r="J127" s="198">
        <v>4.4255392659289967</v>
      </c>
      <c r="K127" s="198">
        <f t="shared" si="10"/>
        <v>5.3509484287302129</v>
      </c>
      <c r="L127" s="184"/>
      <c r="M127" s="593">
        <f t="shared" ref="M127:M146" si="21">事故日の濃度1*2.71828^(-0.69315/半1*(E127-事故日)/365.25)</f>
        <v>2.3433715042474987</v>
      </c>
      <c r="N127" s="198">
        <f t="shared" ref="N127:N146" si="22">下駄1-(F127-40999)/除数11</f>
        <v>20.4925</v>
      </c>
      <c r="O127" s="195">
        <f t="shared" ref="O127:O146" si="23">(M127+N127)*(1-V127/除数12)</f>
        <v>28.54483938030938</v>
      </c>
      <c r="P127" s="594">
        <f t="shared" ref="P127:P146" si="24">事故日の濃度2*2.71828^(-0.69315/半2*(E127-事故日)/365.25)</f>
        <v>14.307039426922424</v>
      </c>
      <c r="Q127" s="198">
        <f t="shared" ref="Q127:Q146" si="25">下駄2-(G127-40999)/除数21</f>
        <v>101.44538461538461</v>
      </c>
      <c r="R127" s="185">
        <f t="shared" ref="R127:R146" si="26">(P127+Q127)*(1-V127/除数22)</f>
        <v>144.69053005288382</v>
      </c>
      <c r="S127" s="122"/>
      <c r="T127" s="171">
        <v>240</v>
      </c>
      <c r="U127" s="200">
        <f t="shared" ref="U127:U146" si="27">PI()/180*T127</f>
        <v>4.1887902047863905</v>
      </c>
      <c r="V127" s="201">
        <f t="shared" ref="V127:V146" si="28">COS(U127)</f>
        <v>-0.50000000000000044</v>
      </c>
      <c r="W127" s="172">
        <v>2000</v>
      </c>
      <c r="X127" s="200">
        <f t="shared" ref="X127:X146" si="29">PI()/180*W127</f>
        <v>34.906585039886593</v>
      </c>
      <c r="Y127" s="200">
        <f t="shared" ref="Y127:Y146" si="30">COS(X127)</f>
        <v>-0.93969262078590776</v>
      </c>
      <c r="AA127" s="203">
        <v>3.0143970509013087E-88</v>
      </c>
      <c r="AB127" s="204">
        <v>0.11692393840232823</v>
      </c>
      <c r="AC127" s="204">
        <v>0.86314356227739109</v>
      </c>
      <c r="AD127" s="204">
        <f t="shared" si="11"/>
        <v>0.98006750067971926</v>
      </c>
      <c r="AE127" s="185">
        <v>5266.6282100136286</v>
      </c>
      <c r="AF127" s="185">
        <v>58.461969201164116</v>
      </c>
      <c r="AG127" s="185">
        <v>431.57178113869554</v>
      </c>
    </row>
    <row r="128" spans="2:33" ht="11.1" customHeight="1" x14ac:dyDescent="0.15">
      <c r="B128" s="191">
        <v>67</v>
      </c>
      <c r="C128" s="192">
        <v>42979</v>
      </c>
      <c r="D128" s="193">
        <v>5135.9799999999996</v>
      </c>
      <c r="E128" s="194">
        <v>42979</v>
      </c>
      <c r="F128" s="191">
        <v>15</v>
      </c>
      <c r="G128" s="191">
        <v>130</v>
      </c>
      <c r="H128" s="195">
        <f t="shared" si="12"/>
        <v>145</v>
      </c>
      <c r="I128" s="208">
        <v>0.8993798355203757</v>
      </c>
      <c r="J128" s="198">
        <v>4.416889459070318</v>
      </c>
      <c r="K128" s="198">
        <f t="shared" ref="K128:K146" si="31">J128+I128</f>
        <v>5.3162692945906933</v>
      </c>
      <c r="L128" s="184"/>
      <c r="M128" s="593">
        <f t="shared" si="21"/>
        <v>2.1570286203317237</v>
      </c>
      <c r="N128" s="198">
        <f t="shared" si="22"/>
        <v>20.492000000000001</v>
      </c>
      <c r="O128" s="195">
        <f t="shared" si="23"/>
        <v>26.522240627788236</v>
      </c>
      <c r="P128" s="594">
        <f t="shared" si="24"/>
        <v>13.489636768364312</v>
      </c>
      <c r="Q128" s="198">
        <f t="shared" si="25"/>
        <v>101.43769230769232</v>
      </c>
      <c r="R128" s="185">
        <f t="shared" si="26"/>
        <v>134.5810598573712</v>
      </c>
      <c r="S128" s="122"/>
      <c r="T128" s="171">
        <v>250</v>
      </c>
      <c r="U128" s="200">
        <f t="shared" si="27"/>
        <v>4.3633231299858242</v>
      </c>
      <c r="V128" s="201">
        <f t="shared" si="28"/>
        <v>-0.34202014332566855</v>
      </c>
      <c r="W128" s="172">
        <v>2030</v>
      </c>
      <c r="X128" s="200">
        <f t="shared" si="29"/>
        <v>35.430183815484888</v>
      </c>
      <c r="Y128" s="200">
        <f t="shared" si="30"/>
        <v>-0.64278760968654114</v>
      </c>
      <c r="AA128" s="203">
        <v>2.0689943081347197E-89</v>
      </c>
      <c r="AB128" s="204">
        <v>0.11363517535353093</v>
      </c>
      <c r="AC128" s="204">
        <v>0.86145653056071658</v>
      </c>
      <c r="AD128" s="204">
        <f t="shared" ref="AD128:AD146" si="32">AB128+AC128</f>
        <v>0.97509170591424754</v>
      </c>
      <c r="AE128" s="185">
        <v>5234.3049582670901</v>
      </c>
      <c r="AF128" s="185">
        <v>56.817587676765463</v>
      </c>
      <c r="AG128" s="185">
        <v>430.7282652803583</v>
      </c>
    </row>
    <row r="129" spans="2:33" ht="11.1" customHeight="1" x14ac:dyDescent="0.15">
      <c r="B129" s="191">
        <v>68</v>
      </c>
      <c r="C129" s="192">
        <v>43010</v>
      </c>
      <c r="D129" s="193">
        <v>5397.84</v>
      </c>
      <c r="E129" s="194">
        <v>43009</v>
      </c>
      <c r="F129" s="191">
        <v>15</v>
      </c>
      <c r="G129" s="191">
        <v>120</v>
      </c>
      <c r="H129" s="195">
        <f t="shared" si="12"/>
        <v>135</v>
      </c>
      <c r="I129" s="208">
        <v>0.8740826447969916</v>
      </c>
      <c r="J129" s="198">
        <v>4.4082565584357623</v>
      </c>
      <c r="K129" s="198">
        <f t="shared" si="31"/>
        <v>5.2823392032327536</v>
      </c>
      <c r="L129" s="184"/>
      <c r="M129" s="593">
        <f t="shared" si="21"/>
        <v>1.9908176601870362</v>
      </c>
      <c r="N129" s="198">
        <f t="shared" si="22"/>
        <v>20.492000000000001</v>
      </c>
      <c r="O129" s="195">
        <f t="shared" si="23"/>
        <v>24.434867817941718</v>
      </c>
      <c r="P129" s="594">
        <f t="shared" si="24"/>
        <v>12.743094843155014</v>
      </c>
      <c r="Q129" s="198">
        <f t="shared" si="25"/>
        <v>101.44538461538461</v>
      </c>
      <c r="R129" s="185">
        <f t="shared" si="26"/>
        <v>124.1027901428062</v>
      </c>
      <c r="S129" s="122"/>
      <c r="T129" s="171">
        <v>260</v>
      </c>
      <c r="U129" s="200">
        <f t="shared" si="27"/>
        <v>4.5378560551852569</v>
      </c>
      <c r="V129" s="201">
        <f t="shared" si="28"/>
        <v>-0.17364817766693033</v>
      </c>
      <c r="W129" s="172">
        <v>2060</v>
      </c>
      <c r="X129" s="200">
        <f t="shared" si="29"/>
        <v>35.95378259108319</v>
      </c>
      <c r="Y129" s="200">
        <f t="shared" si="30"/>
        <v>-0.17364817766692978</v>
      </c>
      <c r="AA129" s="203">
        <v>1.4200974107951964E-90</v>
      </c>
      <c r="AB129" s="204">
        <v>0.11043891656467322</v>
      </c>
      <c r="AC129" s="204">
        <v>0.85977279618197899</v>
      </c>
      <c r="AD129" s="204">
        <f t="shared" si="32"/>
        <v>0.97021171274665219</v>
      </c>
      <c r="AE129" s="185">
        <v>5202.6645154507196</v>
      </c>
      <c r="AF129" s="185">
        <v>55.21945828233661</v>
      </c>
      <c r="AG129" s="185">
        <v>429.88639809098947</v>
      </c>
    </row>
    <row r="130" spans="2:33" ht="11.1" customHeight="1" x14ac:dyDescent="0.15">
      <c r="B130" s="191">
        <v>69</v>
      </c>
      <c r="C130" s="192">
        <v>43055</v>
      </c>
      <c r="D130" s="193">
        <v>4808.5200000000004</v>
      </c>
      <c r="E130" s="194">
        <v>43040</v>
      </c>
      <c r="F130" s="191">
        <v>14</v>
      </c>
      <c r="G130" s="191">
        <v>120</v>
      </c>
      <c r="H130" s="195">
        <f t="shared" si="12"/>
        <v>134</v>
      </c>
      <c r="I130" s="208">
        <v>0.83862165239206243</v>
      </c>
      <c r="J130" s="198">
        <v>4.3957549437238512</v>
      </c>
      <c r="K130" s="198">
        <f t="shared" si="31"/>
        <v>5.2343765961159132</v>
      </c>
      <c r="L130" s="184"/>
      <c r="M130" s="593">
        <f t="shared" si="21"/>
        <v>1.8325095543330157</v>
      </c>
      <c r="N130" s="198">
        <f t="shared" si="22"/>
        <v>20.4925</v>
      </c>
      <c r="O130" s="195">
        <f t="shared" si="23"/>
        <v>20.386660941579649</v>
      </c>
      <c r="P130" s="594">
        <f t="shared" si="24"/>
        <v>12.015044874728128</v>
      </c>
      <c r="Q130" s="198">
        <f t="shared" si="25"/>
        <v>101.44538461538461</v>
      </c>
      <c r="R130" s="185">
        <f t="shared" si="26"/>
        <v>103.6093310809801</v>
      </c>
      <c r="S130" s="122"/>
      <c r="T130" s="171">
        <v>280</v>
      </c>
      <c r="U130" s="200">
        <f t="shared" si="27"/>
        <v>4.8869219055841224</v>
      </c>
      <c r="V130" s="201">
        <f t="shared" si="28"/>
        <v>0.17364817766692997</v>
      </c>
      <c r="W130" s="172">
        <v>2090</v>
      </c>
      <c r="X130" s="200">
        <f t="shared" si="29"/>
        <v>36.477381366681485</v>
      </c>
      <c r="Y130" s="200">
        <f t="shared" si="30"/>
        <v>0.34202014332566538</v>
      </c>
      <c r="AA130" s="203">
        <v>2.9070462088340882E-92</v>
      </c>
      <c r="AB130" s="204">
        <v>0.10595847801024098</v>
      </c>
      <c r="AC130" s="204">
        <v>0.85733451971254782</v>
      </c>
      <c r="AD130" s="204">
        <f t="shared" si="32"/>
        <v>0.96329299772278876</v>
      </c>
      <c r="AE130" s="185">
        <v>5157.911537164513</v>
      </c>
      <c r="AF130" s="185">
        <v>52.97923900512049</v>
      </c>
      <c r="AG130" s="185">
        <v>428.66725985627392</v>
      </c>
    </row>
    <row r="131" spans="2:33" ht="11.1" customHeight="1" x14ac:dyDescent="0.15">
      <c r="B131" s="191">
        <v>70</v>
      </c>
      <c r="C131" s="192">
        <v>43070</v>
      </c>
      <c r="D131" s="193">
        <v>4770.28</v>
      </c>
      <c r="E131" s="194">
        <v>43070</v>
      </c>
      <c r="F131" s="191">
        <v>13</v>
      </c>
      <c r="G131" s="191">
        <v>120</v>
      </c>
      <c r="H131" s="195">
        <f t="shared" ref="H131:H146" si="33">G131+F131</f>
        <v>133</v>
      </c>
      <c r="I131" s="208">
        <v>0.82712394925620403</v>
      </c>
      <c r="J131" s="198">
        <v>4.3915956224597927</v>
      </c>
      <c r="K131" s="198">
        <f t="shared" si="31"/>
        <v>5.2187195717159964</v>
      </c>
      <c r="L131" s="184"/>
      <c r="M131" s="593">
        <f t="shared" si="21"/>
        <v>1.6913045792904673</v>
      </c>
      <c r="N131" s="198">
        <f t="shared" si="22"/>
        <v>20.492999999999999</v>
      </c>
      <c r="O131" s="195">
        <f t="shared" si="23"/>
        <v>15.054406522750332</v>
      </c>
      <c r="P131" s="594">
        <f t="shared" si="24"/>
        <v>11.350109644352496</v>
      </c>
      <c r="Q131" s="198">
        <f t="shared" si="25"/>
        <v>101.44538461538461</v>
      </c>
      <c r="R131" s="185">
        <f t="shared" si="26"/>
        <v>76.543721190423028</v>
      </c>
      <c r="S131" s="122"/>
      <c r="T131" s="171">
        <v>310</v>
      </c>
      <c r="U131" s="200">
        <f t="shared" si="27"/>
        <v>5.4105206811824216</v>
      </c>
      <c r="V131" s="201">
        <f t="shared" si="28"/>
        <v>0.64278760968653925</v>
      </c>
      <c r="W131" s="172">
        <v>2120</v>
      </c>
      <c r="X131" s="200">
        <f t="shared" si="29"/>
        <v>37.000980142279786</v>
      </c>
      <c r="Y131" s="200">
        <f t="shared" si="30"/>
        <v>0.76604444311897757</v>
      </c>
      <c r="AA131" s="203">
        <v>7.9523692071227076E-93</v>
      </c>
      <c r="AB131" s="204">
        <v>0.10450576197147178</v>
      </c>
      <c r="AC131" s="204">
        <v>0.85652329849027675</v>
      </c>
      <c r="AD131" s="204">
        <f t="shared" si="32"/>
        <v>0.96102906046174852</v>
      </c>
      <c r="AE131" s="185">
        <v>5143.2952019778968</v>
      </c>
      <c r="AF131" s="185">
        <v>52.252880985735892</v>
      </c>
      <c r="AG131" s="185">
        <v>428.26164924513836</v>
      </c>
    </row>
    <row r="132" spans="2:33" ht="11.1" customHeight="1" x14ac:dyDescent="0.15">
      <c r="B132" s="191">
        <v>71</v>
      </c>
      <c r="C132" s="192">
        <v>43105</v>
      </c>
      <c r="D132" s="193">
        <v>4593.75</v>
      </c>
      <c r="E132" s="194">
        <v>43101</v>
      </c>
      <c r="F132" s="191">
        <v>11</v>
      </c>
      <c r="G132" s="191">
        <v>81</v>
      </c>
      <c r="H132" s="195">
        <f t="shared" si="33"/>
        <v>92</v>
      </c>
      <c r="I132" s="208">
        <v>0.80090527397176614</v>
      </c>
      <c r="J132" s="198">
        <v>4.3819058382034246</v>
      </c>
      <c r="K132" s="198">
        <f t="shared" si="31"/>
        <v>5.182811112175191</v>
      </c>
      <c r="L132" s="184"/>
      <c r="M132" s="593">
        <f t="shared" si="21"/>
        <v>1.556813495689898</v>
      </c>
      <c r="N132" s="198">
        <f t="shared" si="22"/>
        <v>20.494</v>
      </c>
      <c r="O132" s="195">
        <f t="shared" si="23"/>
        <v>13.604861923376793</v>
      </c>
      <c r="P132" s="594">
        <f t="shared" si="24"/>
        <v>10.701644960543659</v>
      </c>
      <c r="Q132" s="198">
        <f t="shared" si="25"/>
        <v>101.47538461538461</v>
      </c>
      <c r="R132" s="185">
        <f t="shared" si="26"/>
        <v>69.210734499811736</v>
      </c>
      <c r="S132" s="122"/>
      <c r="T132" s="171">
        <v>320</v>
      </c>
      <c r="U132" s="200">
        <f t="shared" si="27"/>
        <v>5.5850536063818543</v>
      </c>
      <c r="V132" s="201">
        <f t="shared" si="28"/>
        <v>0.76604444311897779</v>
      </c>
      <c r="W132" s="172">
        <v>2150</v>
      </c>
      <c r="X132" s="200">
        <f t="shared" si="29"/>
        <v>37.524578917878088</v>
      </c>
      <c r="Y132" s="200">
        <f t="shared" si="30"/>
        <v>0.98480775301220846</v>
      </c>
      <c r="AA132" s="203">
        <v>3.8630820693697976E-94</v>
      </c>
      <c r="AB132" s="204">
        <v>0.10119307511124155</v>
      </c>
      <c r="AC132" s="204">
        <v>0.85463343278167692</v>
      </c>
      <c r="AD132" s="204">
        <f t="shared" si="32"/>
        <v>0.95582650789291845</v>
      </c>
      <c r="AE132" s="185">
        <v>5109.7598959631932</v>
      </c>
      <c r="AF132" s="185">
        <v>50.596537555620777</v>
      </c>
      <c r="AG132" s="185">
        <v>427.31671639083845</v>
      </c>
    </row>
    <row r="133" spans="2:33" ht="11.1" customHeight="1" x14ac:dyDescent="0.15">
      <c r="B133" s="191">
        <v>72</v>
      </c>
      <c r="C133" s="192">
        <v>43132</v>
      </c>
      <c r="D133" s="193">
        <v>3827.41</v>
      </c>
      <c r="E133" s="194">
        <v>43132</v>
      </c>
      <c r="F133" s="595">
        <v>5.5</v>
      </c>
      <c r="G133" s="595">
        <v>48</v>
      </c>
      <c r="H133" s="195">
        <f t="shared" si="33"/>
        <v>53.5</v>
      </c>
      <c r="I133" s="208">
        <v>0.78124868242318757</v>
      </c>
      <c r="J133" s="198">
        <v>4.3744454723852337</v>
      </c>
      <c r="K133" s="198">
        <f t="shared" si="31"/>
        <v>5.1556941548084216</v>
      </c>
      <c r="L133" s="184"/>
      <c r="M133" s="593">
        <f t="shared" si="21"/>
        <v>1.433017027234073</v>
      </c>
      <c r="N133" s="198">
        <f t="shared" si="22"/>
        <v>20.496749999999999</v>
      </c>
      <c r="O133" s="597">
        <f t="shared" si="23"/>
        <v>12.433899354904547</v>
      </c>
      <c r="P133" s="594">
        <f t="shared" si="24"/>
        <v>10.09022894492602</v>
      </c>
      <c r="Q133" s="198">
        <f t="shared" si="25"/>
        <v>101.50076923076924</v>
      </c>
      <c r="R133" s="598">
        <f t="shared" si="26"/>
        <v>63.270678548787757</v>
      </c>
      <c r="S133" s="122"/>
      <c r="T133" s="171">
        <v>330</v>
      </c>
      <c r="U133" s="200">
        <f t="shared" si="27"/>
        <v>5.7595865315812871</v>
      </c>
      <c r="V133" s="201">
        <f t="shared" si="28"/>
        <v>0.86602540378443837</v>
      </c>
      <c r="W133" s="172">
        <v>2180</v>
      </c>
      <c r="X133" s="200">
        <f t="shared" si="29"/>
        <v>38.048177693476383</v>
      </c>
      <c r="Y133" s="200">
        <f t="shared" si="30"/>
        <v>0.93969262078590898</v>
      </c>
      <c r="AA133" s="203">
        <v>3.7464006001947959E-95</v>
      </c>
      <c r="AB133" s="204">
        <v>9.8709496828453924E-2</v>
      </c>
      <c r="AC133" s="204">
        <v>0.85317838598596074</v>
      </c>
      <c r="AD133" s="204">
        <f t="shared" si="32"/>
        <v>0.95188788281441461</v>
      </c>
      <c r="AE133" s="185">
        <v>5084.4221593328539</v>
      </c>
      <c r="AF133" s="185">
        <v>49.354748414226961</v>
      </c>
      <c r="AG133" s="185">
        <v>426.58919299298037</v>
      </c>
    </row>
    <row r="134" spans="2:33" ht="11.1" customHeight="1" x14ac:dyDescent="0.15">
      <c r="B134" s="191">
        <v>73</v>
      </c>
      <c r="C134" s="192">
        <v>43160</v>
      </c>
      <c r="D134" s="193">
        <v>4817.8999999999996</v>
      </c>
      <c r="E134" s="194">
        <v>43160</v>
      </c>
      <c r="F134" s="596">
        <v>5.383998161135243</v>
      </c>
      <c r="G134" s="595">
        <v>51</v>
      </c>
      <c r="H134" s="195">
        <f t="shared" si="33"/>
        <v>56.383998161135246</v>
      </c>
      <c r="I134" s="208">
        <v>0.76137347733225669</v>
      </c>
      <c r="J134" s="198">
        <v>4.3667222123580673</v>
      </c>
      <c r="K134" s="198">
        <f t="shared" si="31"/>
        <v>5.1280956896903245</v>
      </c>
      <c r="L134" s="184"/>
      <c r="M134" s="593">
        <f t="shared" si="21"/>
        <v>1.3296843462713819</v>
      </c>
      <c r="N134" s="198">
        <f t="shared" si="22"/>
        <v>20.49680800091943</v>
      </c>
      <c r="O134" s="597">
        <f t="shared" si="23"/>
        <v>11.571395449043157</v>
      </c>
      <c r="P134" s="594">
        <f t="shared" si="24"/>
        <v>9.5680632186224521</v>
      </c>
      <c r="Q134" s="198">
        <f t="shared" si="25"/>
        <v>101.49846153846154</v>
      </c>
      <c r="R134" s="598">
        <f t="shared" si="26"/>
        <v>58.882327891800372</v>
      </c>
      <c r="S134" s="122"/>
      <c r="T134" s="171">
        <v>340</v>
      </c>
      <c r="U134" s="200">
        <f t="shared" si="27"/>
        <v>5.9341194567807207</v>
      </c>
      <c r="V134" s="201">
        <f t="shared" si="28"/>
        <v>0.93969262078590843</v>
      </c>
      <c r="W134" s="172">
        <v>2210</v>
      </c>
      <c r="X134" s="200">
        <f t="shared" si="29"/>
        <v>38.571776469074685</v>
      </c>
      <c r="Y134" s="200">
        <f t="shared" si="30"/>
        <v>0.64278760968653847</v>
      </c>
      <c r="AA134" s="203">
        <v>3.332453775810774E-96</v>
      </c>
      <c r="AB134" s="204">
        <v>9.6198297081142983E-2</v>
      </c>
      <c r="AC134" s="204">
        <v>0.8516720651125782</v>
      </c>
      <c r="AD134" s="204">
        <f t="shared" si="32"/>
        <v>0.94787036219372123</v>
      </c>
      <c r="AE134" s="185">
        <v>5058.6227273841232</v>
      </c>
      <c r="AF134" s="185">
        <v>48.099148540571491</v>
      </c>
      <c r="AG134" s="185">
        <v>425.83603255628913</v>
      </c>
    </row>
    <row r="135" spans="2:33" ht="11.1" customHeight="1" x14ac:dyDescent="0.15">
      <c r="B135" s="191">
        <v>74</v>
      </c>
      <c r="C135" s="210">
        <v>43192</v>
      </c>
      <c r="D135" s="211">
        <v>4824.92</v>
      </c>
      <c r="E135" s="194">
        <v>43191</v>
      </c>
      <c r="F135" s="212">
        <v>11</v>
      </c>
      <c r="G135" s="212">
        <v>100</v>
      </c>
      <c r="H135" s="195">
        <f t="shared" si="33"/>
        <v>111</v>
      </c>
      <c r="I135" s="208">
        <v>0.73927734339943607</v>
      </c>
      <c r="J135" s="198">
        <v>4.3579123248744986</v>
      </c>
      <c r="K135" s="198">
        <f t="shared" si="31"/>
        <v>5.097189668273935</v>
      </c>
      <c r="L135" s="184"/>
      <c r="M135" s="593">
        <f t="shared" si="21"/>
        <v>1.2239489921746196</v>
      </c>
      <c r="N135" s="198">
        <f t="shared" si="22"/>
        <v>20.494</v>
      </c>
      <c r="O135" s="195">
        <f t="shared" si="23"/>
        <v>19.832307859597382</v>
      </c>
      <c r="P135" s="594">
        <f t="shared" si="24"/>
        <v>9.0214120157581537</v>
      </c>
      <c r="Q135" s="198">
        <f t="shared" si="25"/>
        <v>101.46076923076923</v>
      </c>
      <c r="R135" s="185">
        <f t="shared" si="26"/>
        <v>100.88966652746389</v>
      </c>
      <c r="S135" s="122"/>
      <c r="T135" s="199">
        <v>80</v>
      </c>
      <c r="U135" s="200">
        <f t="shared" si="27"/>
        <v>1.3962634015954636</v>
      </c>
      <c r="V135" s="201">
        <f t="shared" si="28"/>
        <v>0.17364817766693041</v>
      </c>
      <c r="W135" s="202">
        <v>2240</v>
      </c>
      <c r="X135" s="200">
        <f t="shared" si="29"/>
        <v>39.095375244672979</v>
      </c>
      <c r="Y135" s="200">
        <f t="shared" si="30"/>
        <v>0.17364817766693341</v>
      </c>
      <c r="AA135" s="203">
        <v>2.0979378276488482E-97</v>
      </c>
      <c r="AB135" s="204">
        <v>9.3406486596934887E-2</v>
      </c>
      <c r="AC135" s="204">
        <v>0.84995381176334839</v>
      </c>
      <c r="AD135" s="204">
        <f t="shared" si="32"/>
        <v>0.94336029836028323</v>
      </c>
      <c r="AE135" s="185">
        <v>5029.7168002964927</v>
      </c>
      <c r="AF135" s="185">
        <v>46.703243298467441</v>
      </c>
      <c r="AG135" s="185">
        <v>424.97690588167421</v>
      </c>
    </row>
    <row r="136" spans="2:33" ht="11.1" customHeight="1" x14ac:dyDescent="0.15">
      <c r="B136" s="191">
        <v>75</v>
      </c>
      <c r="C136" s="210">
        <v>43221</v>
      </c>
      <c r="D136" s="211">
        <v>5632.88</v>
      </c>
      <c r="E136" s="194">
        <v>43221</v>
      </c>
      <c r="F136" s="212">
        <v>14</v>
      </c>
      <c r="G136" s="212">
        <v>130</v>
      </c>
      <c r="H136" s="195">
        <f t="shared" si="33"/>
        <v>144</v>
      </c>
      <c r="I136" s="208">
        <v>0.7198071301354998</v>
      </c>
      <c r="J136" s="198">
        <v>4.3499437179500173</v>
      </c>
      <c r="K136" s="198">
        <f t="shared" si="31"/>
        <v>5.0697508480855173</v>
      </c>
      <c r="L136" s="184"/>
      <c r="M136" s="593">
        <f t="shared" si="21"/>
        <v>1.1296369671787794</v>
      </c>
      <c r="N136" s="198">
        <f t="shared" si="22"/>
        <v>20.4925</v>
      </c>
      <c r="O136" s="195">
        <f t="shared" si="23"/>
        <v>29.903895903211147</v>
      </c>
      <c r="P136" s="594">
        <f t="shared" si="24"/>
        <v>8.5221500704591477</v>
      </c>
      <c r="Q136" s="198">
        <f t="shared" si="25"/>
        <v>101.43769230769232</v>
      </c>
      <c r="R136" s="185">
        <f t="shared" si="26"/>
        <v>152.07690548816228</v>
      </c>
      <c r="S136" s="122"/>
      <c r="T136" s="199">
        <v>140</v>
      </c>
      <c r="U136" s="200">
        <f t="shared" si="27"/>
        <v>2.4434609527920612</v>
      </c>
      <c r="V136" s="201">
        <f t="shared" si="28"/>
        <v>-0.7660444431189779</v>
      </c>
      <c r="W136" s="202">
        <v>2270</v>
      </c>
      <c r="X136" s="200">
        <f t="shared" si="29"/>
        <v>39.618974020271281</v>
      </c>
      <c r="Y136" s="200">
        <f t="shared" si="30"/>
        <v>-0.3420201433256686</v>
      </c>
      <c r="AA136" s="203">
        <v>1.7116390001626979E-98</v>
      </c>
      <c r="AB136" s="204">
        <v>9.094645690643384E-2</v>
      </c>
      <c r="AC136" s="204">
        <v>0.84839963918597749</v>
      </c>
      <c r="AD136" s="204">
        <f t="shared" si="32"/>
        <v>0.93934609609241138</v>
      </c>
      <c r="AE136" s="185">
        <v>5004.040409868634</v>
      </c>
      <c r="AF136" s="185">
        <v>45.473228453216919</v>
      </c>
      <c r="AG136" s="185">
        <v>424.19981959298877</v>
      </c>
    </row>
    <row r="137" spans="2:33" ht="11.1" customHeight="1" x14ac:dyDescent="0.15">
      <c r="B137" s="191">
        <v>76</v>
      </c>
      <c r="C137" s="210">
        <v>43252</v>
      </c>
      <c r="D137" s="211">
        <v>5064.37</v>
      </c>
      <c r="E137" s="194">
        <v>43252</v>
      </c>
      <c r="F137" s="212">
        <v>16</v>
      </c>
      <c r="G137" s="212">
        <v>170</v>
      </c>
      <c r="H137" s="195">
        <f t="shared" si="33"/>
        <v>186</v>
      </c>
      <c r="I137" s="208">
        <v>0.69956084760176518</v>
      </c>
      <c r="J137" s="198">
        <v>4.3414416641334208</v>
      </c>
      <c r="K137" s="198">
        <f t="shared" si="31"/>
        <v>5.0410025117351864</v>
      </c>
      <c r="L137" s="184"/>
      <c r="M137" s="593">
        <f t="shared" si="21"/>
        <v>1.0398092083874737</v>
      </c>
      <c r="N137" s="198">
        <f t="shared" si="22"/>
        <v>20.491499999999998</v>
      </c>
      <c r="O137" s="195">
        <f t="shared" si="23"/>
        <v>32.296963812581211</v>
      </c>
      <c r="P137" s="594">
        <f t="shared" si="24"/>
        <v>8.0352549193130525</v>
      </c>
      <c r="Q137" s="198">
        <f t="shared" si="25"/>
        <v>101.40692307692308</v>
      </c>
      <c r="R137" s="185">
        <f t="shared" si="26"/>
        <v>164.16326699435419</v>
      </c>
      <c r="S137" s="122"/>
      <c r="T137" s="199">
        <v>180</v>
      </c>
      <c r="U137" s="200">
        <f t="shared" si="27"/>
        <v>3.1415926535897931</v>
      </c>
      <c r="V137" s="201">
        <f t="shared" si="28"/>
        <v>-1</v>
      </c>
      <c r="W137" s="202">
        <v>2300</v>
      </c>
      <c r="X137" s="200">
        <f t="shared" si="29"/>
        <v>40.142572795869583</v>
      </c>
      <c r="Y137" s="200">
        <f t="shared" si="30"/>
        <v>-0.76604444311897979</v>
      </c>
      <c r="AA137" s="203">
        <v>1.1748191393230527E-99</v>
      </c>
      <c r="AB137" s="204">
        <v>8.8388372129442075E-2</v>
      </c>
      <c r="AC137" s="204">
        <v>0.84674142476803582</v>
      </c>
      <c r="AD137" s="204">
        <f t="shared" si="32"/>
        <v>0.93512979689747788</v>
      </c>
      <c r="AE137" s="185">
        <v>4977.1247819976452</v>
      </c>
      <c r="AF137" s="185">
        <v>44.194186064721038</v>
      </c>
      <c r="AG137" s="185">
        <v>423.37071238401791</v>
      </c>
    </row>
    <row r="138" spans="2:33" ht="11.1" customHeight="1" x14ac:dyDescent="0.15">
      <c r="B138" s="191">
        <v>77</v>
      </c>
      <c r="C138" s="210">
        <v>43283</v>
      </c>
      <c r="D138" s="211">
        <v>5485.96</v>
      </c>
      <c r="E138" s="194">
        <v>43282</v>
      </c>
      <c r="F138" s="212">
        <v>12</v>
      </c>
      <c r="G138" s="212">
        <v>130</v>
      </c>
      <c r="H138" s="195">
        <f t="shared" si="33"/>
        <v>142</v>
      </c>
      <c r="I138" s="208">
        <v>0.6798840397776782</v>
      </c>
      <c r="J138" s="198">
        <v>4.3329562277546092</v>
      </c>
      <c r="K138" s="198">
        <f t="shared" si="31"/>
        <v>5.0128402675322876</v>
      </c>
      <c r="L138" s="184"/>
      <c r="M138" s="593">
        <f t="shared" si="21"/>
        <v>0.95968617002612333</v>
      </c>
      <c r="N138" s="198">
        <f t="shared" si="22"/>
        <v>20.493500000000001</v>
      </c>
      <c r="O138" s="195">
        <f t="shared" si="23"/>
        <v>30.742688277705927</v>
      </c>
      <c r="P138" s="594">
        <f t="shared" si="24"/>
        <v>7.5905687665265305</v>
      </c>
      <c r="Q138" s="198">
        <f t="shared" si="25"/>
        <v>101.43769230769232</v>
      </c>
      <c r="R138" s="185">
        <f t="shared" si="26"/>
        <v>156.23888298457661</v>
      </c>
      <c r="S138" s="122"/>
      <c r="T138" s="199">
        <v>210</v>
      </c>
      <c r="U138" s="200">
        <f t="shared" si="27"/>
        <v>3.6651914291880923</v>
      </c>
      <c r="V138" s="201">
        <f t="shared" si="28"/>
        <v>-0.8660254037844386</v>
      </c>
      <c r="W138" s="202">
        <v>2330</v>
      </c>
      <c r="X138" s="200">
        <f t="shared" si="29"/>
        <v>40.666171571467878</v>
      </c>
      <c r="Y138" s="200">
        <f t="shared" si="30"/>
        <v>-0.9848077530122078</v>
      </c>
      <c r="AA138" s="203">
        <v>8.063616276496639E-101</v>
      </c>
      <c r="AB138" s="204">
        <v>8.5902239553216173E-2</v>
      </c>
      <c r="AC138" s="204">
        <v>0.84508645136403238</v>
      </c>
      <c r="AD138" s="204">
        <f t="shared" si="32"/>
        <v>0.93098869091724856</v>
      </c>
      <c r="AE138" s="185">
        <v>4950.7437274013864</v>
      </c>
      <c r="AF138" s="185">
        <v>42.951119776608088</v>
      </c>
      <c r="AG138" s="185">
        <v>422.54322568201621</v>
      </c>
    </row>
    <row r="139" spans="2:33" ht="11.1" customHeight="1" x14ac:dyDescent="0.15">
      <c r="B139" s="191">
        <v>78</v>
      </c>
      <c r="C139" s="210">
        <v>43313</v>
      </c>
      <c r="D139" s="211">
        <v>5456.73</v>
      </c>
      <c r="E139" s="194">
        <v>43313</v>
      </c>
      <c r="F139" s="212">
        <v>10</v>
      </c>
      <c r="G139" s="212">
        <v>120</v>
      </c>
      <c r="H139" s="195">
        <f t="shared" si="33"/>
        <v>130</v>
      </c>
      <c r="I139" s="208">
        <v>0.66136909290792134</v>
      </c>
      <c r="J139" s="198">
        <v>4.3247603065516662</v>
      </c>
      <c r="K139" s="198">
        <f t="shared" si="31"/>
        <v>4.9861293994595872</v>
      </c>
      <c r="L139" s="184"/>
      <c r="M139" s="593">
        <f t="shared" si="21"/>
        <v>0.88337275226346323</v>
      </c>
      <c r="N139" s="198">
        <f t="shared" si="22"/>
        <v>20.494499999999999</v>
      </c>
      <c r="O139" s="195">
        <f t="shared" si="23"/>
        <v>26.722340940329332</v>
      </c>
      <c r="P139" s="594">
        <f t="shared" si="24"/>
        <v>7.156897557229974</v>
      </c>
      <c r="Q139" s="198">
        <f t="shared" si="25"/>
        <v>101.44538461538461</v>
      </c>
      <c r="R139" s="185">
        <f t="shared" si="26"/>
        <v>135.75285271576826</v>
      </c>
      <c r="S139" s="122"/>
      <c r="T139" s="199">
        <v>240</v>
      </c>
      <c r="U139" s="200">
        <f t="shared" si="27"/>
        <v>4.1887902047863905</v>
      </c>
      <c r="V139" s="201">
        <f t="shared" si="28"/>
        <v>-0.50000000000000044</v>
      </c>
      <c r="W139" s="202">
        <v>2360</v>
      </c>
      <c r="X139" s="200">
        <f t="shared" si="29"/>
        <v>41.18977034706618</v>
      </c>
      <c r="Y139" s="200">
        <f t="shared" si="30"/>
        <v>-0.93969262078590787</v>
      </c>
      <c r="AA139" s="203">
        <v>6.0341909964337749E-102</v>
      </c>
      <c r="AB139" s="204">
        <v>8.3562906213605848E-2</v>
      </c>
      <c r="AC139" s="204">
        <v>0.84348794410917283</v>
      </c>
      <c r="AD139" s="204">
        <f t="shared" si="32"/>
        <v>0.92705085032277867</v>
      </c>
      <c r="AE139" s="185">
        <v>4925.7089035240379</v>
      </c>
      <c r="AF139" s="185">
        <v>41.781453106802921</v>
      </c>
      <c r="AG139" s="185">
        <v>421.74397205458644</v>
      </c>
    </row>
    <row r="140" spans="2:33" ht="11.1" customHeight="1" x14ac:dyDescent="0.15">
      <c r="B140" s="191">
        <v>79</v>
      </c>
      <c r="C140" s="213">
        <v>43346</v>
      </c>
      <c r="D140" s="214">
        <v>4753.95</v>
      </c>
      <c r="E140" s="194">
        <v>43344</v>
      </c>
      <c r="F140" s="191">
        <v>10</v>
      </c>
      <c r="G140" s="191">
        <v>110</v>
      </c>
      <c r="H140" s="195">
        <f t="shared" si="33"/>
        <v>120</v>
      </c>
      <c r="I140" s="208">
        <v>0.64158448016529346</v>
      </c>
      <c r="J140" s="198">
        <v>4.3157626978784345</v>
      </c>
      <c r="K140" s="198">
        <f t="shared" si="31"/>
        <v>4.9573471780437277</v>
      </c>
      <c r="L140" s="184"/>
      <c r="M140" s="593">
        <f t="shared" si="21"/>
        <v>0.81312771176048626</v>
      </c>
      <c r="N140" s="198">
        <f t="shared" si="22"/>
        <v>20.494499999999999</v>
      </c>
      <c r="O140" s="195">
        <f t="shared" si="23"/>
        <v>24.951446653713639</v>
      </c>
      <c r="P140" s="594">
        <f t="shared" si="24"/>
        <v>6.7480032419393199</v>
      </c>
      <c r="Q140" s="198">
        <f t="shared" si="25"/>
        <v>101.45307692307692</v>
      </c>
      <c r="R140" s="185">
        <f t="shared" si="26"/>
        <v>126.70455463803174</v>
      </c>
      <c r="S140" s="122"/>
      <c r="T140" s="199">
        <v>250</v>
      </c>
      <c r="U140" s="200">
        <f t="shared" si="27"/>
        <v>4.3633231299858242</v>
      </c>
      <c r="V140" s="201">
        <f t="shared" si="28"/>
        <v>-0.34202014332566855</v>
      </c>
      <c r="W140" s="202">
        <v>2390</v>
      </c>
      <c r="X140" s="200">
        <f t="shared" si="29"/>
        <v>41.713369122664474</v>
      </c>
      <c r="Y140" s="200">
        <f t="shared" si="30"/>
        <v>-0.64278760968654136</v>
      </c>
      <c r="AA140" s="203">
        <v>3.4843130873583749E-103</v>
      </c>
      <c r="AB140" s="204">
        <v>8.1063152661749266E-2</v>
      </c>
      <c r="AC140" s="204">
        <v>0.84173307819667664</v>
      </c>
      <c r="AD140" s="204">
        <f t="shared" si="32"/>
        <v>0.92279623085842588</v>
      </c>
      <c r="AE140" s="185">
        <v>4898.7176940805648</v>
      </c>
      <c r="AF140" s="185">
        <v>40.531576330874636</v>
      </c>
      <c r="AG140" s="185">
        <v>420.86653909833831</v>
      </c>
    </row>
    <row r="141" spans="2:33" ht="11.1" customHeight="1" x14ac:dyDescent="0.15">
      <c r="B141" s="215">
        <v>80</v>
      </c>
      <c r="C141" s="216">
        <v>43374</v>
      </c>
      <c r="D141" s="217">
        <v>5340.29</v>
      </c>
      <c r="E141" s="194">
        <v>43374</v>
      </c>
      <c r="F141" s="215">
        <v>10</v>
      </c>
      <c r="G141" s="215">
        <v>100</v>
      </c>
      <c r="H141" s="195">
        <f t="shared" si="33"/>
        <v>110</v>
      </c>
      <c r="I141" s="208">
        <v>0.62526237503624293</v>
      </c>
      <c r="J141" s="212">
        <v>10</v>
      </c>
      <c r="K141" s="198">
        <f t="shared" si="31"/>
        <v>10.625262375036243</v>
      </c>
      <c r="L141" s="184"/>
      <c r="M141" s="593">
        <f t="shared" si="21"/>
        <v>0.75047173380170507</v>
      </c>
      <c r="N141" s="198">
        <f t="shared" si="22"/>
        <v>20.494499999999999</v>
      </c>
      <c r="O141" s="195">
        <f t="shared" si="23"/>
        <v>23.089547046881762</v>
      </c>
      <c r="P141" s="594">
        <f t="shared" si="24"/>
        <v>6.3745560233032865</v>
      </c>
      <c r="Q141" s="198">
        <f t="shared" si="25"/>
        <v>101.46076923076923</v>
      </c>
      <c r="R141" s="185">
        <f t="shared" si="26"/>
        <v>117.19802911331773</v>
      </c>
      <c r="S141" s="122"/>
      <c r="T141" s="199">
        <v>260</v>
      </c>
      <c r="U141" s="200">
        <f t="shared" si="27"/>
        <v>4.5378560551852569</v>
      </c>
      <c r="V141" s="201">
        <f t="shared" si="28"/>
        <v>-0.17364817766693033</v>
      </c>
      <c r="W141" s="202">
        <v>2420</v>
      </c>
      <c r="X141" s="200">
        <f t="shared" si="29"/>
        <v>42.236967898262776</v>
      </c>
      <c r="Y141" s="200">
        <f t="shared" si="30"/>
        <v>-0.17364817766693003</v>
      </c>
      <c r="AA141" s="203">
        <v>3.0993248035117328E-104</v>
      </c>
      <c r="AB141" s="204">
        <v>7.9000881299610817E-2</v>
      </c>
      <c r="AC141" s="204">
        <v>0.84024696447611047</v>
      </c>
      <c r="AD141" s="204">
        <f t="shared" si="32"/>
        <v>0.91924784577572127</v>
      </c>
      <c r="AE141" s="185">
        <v>4876.2535293425644</v>
      </c>
      <c r="AF141" s="185">
        <v>39.500440649805405</v>
      </c>
      <c r="AG141" s="185">
        <v>420.12348223805526</v>
      </c>
    </row>
    <row r="142" spans="2:33" ht="11.1" customHeight="1" x14ac:dyDescent="0.15">
      <c r="B142" s="215">
        <v>81</v>
      </c>
      <c r="C142" s="216">
        <v>43405</v>
      </c>
      <c r="D142" s="217">
        <v>4995.25</v>
      </c>
      <c r="E142" s="194">
        <v>43405</v>
      </c>
      <c r="F142" s="198">
        <v>4.2971331004994537</v>
      </c>
      <c r="G142" s="215">
        <v>80</v>
      </c>
      <c r="H142" s="195">
        <f t="shared" si="33"/>
        <v>84.297133100499451</v>
      </c>
      <c r="I142" s="208">
        <v>0.60767538794941778</v>
      </c>
      <c r="J142" s="198">
        <v>4.2997226911108672</v>
      </c>
      <c r="K142" s="198">
        <f t="shared" si="31"/>
        <v>4.9073980790602851</v>
      </c>
      <c r="L142" s="184"/>
      <c r="M142" s="593">
        <f t="shared" si="21"/>
        <v>0.69079486783299171</v>
      </c>
      <c r="N142" s="198">
        <f t="shared" si="22"/>
        <v>20.497351433449747</v>
      </c>
      <c r="O142" s="195">
        <f t="shared" si="23"/>
        <v>19.348504804603714</v>
      </c>
      <c r="P142" s="594">
        <f t="shared" si="24"/>
        <v>6.0103591489471091</v>
      </c>
      <c r="Q142" s="198">
        <f t="shared" si="25"/>
        <v>101.47615384615385</v>
      </c>
      <c r="R142" s="185">
        <f t="shared" si="26"/>
        <v>98.154094442414916</v>
      </c>
      <c r="S142" s="122"/>
      <c r="T142" s="199">
        <v>280</v>
      </c>
      <c r="U142" s="200">
        <f t="shared" si="27"/>
        <v>4.8869219055841224</v>
      </c>
      <c r="V142" s="201">
        <f t="shared" si="28"/>
        <v>0.17364817766692997</v>
      </c>
      <c r="W142" s="202">
        <v>2450</v>
      </c>
      <c r="X142" s="200">
        <f t="shared" si="29"/>
        <v>42.760566673861071</v>
      </c>
      <c r="Y142" s="200">
        <f t="shared" si="30"/>
        <v>0.3420201433256651</v>
      </c>
      <c r="AA142" s="203">
        <v>2.1272862430676903E-105</v>
      </c>
      <c r="AB142" s="204">
        <v>7.6778794165096267E-2</v>
      </c>
      <c r="AC142" s="204">
        <v>0.8386046846273556</v>
      </c>
      <c r="AD142" s="204">
        <f t="shared" si="32"/>
        <v>0.91538347879245185</v>
      </c>
      <c r="AE142" s="185">
        <v>4851.8383171931719</v>
      </c>
      <c r="AF142" s="185">
        <v>38.389397082548136</v>
      </c>
      <c r="AG142" s="185">
        <v>419.3023423136778</v>
      </c>
    </row>
    <row r="143" spans="2:33" ht="11.1" customHeight="1" x14ac:dyDescent="0.15">
      <c r="B143" s="215">
        <v>82</v>
      </c>
      <c r="C143" s="216">
        <v>43437</v>
      </c>
      <c r="D143" s="217">
        <v>4635.78</v>
      </c>
      <c r="E143" s="194">
        <v>43435</v>
      </c>
      <c r="F143" s="215">
        <v>20</v>
      </c>
      <c r="G143" s="215">
        <v>180</v>
      </c>
      <c r="H143" s="195">
        <f t="shared" si="33"/>
        <v>200</v>
      </c>
      <c r="I143" s="208">
        <v>0.59003978970549642</v>
      </c>
      <c r="J143" s="212">
        <v>10</v>
      </c>
      <c r="K143" s="198">
        <f t="shared" si="31"/>
        <v>10.590039789705497</v>
      </c>
      <c r="L143" s="184"/>
      <c r="M143" s="593">
        <f t="shared" si="21"/>
        <v>0.63756531067121125</v>
      </c>
      <c r="N143" s="198">
        <f t="shared" si="22"/>
        <v>20.4895</v>
      </c>
      <c r="O143" s="195">
        <f t="shared" si="23"/>
        <v>14.336957405302336</v>
      </c>
      <c r="P143" s="594">
        <f t="shared" si="24"/>
        <v>5.6777345447934104</v>
      </c>
      <c r="Q143" s="198">
        <f t="shared" si="25"/>
        <v>101.39923076923077</v>
      </c>
      <c r="R143" s="185">
        <f t="shared" si="26"/>
        <v>72.663092020679144</v>
      </c>
      <c r="S143" s="122"/>
      <c r="T143" s="199">
        <v>310</v>
      </c>
      <c r="U143" s="200">
        <f t="shared" si="27"/>
        <v>5.4105206811824216</v>
      </c>
      <c r="V143" s="201">
        <f t="shared" si="28"/>
        <v>0.64278760968653925</v>
      </c>
      <c r="W143" s="202">
        <v>2480</v>
      </c>
      <c r="X143" s="200">
        <f t="shared" si="29"/>
        <v>43.284165449459373</v>
      </c>
      <c r="Y143" s="200">
        <f t="shared" si="30"/>
        <v>0.76604444311897746</v>
      </c>
      <c r="AA143" s="203">
        <v>1.3392276622000629E-106</v>
      </c>
      <c r="AB143" s="204">
        <v>7.4550565090166068E-2</v>
      </c>
      <c r="AC143" s="204">
        <v>0.83691279479432445</v>
      </c>
      <c r="AD143" s="204">
        <f t="shared" si="32"/>
        <v>0.91146335988449056</v>
      </c>
      <c r="AE143" s="185">
        <v>4827.1245641526893</v>
      </c>
      <c r="AF143" s="185">
        <v>37.275282545083037</v>
      </c>
      <c r="AG143" s="185">
        <v>418.45639739716222</v>
      </c>
    </row>
    <row r="144" spans="2:33" ht="11.1" customHeight="1" x14ac:dyDescent="0.15">
      <c r="B144" s="215">
        <v>83</v>
      </c>
      <c r="C144" s="216">
        <v>43472</v>
      </c>
      <c r="D144" s="217">
        <v>4784.4399999999996</v>
      </c>
      <c r="E144" s="194">
        <v>43466</v>
      </c>
      <c r="F144" s="215">
        <v>20</v>
      </c>
      <c r="G144" s="215">
        <v>200</v>
      </c>
      <c r="H144" s="195">
        <f t="shared" si="33"/>
        <v>220</v>
      </c>
      <c r="I144" s="208">
        <v>0.57133635152661433</v>
      </c>
      <c r="J144" s="198">
        <v>4.2815800434622098</v>
      </c>
      <c r="K144" s="198">
        <f t="shared" si="31"/>
        <v>4.8529163949888243</v>
      </c>
      <c r="L144" s="184"/>
      <c r="M144" s="593">
        <f t="shared" si="21"/>
        <v>0.58686666623528294</v>
      </c>
      <c r="N144" s="198">
        <f t="shared" si="22"/>
        <v>20.4895</v>
      </c>
      <c r="O144" s="195">
        <f t="shared" si="23"/>
        <v>13.003649883331486</v>
      </c>
      <c r="P144" s="594">
        <f t="shared" si="24"/>
        <v>5.3533491025636142</v>
      </c>
      <c r="Q144" s="198">
        <f t="shared" si="25"/>
        <v>101.38384615384615</v>
      </c>
      <c r="R144" s="185">
        <f t="shared" si="26"/>
        <v>65.854477606270748</v>
      </c>
      <c r="S144" s="122"/>
      <c r="T144" s="199">
        <v>320</v>
      </c>
      <c r="U144" s="200">
        <f t="shared" si="27"/>
        <v>5.5850536063818543</v>
      </c>
      <c r="V144" s="201">
        <f t="shared" si="28"/>
        <v>0.76604444311897779</v>
      </c>
      <c r="W144" s="202">
        <v>2510</v>
      </c>
      <c r="X144" s="200">
        <f t="shared" si="29"/>
        <v>43.807764225057674</v>
      </c>
      <c r="Y144" s="200">
        <f t="shared" si="30"/>
        <v>0.98480775301220846</v>
      </c>
      <c r="AA144" s="203">
        <v>6.5056667188123722E-108</v>
      </c>
      <c r="AB144" s="204">
        <v>7.2187416181071995E-2</v>
      </c>
      <c r="AC144" s="204">
        <v>0.83506619844982544</v>
      </c>
      <c r="AD144" s="204">
        <f t="shared" si="32"/>
        <v>0.90725361463089738</v>
      </c>
      <c r="AE144" s="185">
        <v>4800.6464634123222</v>
      </c>
      <c r="AF144" s="185">
        <v>36.093708090535998</v>
      </c>
      <c r="AG144" s="185">
        <v>417.53309922491275</v>
      </c>
    </row>
    <row r="145" spans="2:33" ht="11.1" customHeight="1" x14ac:dyDescent="0.15">
      <c r="B145" s="215">
        <v>84</v>
      </c>
      <c r="C145" s="216">
        <v>43504</v>
      </c>
      <c r="D145" s="217">
        <v>3914.93</v>
      </c>
      <c r="E145" s="194">
        <v>43497</v>
      </c>
      <c r="F145" s="215">
        <v>20</v>
      </c>
      <c r="G145" s="215">
        <v>200</v>
      </c>
      <c r="H145" s="195">
        <f t="shared" si="33"/>
        <v>220</v>
      </c>
      <c r="I145" s="208">
        <v>0.55475536345719156</v>
      </c>
      <c r="J145" s="198">
        <v>4.2729419308000285</v>
      </c>
      <c r="K145" s="198">
        <f t="shared" si="31"/>
        <v>4.8276972942572201</v>
      </c>
      <c r="L145" s="184"/>
      <c r="M145" s="593">
        <f t="shared" si="21"/>
        <v>0.5401995343434336</v>
      </c>
      <c r="N145" s="198">
        <f t="shared" si="22"/>
        <v>20.4895</v>
      </c>
      <c r="O145" s="195">
        <f t="shared" si="23"/>
        <v>11.923572518995838</v>
      </c>
      <c r="P145" s="594">
        <f t="shared" si="24"/>
        <v>5.0474967414950562</v>
      </c>
      <c r="Q145" s="198">
        <f t="shared" si="25"/>
        <v>101.38384615384615</v>
      </c>
      <c r="R145" s="185">
        <f t="shared" si="26"/>
        <v>60.345219542212263</v>
      </c>
      <c r="S145" s="122"/>
      <c r="T145" s="199">
        <v>330</v>
      </c>
      <c r="U145" s="200">
        <f t="shared" si="27"/>
        <v>5.7595865315812871</v>
      </c>
      <c r="V145" s="201">
        <f t="shared" si="28"/>
        <v>0.86602540378443837</v>
      </c>
      <c r="W145" s="202">
        <v>2540</v>
      </c>
      <c r="X145" s="200">
        <f t="shared" si="29"/>
        <v>44.331363000655969</v>
      </c>
      <c r="Y145" s="200">
        <f t="shared" si="30"/>
        <v>0.93969262078590909</v>
      </c>
      <c r="AA145" s="203">
        <v>4.0956259926373319E-109</v>
      </c>
      <c r="AB145" s="204">
        <v>7.0092435381648693E-2</v>
      </c>
      <c r="AC145" s="204">
        <v>0.83338144753325594</v>
      </c>
      <c r="AD145" s="204">
        <f t="shared" si="32"/>
        <v>0.9034738829149046</v>
      </c>
      <c r="AE145" s="185">
        <v>4776.9285148505505</v>
      </c>
      <c r="AF145" s="185">
        <v>35.046217690824349</v>
      </c>
      <c r="AG145" s="185">
        <v>416.69072376662797</v>
      </c>
    </row>
    <row r="146" spans="2:33" ht="11.1" customHeight="1" x14ac:dyDescent="0.15">
      <c r="B146" s="215">
        <v>85</v>
      </c>
      <c r="C146" s="216">
        <v>43525</v>
      </c>
      <c r="D146" s="217">
        <v>4555.8599999999997</v>
      </c>
      <c r="E146" s="194">
        <v>43525</v>
      </c>
      <c r="F146" s="215">
        <v>10</v>
      </c>
      <c r="G146" s="215">
        <v>190</v>
      </c>
      <c r="H146" s="195">
        <f t="shared" si="33"/>
        <v>200</v>
      </c>
      <c r="I146" s="208">
        <v>0.54413648179486407</v>
      </c>
      <c r="J146" s="198">
        <v>4.2672826426226171</v>
      </c>
      <c r="K146" s="198">
        <f t="shared" si="31"/>
        <v>4.8114191244174815</v>
      </c>
      <c r="L146" s="184"/>
      <c r="M146" s="593">
        <f t="shared" si="21"/>
        <v>0.50124656652961386</v>
      </c>
      <c r="N146" s="198">
        <f t="shared" si="22"/>
        <v>20.494499999999999</v>
      </c>
      <c r="O146" s="195">
        <f t="shared" si="23"/>
        <v>11.130972508300136</v>
      </c>
      <c r="P146" s="594">
        <f t="shared" si="24"/>
        <v>4.7862905967759062</v>
      </c>
      <c r="Q146" s="198">
        <f t="shared" si="25"/>
        <v>101.39153846153846</v>
      </c>
      <c r="R146" s="185">
        <f t="shared" si="26"/>
        <v>56.290567829731557</v>
      </c>
      <c r="S146" s="122"/>
      <c r="T146" s="199">
        <v>340</v>
      </c>
      <c r="U146" s="200">
        <f t="shared" si="27"/>
        <v>5.9341194567807207</v>
      </c>
      <c r="V146" s="201">
        <f t="shared" si="28"/>
        <v>0.93969262078590843</v>
      </c>
      <c r="W146" s="202">
        <v>2570</v>
      </c>
      <c r="X146" s="200">
        <f t="shared" si="29"/>
        <v>44.854961776254271</v>
      </c>
      <c r="Y146" s="200">
        <f t="shared" si="30"/>
        <v>0.6427876096865387</v>
      </c>
      <c r="AA146" s="203">
        <v>6.6708738863767203E-110</v>
      </c>
      <c r="AB146" s="204">
        <v>6.8750757002725746E-2</v>
      </c>
      <c r="AC146" s="204">
        <v>0.83227767737918401</v>
      </c>
      <c r="AD146" s="204">
        <f t="shared" si="32"/>
        <v>0.90102843438190972</v>
      </c>
      <c r="AE146" s="185">
        <v>4761.6117379848401</v>
      </c>
      <c r="AF146" s="185">
        <v>34.375378501362874</v>
      </c>
      <c r="AG146" s="185">
        <v>416.13883868959198</v>
      </c>
    </row>
    <row r="147" spans="2:33" ht="11.1" customHeight="1" x14ac:dyDescent="0.15">
      <c r="B147" s="218">
        <v>86</v>
      </c>
      <c r="C147" s="219">
        <v>43556</v>
      </c>
      <c r="D147" s="219"/>
      <c r="E147" s="220"/>
      <c r="F147" s="218"/>
      <c r="G147" s="218"/>
      <c r="H147" s="221"/>
      <c r="I147" s="222"/>
      <c r="J147" s="223"/>
      <c r="K147" s="224"/>
      <c r="L147" s="184"/>
      <c r="M147" s="225"/>
      <c r="N147" s="146"/>
      <c r="O147" s="147"/>
      <c r="P147" s="226"/>
      <c r="Q147" s="146"/>
      <c r="R147" s="146"/>
      <c r="S147" s="122"/>
      <c r="T147" s="146"/>
      <c r="U147" s="156"/>
      <c r="V147" s="179"/>
      <c r="W147" s="158"/>
      <c r="X147" s="156"/>
      <c r="Y147" s="178"/>
      <c r="AA147" s="223"/>
      <c r="AB147" s="225"/>
      <c r="AC147" s="225"/>
      <c r="AD147" s="225"/>
      <c r="AE147" s="227"/>
      <c r="AF147" s="227"/>
      <c r="AG147" s="227"/>
    </row>
    <row r="148" spans="2:33" ht="11.1" customHeight="1" x14ac:dyDescent="0.15"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  <c r="M148" s="115"/>
      <c r="N148" s="115"/>
      <c r="O148" s="115"/>
      <c r="P148" s="115"/>
      <c r="Q148" s="115"/>
      <c r="R148" s="115"/>
      <c r="S148" s="115"/>
      <c r="X148" s="115"/>
      <c r="Y148" s="115"/>
      <c r="Z148" s="115"/>
      <c r="AA148" s="115"/>
      <c r="AB148" s="115"/>
      <c r="AC148" s="115"/>
      <c r="AD148" s="115"/>
    </row>
    <row r="149" spans="2:33" ht="11.1" customHeight="1" x14ac:dyDescent="0.15">
      <c r="F149" s="114"/>
      <c r="G149" s="114"/>
      <c r="H149" s="114"/>
      <c r="I149" s="114"/>
      <c r="M149" s="114"/>
      <c r="N149" s="115"/>
      <c r="O149" s="115"/>
      <c r="P149" s="114"/>
      <c r="Q149" s="115"/>
      <c r="R149" s="115"/>
      <c r="S149" s="122"/>
      <c r="W149" s="114"/>
      <c r="Y149" s="228"/>
      <c r="AA149" s="114"/>
      <c r="AB149" s="114"/>
    </row>
    <row r="150" spans="2:33" ht="11.1" customHeight="1" x14ac:dyDescent="0.15">
      <c r="M150" s="122"/>
      <c r="N150" s="122"/>
      <c r="O150" s="122"/>
      <c r="P150" s="122"/>
      <c r="Q150" s="122"/>
      <c r="R150" s="122"/>
      <c r="S150" s="122"/>
      <c r="W150" s="114"/>
      <c r="Z150" s="114"/>
      <c r="AA150" s="114"/>
      <c r="AB150" s="114"/>
    </row>
    <row r="151" spans="2:33" ht="11.1" customHeight="1" x14ac:dyDescent="0.15">
      <c r="M151" s="122"/>
      <c r="N151" s="122"/>
      <c r="O151" s="122"/>
      <c r="P151" s="122"/>
      <c r="Q151" s="122"/>
      <c r="R151" s="122"/>
      <c r="S151" s="122"/>
      <c r="Z151" s="114"/>
      <c r="AA151" s="114"/>
      <c r="AB151" s="114"/>
    </row>
    <row r="152" spans="2:33" ht="11.1" customHeight="1" x14ac:dyDescent="0.15">
      <c r="M152" s="122"/>
      <c r="N152" s="122"/>
      <c r="O152" s="122"/>
      <c r="P152" s="122"/>
      <c r="Q152" s="122"/>
      <c r="R152" s="122"/>
      <c r="S152" s="122"/>
      <c r="Z152" s="114"/>
      <c r="AA152" s="114"/>
      <c r="AB152" s="114"/>
    </row>
    <row r="153" spans="2:33" ht="11.1" customHeight="1" x14ac:dyDescent="0.15">
      <c r="M153" s="122"/>
      <c r="N153" s="122"/>
      <c r="O153" s="122"/>
      <c r="P153" s="122"/>
      <c r="Q153" s="122"/>
      <c r="R153" s="122"/>
      <c r="S153" s="122"/>
      <c r="Z153" s="114"/>
      <c r="AA153" s="114"/>
      <c r="AB153" s="114"/>
    </row>
    <row r="154" spans="2:33" ht="11.1" customHeight="1" x14ac:dyDescent="0.15">
      <c r="M154" s="122"/>
      <c r="N154" s="122"/>
      <c r="O154" s="122"/>
      <c r="P154" s="122"/>
      <c r="Q154" s="122"/>
      <c r="R154" s="122"/>
      <c r="S154" s="122"/>
      <c r="Z154" s="114"/>
      <c r="AA154" s="114"/>
      <c r="AB154" s="114"/>
    </row>
    <row r="155" spans="2:33" ht="11.1" customHeight="1" x14ac:dyDescent="0.15">
      <c r="M155" s="122"/>
      <c r="N155" s="122"/>
      <c r="O155" s="122"/>
      <c r="P155" s="122"/>
      <c r="Q155" s="122"/>
      <c r="R155" s="122"/>
      <c r="S155" s="122"/>
      <c r="Z155" s="114"/>
      <c r="AA155" s="114"/>
      <c r="AB155" s="114"/>
    </row>
    <row r="156" spans="2:33" ht="11.1" customHeight="1" x14ac:dyDescent="0.15">
      <c r="M156" s="122"/>
      <c r="N156" s="122"/>
      <c r="O156" s="122"/>
      <c r="P156" s="122"/>
      <c r="Q156" s="122"/>
      <c r="R156" s="122"/>
      <c r="S156" s="122"/>
      <c r="Z156" s="114"/>
      <c r="AA156" s="114"/>
      <c r="AB156" s="114"/>
    </row>
    <row r="157" spans="2:33" ht="11.1" customHeight="1" x14ac:dyDescent="0.15">
      <c r="M157" s="122"/>
      <c r="N157" s="122"/>
      <c r="O157" s="122"/>
      <c r="P157" s="122"/>
      <c r="Q157" s="122"/>
      <c r="R157" s="122"/>
      <c r="S157" s="122"/>
      <c r="Z157" s="114"/>
      <c r="AA157" s="114"/>
      <c r="AB157" s="114"/>
    </row>
    <row r="158" spans="2:33" ht="11.1" customHeight="1" x14ac:dyDescent="0.15">
      <c r="M158" s="122"/>
      <c r="N158" s="122"/>
      <c r="O158" s="122"/>
      <c r="P158" s="122"/>
      <c r="Q158" s="122"/>
      <c r="R158" s="122"/>
      <c r="S158" s="122"/>
      <c r="Z158" s="114"/>
      <c r="AA158" s="114"/>
      <c r="AB158" s="114"/>
    </row>
    <row r="159" spans="2:33" ht="11.1" customHeight="1" x14ac:dyDescent="0.15">
      <c r="M159" s="122"/>
      <c r="N159" s="122"/>
      <c r="O159" s="122"/>
      <c r="P159" s="122"/>
      <c r="Q159" s="122"/>
      <c r="R159" s="122"/>
      <c r="S159" s="122"/>
      <c r="Z159" s="114"/>
      <c r="AA159" s="114"/>
      <c r="AB159" s="114"/>
    </row>
    <row r="160" spans="2:33" ht="11.1" customHeight="1" x14ac:dyDescent="0.15">
      <c r="M160" s="122"/>
      <c r="N160" s="122"/>
      <c r="O160" s="122"/>
      <c r="P160" s="122"/>
      <c r="Q160" s="122"/>
      <c r="R160" s="122"/>
      <c r="S160" s="122"/>
      <c r="Z160" s="114"/>
      <c r="AA160" s="114"/>
      <c r="AB160" s="114"/>
    </row>
    <row r="161" spans="6:28" ht="11.1" customHeight="1" x14ac:dyDescent="0.15">
      <c r="M161" s="122"/>
      <c r="N161" s="122"/>
      <c r="O161" s="122"/>
      <c r="P161" s="122"/>
      <c r="Q161" s="122"/>
      <c r="R161" s="122"/>
      <c r="S161" s="122"/>
      <c r="Z161" s="114"/>
      <c r="AA161" s="114"/>
      <c r="AB161" s="114"/>
    </row>
    <row r="162" spans="6:28" ht="11.1" customHeight="1" x14ac:dyDescent="0.15">
      <c r="M162" s="122"/>
      <c r="N162" s="122"/>
      <c r="O162" s="122"/>
      <c r="P162" s="122"/>
      <c r="Q162" s="122"/>
      <c r="R162" s="122"/>
      <c r="S162" s="122"/>
      <c r="Z162" s="114"/>
      <c r="AA162" s="114"/>
      <c r="AB162" s="114"/>
    </row>
    <row r="163" spans="6:28" ht="11.1" customHeight="1" x14ac:dyDescent="0.15">
      <c r="M163" s="122"/>
      <c r="N163" s="122"/>
      <c r="O163" s="122"/>
      <c r="P163" s="122"/>
      <c r="Q163" s="122"/>
      <c r="R163" s="122"/>
      <c r="S163" s="122"/>
      <c r="Z163" s="114"/>
      <c r="AA163" s="114"/>
      <c r="AB163" s="114"/>
    </row>
    <row r="164" spans="6:28" ht="11.1" customHeight="1" x14ac:dyDescent="0.15">
      <c r="M164" s="122"/>
      <c r="N164" s="122"/>
      <c r="O164" s="122"/>
      <c r="P164" s="122"/>
      <c r="Q164" s="122"/>
      <c r="R164" s="122"/>
      <c r="S164" s="122"/>
      <c r="Z164" s="114"/>
      <c r="AA164" s="114"/>
      <c r="AB164" s="114"/>
    </row>
    <row r="165" spans="6:28" ht="11.1" customHeight="1" x14ac:dyDescent="0.15">
      <c r="M165" s="122"/>
      <c r="N165" s="122"/>
      <c r="O165" s="122"/>
      <c r="P165" s="122"/>
      <c r="Q165" s="122"/>
      <c r="R165" s="122"/>
      <c r="S165" s="122"/>
      <c r="Z165" s="114"/>
      <c r="AA165" s="114"/>
      <c r="AB165" s="114"/>
    </row>
    <row r="166" spans="6:28" ht="11.1" customHeight="1" x14ac:dyDescent="0.15">
      <c r="M166" s="122"/>
      <c r="N166" s="122"/>
      <c r="O166" s="122"/>
      <c r="P166" s="122"/>
      <c r="Q166" s="122"/>
      <c r="R166" s="122"/>
      <c r="S166" s="122"/>
      <c r="Z166" s="114"/>
      <c r="AA166" s="114"/>
      <c r="AB166" s="114"/>
    </row>
    <row r="167" spans="6:28" ht="11.1" customHeight="1" x14ac:dyDescent="0.15">
      <c r="F167" s="114"/>
      <c r="G167" s="114"/>
      <c r="H167" s="114"/>
      <c r="I167" s="114"/>
      <c r="M167" s="122"/>
      <c r="N167" s="122"/>
      <c r="O167" s="122"/>
      <c r="P167" s="122"/>
      <c r="Q167" s="122"/>
      <c r="R167" s="122"/>
      <c r="S167" s="122"/>
      <c r="Z167" s="114"/>
      <c r="AA167" s="114"/>
      <c r="AB167" s="114"/>
    </row>
    <row r="168" spans="6:28" ht="11.1" customHeight="1" x14ac:dyDescent="0.15">
      <c r="F168" s="114"/>
      <c r="G168" s="114"/>
      <c r="H168" s="114"/>
      <c r="I168" s="114"/>
      <c r="M168" s="122"/>
      <c r="N168" s="122"/>
      <c r="O168" s="122"/>
      <c r="P168" s="122"/>
      <c r="Q168" s="122"/>
      <c r="R168" s="122"/>
      <c r="S168" s="122"/>
      <c r="Z168" s="114"/>
      <c r="AA168" s="114"/>
      <c r="AB168" s="114"/>
    </row>
    <row r="169" spans="6:28" ht="11.1" customHeight="1" x14ac:dyDescent="0.15">
      <c r="F169" s="114"/>
      <c r="G169" s="114"/>
      <c r="H169" s="114"/>
      <c r="I169" s="114"/>
      <c r="M169" s="122"/>
      <c r="N169" s="122"/>
      <c r="O169" s="122"/>
      <c r="P169" s="122"/>
      <c r="Q169" s="122"/>
      <c r="R169" s="122"/>
      <c r="S169" s="122"/>
      <c r="Z169" s="114"/>
      <c r="AA169" s="114"/>
      <c r="AB169" s="114"/>
    </row>
    <row r="170" spans="6:28" ht="11.1" customHeight="1" x14ac:dyDescent="0.15">
      <c r="F170" s="114"/>
      <c r="G170" s="114"/>
      <c r="H170" s="114"/>
      <c r="I170" s="114"/>
      <c r="M170" s="124"/>
      <c r="N170" s="124"/>
      <c r="O170" s="124"/>
      <c r="P170" s="124"/>
      <c r="Q170" s="124"/>
      <c r="R170" s="124"/>
      <c r="S170" s="124"/>
      <c r="Z170" s="114"/>
      <c r="AA170" s="114"/>
      <c r="AB170" s="114"/>
    </row>
    <row r="171" spans="6:28" ht="11.1" customHeight="1" x14ac:dyDescent="0.15">
      <c r="F171" s="114"/>
      <c r="G171" s="114"/>
      <c r="H171" s="114"/>
      <c r="I171" s="114"/>
      <c r="M171" s="124"/>
      <c r="N171" s="124"/>
      <c r="O171" s="124"/>
      <c r="P171" s="124"/>
      <c r="Q171" s="124"/>
      <c r="R171" s="124"/>
      <c r="S171" s="124"/>
      <c r="Z171" s="114"/>
      <c r="AA171" s="114"/>
      <c r="AB171" s="114"/>
    </row>
    <row r="172" spans="6:28" ht="11.1" customHeight="1" x14ac:dyDescent="0.15">
      <c r="F172" s="114"/>
      <c r="G172" s="114"/>
      <c r="H172" s="114"/>
      <c r="I172" s="114"/>
      <c r="M172" s="124"/>
      <c r="N172" s="124"/>
      <c r="O172" s="124"/>
      <c r="P172" s="124"/>
      <c r="Q172" s="124"/>
      <c r="R172" s="124"/>
      <c r="S172" s="124"/>
      <c r="Z172" s="114"/>
      <c r="AA172" s="114"/>
      <c r="AB172" s="114"/>
    </row>
    <row r="184" spans="3:31" ht="11.1" customHeight="1" x14ac:dyDescent="0.15">
      <c r="C184" s="124"/>
      <c r="D184" s="124"/>
      <c r="E184" s="124"/>
      <c r="F184" s="124"/>
      <c r="G184" s="124"/>
      <c r="H184" s="124"/>
      <c r="I184" s="124"/>
      <c r="J184" s="124"/>
      <c r="K184" s="124"/>
      <c r="M184" s="124"/>
      <c r="N184" s="124"/>
      <c r="O184" s="124"/>
      <c r="P184" s="124"/>
      <c r="Q184" s="124"/>
      <c r="R184" s="124"/>
      <c r="S184" s="124"/>
      <c r="X184" s="124"/>
      <c r="Y184" s="124"/>
      <c r="AC184" s="124"/>
      <c r="AD184" s="124"/>
      <c r="AE184" s="124"/>
    </row>
    <row r="185" spans="3:31" ht="11.1" customHeight="1" x14ac:dyDescent="0.15">
      <c r="C185" s="124"/>
      <c r="D185" s="124"/>
      <c r="E185" s="124"/>
      <c r="F185" s="124"/>
      <c r="G185" s="124"/>
      <c r="H185" s="124"/>
      <c r="I185" s="124"/>
      <c r="J185" s="124"/>
      <c r="K185" s="124"/>
      <c r="M185" s="124"/>
      <c r="N185" s="124"/>
      <c r="O185" s="124"/>
      <c r="P185" s="124"/>
      <c r="Q185" s="124"/>
      <c r="R185" s="124"/>
      <c r="S185" s="124"/>
      <c r="X185" s="124"/>
      <c r="Y185" s="124"/>
      <c r="AC185" s="124"/>
      <c r="AD185" s="124"/>
      <c r="AE185" s="124"/>
    </row>
    <row r="186" spans="3:31" ht="11.1" customHeight="1" x14ac:dyDescent="0.15">
      <c r="C186" s="124"/>
      <c r="D186" s="124"/>
      <c r="E186" s="124"/>
      <c r="F186" s="124"/>
      <c r="G186" s="124"/>
      <c r="H186" s="124"/>
      <c r="I186" s="124"/>
      <c r="J186" s="124"/>
      <c r="K186" s="124"/>
      <c r="M186" s="124"/>
      <c r="N186" s="124"/>
      <c r="O186" s="124"/>
      <c r="P186" s="124"/>
      <c r="Q186" s="124"/>
      <c r="R186" s="124"/>
      <c r="S186" s="124"/>
      <c r="X186" s="124"/>
      <c r="Y186" s="124"/>
      <c r="AC186" s="124"/>
      <c r="AD186" s="124"/>
      <c r="AE186" s="124"/>
    </row>
    <row r="187" spans="3:31" ht="11.1" customHeight="1" x14ac:dyDescent="0.15">
      <c r="C187" s="124"/>
      <c r="D187" s="124"/>
      <c r="E187" s="124"/>
      <c r="F187" s="124"/>
      <c r="G187" s="124"/>
      <c r="H187" s="124"/>
      <c r="I187" s="124"/>
      <c r="J187" s="124"/>
      <c r="K187" s="124"/>
      <c r="M187" s="124"/>
      <c r="N187" s="124"/>
      <c r="O187" s="124"/>
      <c r="P187" s="124"/>
      <c r="Q187" s="124"/>
      <c r="R187" s="124"/>
      <c r="S187" s="124"/>
      <c r="X187" s="124"/>
      <c r="Y187" s="124"/>
      <c r="AC187" s="124"/>
      <c r="AD187" s="124"/>
      <c r="AE187" s="124"/>
    </row>
    <row r="188" spans="3:31" ht="11.1" customHeight="1" x14ac:dyDescent="0.15">
      <c r="C188" s="124"/>
      <c r="D188" s="124"/>
      <c r="E188" s="124"/>
      <c r="F188" s="124"/>
      <c r="G188" s="124"/>
      <c r="H188" s="124"/>
      <c r="I188" s="124"/>
      <c r="J188" s="124"/>
      <c r="K188" s="124"/>
      <c r="M188" s="124"/>
      <c r="N188" s="124"/>
      <c r="O188" s="124"/>
      <c r="P188" s="124"/>
      <c r="Q188" s="124"/>
      <c r="R188" s="124"/>
      <c r="S188" s="124"/>
      <c r="X188" s="124"/>
      <c r="Y188" s="124"/>
      <c r="AC188" s="124"/>
      <c r="AD188" s="124"/>
      <c r="AE188" s="124"/>
    </row>
    <row r="189" spans="3:31" ht="11.1" customHeight="1" x14ac:dyDescent="0.15">
      <c r="C189" s="124"/>
      <c r="D189" s="124"/>
      <c r="E189" s="124"/>
      <c r="F189" s="124"/>
      <c r="G189" s="124"/>
      <c r="H189" s="124"/>
      <c r="I189" s="124"/>
      <c r="J189" s="124"/>
      <c r="K189" s="124"/>
      <c r="M189" s="124"/>
      <c r="N189" s="124"/>
      <c r="O189" s="124"/>
      <c r="P189" s="124"/>
      <c r="Q189" s="124"/>
      <c r="R189" s="124"/>
      <c r="S189" s="124"/>
      <c r="X189" s="124"/>
      <c r="Y189" s="124"/>
      <c r="AC189" s="124"/>
      <c r="AD189" s="124"/>
      <c r="AE189" s="124"/>
    </row>
    <row r="190" spans="3:31" ht="11.1" customHeight="1" x14ac:dyDescent="0.15">
      <c r="C190" s="124"/>
      <c r="D190" s="124"/>
      <c r="E190" s="124"/>
      <c r="F190" s="124"/>
      <c r="G190" s="124"/>
      <c r="H190" s="124"/>
      <c r="I190" s="124"/>
      <c r="J190" s="124"/>
      <c r="K190" s="124"/>
      <c r="M190" s="124"/>
      <c r="N190" s="124"/>
      <c r="O190" s="124"/>
      <c r="P190" s="124"/>
      <c r="Q190" s="124"/>
      <c r="R190" s="124"/>
      <c r="S190" s="124"/>
      <c r="X190" s="124"/>
      <c r="Y190" s="124"/>
      <c r="AC190" s="124"/>
      <c r="AD190" s="124"/>
      <c r="AE190" s="124"/>
    </row>
    <row r="191" spans="3:31" ht="11.1" customHeight="1" x14ac:dyDescent="0.15">
      <c r="C191" s="124"/>
      <c r="D191" s="124"/>
      <c r="E191" s="124"/>
      <c r="F191" s="124"/>
      <c r="G191" s="124"/>
      <c r="H191" s="124"/>
      <c r="I191" s="124"/>
      <c r="J191" s="124"/>
      <c r="K191" s="124"/>
      <c r="M191" s="124"/>
      <c r="N191" s="124"/>
      <c r="O191" s="124"/>
      <c r="P191" s="124"/>
      <c r="Q191" s="124"/>
      <c r="R191" s="124"/>
      <c r="S191" s="124"/>
      <c r="X191" s="124"/>
      <c r="Y191" s="124"/>
      <c r="AC191" s="124"/>
      <c r="AD191" s="124"/>
      <c r="AE191" s="124"/>
    </row>
    <row r="192" spans="3:31" ht="11.1" customHeight="1" x14ac:dyDescent="0.15">
      <c r="C192" s="124"/>
      <c r="D192" s="124"/>
      <c r="E192" s="124"/>
      <c r="F192" s="124"/>
      <c r="G192" s="124"/>
      <c r="H192" s="124"/>
      <c r="I192" s="124"/>
      <c r="J192" s="124"/>
      <c r="K192" s="124"/>
      <c r="M192" s="124"/>
      <c r="N192" s="124"/>
      <c r="O192" s="124"/>
      <c r="P192" s="124"/>
      <c r="Q192" s="124"/>
      <c r="R192" s="124"/>
      <c r="S192" s="124"/>
      <c r="X192" s="124"/>
      <c r="Y192" s="124"/>
      <c r="AC192" s="124"/>
      <c r="AD192" s="124"/>
      <c r="AE192" s="124"/>
    </row>
    <row r="193" spans="3:31" ht="11.1" customHeight="1" x14ac:dyDescent="0.15">
      <c r="C193" s="124"/>
      <c r="D193" s="124"/>
      <c r="E193" s="124"/>
      <c r="F193" s="124"/>
      <c r="G193" s="124"/>
      <c r="H193" s="124"/>
      <c r="I193" s="124"/>
      <c r="J193" s="124"/>
      <c r="K193" s="124"/>
      <c r="M193" s="124"/>
      <c r="N193" s="124"/>
      <c r="O193" s="124"/>
      <c r="P193" s="124"/>
      <c r="Q193" s="124"/>
      <c r="R193" s="124"/>
      <c r="S193" s="124"/>
      <c r="X193" s="124"/>
      <c r="Y193" s="124"/>
      <c r="AC193" s="124"/>
      <c r="AD193" s="124"/>
      <c r="AE193" s="124"/>
    </row>
    <row r="194" spans="3:31" ht="11.1" customHeight="1" x14ac:dyDescent="0.15">
      <c r="C194" s="124"/>
      <c r="D194" s="124"/>
      <c r="E194" s="124"/>
      <c r="F194" s="124"/>
      <c r="G194" s="124"/>
      <c r="H194" s="124"/>
      <c r="I194" s="124"/>
      <c r="J194" s="124"/>
      <c r="K194" s="124"/>
      <c r="M194" s="124"/>
      <c r="N194" s="124"/>
      <c r="O194" s="124"/>
      <c r="P194" s="124"/>
      <c r="Q194" s="124"/>
      <c r="R194" s="124"/>
      <c r="S194" s="124"/>
      <c r="X194" s="124"/>
      <c r="Y194" s="124"/>
      <c r="AC194" s="124"/>
      <c r="AD194" s="124"/>
      <c r="AE194" s="124"/>
    </row>
    <row r="195" spans="3:31" ht="11.1" customHeight="1" x14ac:dyDescent="0.15">
      <c r="C195" s="124"/>
      <c r="D195" s="124"/>
      <c r="E195" s="124"/>
      <c r="F195" s="124"/>
      <c r="G195" s="124"/>
      <c r="H195" s="124"/>
      <c r="I195" s="124"/>
      <c r="J195" s="124"/>
      <c r="K195" s="124"/>
      <c r="M195" s="124"/>
      <c r="N195" s="124"/>
      <c r="O195" s="124"/>
      <c r="P195" s="124"/>
      <c r="Q195" s="124"/>
      <c r="R195" s="124"/>
      <c r="S195" s="124"/>
      <c r="X195" s="124"/>
      <c r="Y195" s="124"/>
      <c r="AC195" s="124"/>
      <c r="AD195" s="124"/>
      <c r="AE195" s="124"/>
    </row>
    <row r="196" spans="3:31" ht="11.1" customHeight="1" x14ac:dyDescent="0.15">
      <c r="C196" s="124"/>
      <c r="D196" s="124"/>
      <c r="E196" s="124"/>
      <c r="F196" s="124"/>
      <c r="G196" s="124"/>
      <c r="H196" s="124"/>
      <c r="I196" s="124"/>
      <c r="J196" s="124"/>
      <c r="K196" s="124"/>
      <c r="M196" s="124"/>
      <c r="N196" s="124"/>
      <c r="O196" s="124"/>
      <c r="P196" s="124"/>
      <c r="Q196" s="124"/>
      <c r="R196" s="124"/>
      <c r="S196" s="124"/>
      <c r="X196" s="124"/>
      <c r="Y196" s="124"/>
      <c r="AC196" s="124"/>
      <c r="AD196" s="124"/>
      <c r="AE196" s="124"/>
    </row>
    <row r="197" spans="3:31" ht="11.1" customHeight="1" x14ac:dyDescent="0.15">
      <c r="C197" s="124"/>
      <c r="D197" s="124"/>
      <c r="E197" s="124"/>
      <c r="F197" s="124"/>
      <c r="G197" s="124"/>
      <c r="H197" s="124"/>
      <c r="I197" s="124"/>
      <c r="J197" s="124"/>
      <c r="K197" s="124"/>
      <c r="M197" s="124"/>
      <c r="N197" s="124"/>
      <c r="O197" s="124"/>
      <c r="P197" s="124"/>
      <c r="Q197" s="124"/>
      <c r="R197" s="124"/>
      <c r="S197" s="124"/>
      <c r="X197" s="124"/>
      <c r="Y197" s="124"/>
      <c r="AC197" s="124"/>
      <c r="AD197" s="124"/>
      <c r="AE197" s="124"/>
    </row>
    <row r="198" spans="3:31" ht="11.1" customHeight="1" x14ac:dyDescent="0.15">
      <c r="C198" s="124"/>
      <c r="D198" s="124"/>
      <c r="E198" s="124"/>
      <c r="F198" s="124"/>
      <c r="G198" s="124"/>
      <c r="H198" s="124"/>
      <c r="I198" s="124"/>
      <c r="J198" s="124"/>
      <c r="K198" s="124"/>
      <c r="M198" s="124"/>
      <c r="N198" s="124"/>
      <c r="O198" s="124"/>
      <c r="P198" s="124"/>
      <c r="Q198" s="124"/>
      <c r="R198" s="124"/>
      <c r="S198" s="124"/>
      <c r="X198" s="124"/>
      <c r="Y198" s="124"/>
      <c r="AC198" s="124"/>
      <c r="AD198" s="124"/>
      <c r="AE198" s="124"/>
    </row>
    <row r="199" spans="3:31" ht="11.1" customHeight="1" x14ac:dyDescent="0.15">
      <c r="C199" s="124"/>
      <c r="D199" s="124"/>
      <c r="E199" s="124"/>
      <c r="F199" s="124"/>
      <c r="G199" s="124"/>
      <c r="H199" s="124"/>
      <c r="I199" s="124"/>
      <c r="J199" s="124"/>
      <c r="K199" s="124"/>
      <c r="M199" s="124"/>
      <c r="N199" s="124"/>
      <c r="O199" s="124"/>
      <c r="P199" s="124"/>
      <c r="Q199" s="124"/>
      <c r="R199" s="124"/>
      <c r="S199" s="124"/>
      <c r="X199" s="124"/>
      <c r="Y199" s="124"/>
      <c r="AC199" s="124"/>
      <c r="AD199" s="124"/>
      <c r="AE199" s="124"/>
    </row>
    <row r="217" spans="3:31" ht="11.1" customHeight="1" x14ac:dyDescent="0.15">
      <c r="C217" s="124"/>
      <c r="D217" s="124"/>
      <c r="E217" s="124"/>
      <c r="F217" s="124"/>
      <c r="G217" s="124"/>
      <c r="H217" s="124"/>
      <c r="I217" s="124"/>
      <c r="J217" s="124"/>
      <c r="K217" s="124"/>
      <c r="M217" s="124"/>
      <c r="N217" s="124"/>
      <c r="O217" s="124"/>
      <c r="P217" s="124"/>
      <c r="Q217" s="124"/>
      <c r="R217" s="124"/>
      <c r="S217" s="124"/>
      <c r="X217" s="124"/>
      <c r="Y217" s="124"/>
      <c r="AC217" s="124"/>
      <c r="AD217" s="124"/>
      <c r="AE217" s="124"/>
    </row>
    <row r="218" spans="3:31" ht="11.1" customHeight="1" x14ac:dyDescent="0.15">
      <c r="C218" s="124"/>
      <c r="D218" s="124"/>
      <c r="E218" s="124"/>
      <c r="F218" s="124"/>
      <c r="G218" s="124"/>
      <c r="H218" s="124"/>
      <c r="I218" s="124"/>
      <c r="J218" s="124"/>
      <c r="K218" s="124"/>
      <c r="M218" s="124"/>
      <c r="N218" s="124"/>
      <c r="O218" s="124"/>
      <c r="P218" s="124"/>
      <c r="Q218" s="124"/>
      <c r="R218" s="124"/>
      <c r="S218" s="124"/>
      <c r="X218" s="124"/>
      <c r="Y218" s="124"/>
      <c r="AC218" s="124"/>
      <c r="AD218" s="124"/>
      <c r="AE218" s="124"/>
    </row>
    <row r="219" spans="3:31" ht="11.1" customHeight="1" x14ac:dyDescent="0.15">
      <c r="C219" s="124"/>
      <c r="D219" s="124"/>
      <c r="E219" s="124"/>
      <c r="F219" s="124"/>
      <c r="G219" s="124"/>
      <c r="H219" s="124"/>
      <c r="I219" s="124"/>
      <c r="J219" s="124"/>
      <c r="K219" s="124"/>
      <c r="M219" s="124"/>
      <c r="N219" s="124"/>
      <c r="O219" s="124"/>
      <c r="P219" s="124"/>
      <c r="Q219" s="124"/>
      <c r="R219" s="124"/>
      <c r="S219" s="124"/>
      <c r="X219" s="124"/>
      <c r="Y219" s="124"/>
      <c r="AC219" s="124"/>
      <c r="AD219" s="124"/>
      <c r="AE219" s="124"/>
    </row>
    <row r="282" spans="3:31" ht="11.1" customHeight="1" x14ac:dyDescent="0.15">
      <c r="C282" s="124"/>
      <c r="D282" s="124"/>
      <c r="E282" s="124"/>
      <c r="F282" s="124"/>
      <c r="G282" s="124"/>
      <c r="H282" s="124"/>
      <c r="I282" s="124"/>
      <c r="J282" s="124"/>
      <c r="K282" s="124"/>
      <c r="M282" s="124"/>
      <c r="N282" s="124"/>
      <c r="O282" s="124"/>
      <c r="P282" s="124"/>
      <c r="Q282" s="124"/>
      <c r="R282" s="124"/>
      <c r="S282" s="124"/>
      <c r="X282" s="124"/>
      <c r="Y282" s="124"/>
      <c r="AC282" s="124"/>
      <c r="AD282" s="124"/>
      <c r="AE282" s="124"/>
    </row>
    <row r="283" spans="3:31" ht="11.1" customHeight="1" x14ac:dyDescent="0.15">
      <c r="C283" s="124"/>
      <c r="D283" s="124"/>
      <c r="E283" s="124"/>
      <c r="F283" s="124"/>
      <c r="G283" s="124"/>
      <c r="H283" s="124"/>
      <c r="I283" s="124"/>
      <c r="J283" s="124"/>
      <c r="K283" s="124"/>
      <c r="M283" s="124"/>
      <c r="N283" s="124"/>
      <c r="O283" s="124"/>
      <c r="P283" s="124"/>
      <c r="Q283" s="124"/>
      <c r="R283" s="124"/>
      <c r="S283" s="124"/>
      <c r="X283" s="124"/>
      <c r="Y283" s="124"/>
      <c r="AC283" s="124"/>
      <c r="AD283" s="124"/>
      <c r="AE283" s="124"/>
    </row>
    <row r="284" spans="3:31" ht="11.1" customHeight="1" x14ac:dyDescent="0.15">
      <c r="C284" s="124"/>
      <c r="D284" s="124"/>
      <c r="E284" s="124"/>
      <c r="F284" s="124"/>
      <c r="G284" s="124"/>
      <c r="H284" s="124"/>
      <c r="I284" s="124"/>
      <c r="J284" s="124"/>
      <c r="K284" s="124"/>
      <c r="M284" s="124"/>
      <c r="N284" s="124"/>
      <c r="O284" s="124"/>
      <c r="P284" s="124"/>
      <c r="Q284" s="124"/>
      <c r="R284" s="124"/>
      <c r="S284" s="124"/>
      <c r="X284" s="124"/>
      <c r="Y284" s="124"/>
      <c r="AC284" s="124"/>
      <c r="AD284" s="124"/>
      <c r="AE284" s="124"/>
    </row>
    <row r="285" spans="3:31" ht="11.1" customHeight="1" x14ac:dyDescent="0.15">
      <c r="C285" s="124"/>
      <c r="D285" s="124"/>
      <c r="E285" s="124"/>
      <c r="F285" s="124"/>
      <c r="G285" s="124"/>
      <c r="H285" s="124"/>
      <c r="I285" s="124"/>
      <c r="J285" s="124"/>
      <c r="K285" s="124"/>
      <c r="M285" s="124"/>
      <c r="N285" s="124"/>
      <c r="O285" s="124"/>
      <c r="P285" s="124"/>
      <c r="Q285" s="124"/>
      <c r="R285" s="124"/>
      <c r="S285" s="124"/>
      <c r="X285" s="124"/>
      <c r="Y285" s="124"/>
      <c r="AC285" s="124"/>
      <c r="AD285" s="124"/>
      <c r="AE285" s="124"/>
    </row>
    <row r="286" spans="3:31" ht="11.1" customHeight="1" x14ac:dyDescent="0.15">
      <c r="C286" s="124"/>
      <c r="D286" s="124"/>
      <c r="E286" s="124"/>
      <c r="F286" s="124"/>
      <c r="G286" s="124"/>
      <c r="H286" s="124"/>
      <c r="I286" s="124"/>
      <c r="J286" s="124"/>
      <c r="K286" s="124"/>
      <c r="M286" s="124"/>
      <c r="N286" s="124"/>
      <c r="O286" s="124"/>
      <c r="P286" s="124"/>
      <c r="Q286" s="124"/>
      <c r="R286" s="124"/>
      <c r="S286" s="124"/>
      <c r="X286" s="124"/>
      <c r="Y286" s="124"/>
      <c r="AC286" s="124"/>
      <c r="AD286" s="124"/>
      <c r="AE286" s="124"/>
    </row>
    <row r="287" spans="3:31" ht="11.1" customHeight="1" x14ac:dyDescent="0.15">
      <c r="C287" s="124"/>
      <c r="D287" s="124"/>
      <c r="E287" s="124"/>
      <c r="F287" s="124"/>
      <c r="G287" s="124"/>
      <c r="H287" s="124"/>
      <c r="I287" s="124"/>
      <c r="J287" s="124"/>
      <c r="K287" s="124"/>
      <c r="M287" s="124"/>
      <c r="N287" s="124"/>
      <c r="O287" s="124"/>
      <c r="P287" s="124"/>
      <c r="Q287" s="124"/>
      <c r="R287" s="124"/>
      <c r="S287" s="124"/>
      <c r="X287" s="124"/>
      <c r="Y287" s="124"/>
      <c r="AC287" s="124"/>
      <c r="AD287" s="124"/>
      <c r="AE287" s="124"/>
    </row>
    <row r="288" spans="3:31" ht="11.1" customHeight="1" x14ac:dyDescent="0.15">
      <c r="C288" s="124"/>
      <c r="D288" s="124"/>
      <c r="E288" s="124"/>
      <c r="F288" s="124"/>
      <c r="G288" s="124"/>
      <c r="H288" s="124"/>
      <c r="I288" s="124"/>
      <c r="J288" s="124"/>
      <c r="K288" s="124"/>
      <c r="M288" s="124"/>
      <c r="N288" s="124"/>
      <c r="O288" s="124"/>
      <c r="P288" s="124"/>
      <c r="Q288" s="124"/>
      <c r="R288" s="124"/>
      <c r="S288" s="124"/>
      <c r="X288" s="124"/>
      <c r="Y288" s="124"/>
      <c r="AC288" s="124"/>
      <c r="AD288" s="124"/>
      <c r="AE288" s="124"/>
    </row>
    <row r="289" spans="3:31" ht="11.1" customHeight="1" x14ac:dyDescent="0.15">
      <c r="C289" s="124"/>
      <c r="D289" s="124"/>
      <c r="E289" s="124"/>
      <c r="F289" s="124"/>
      <c r="G289" s="124"/>
      <c r="H289" s="124"/>
      <c r="I289" s="124"/>
      <c r="J289" s="124"/>
      <c r="K289" s="124"/>
      <c r="M289" s="124"/>
      <c r="N289" s="124"/>
      <c r="O289" s="124"/>
      <c r="P289" s="124"/>
      <c r="Q289" s="124"/>
      <c r="R289" s="124"/>
      <c r="S289" s="124"/>
      <c r="X289" s="124"/>
      <c r="Y289" s="124"/>
      <c r="AC289" s="124"/>
      <c r="AD289" s="124"/>
      <c r="AE289" s="124"/>
    </row>
    <row r="290" spans="3:31" ht="11.1" customHeight="1" x14ac:dyDescent="0.15">
      <c r="C290" s="124"/>
      <c r="D290" s="124"/>
      <c r="E290" s="124"/>
      <c r="F290" s="124"/>
      <c r="G290" s="124"/>
      <c r="H290" s="124"/>
      <c r="I290" s="124"/>
      <c r="J290" s="124"/>
      <c r="K290" s="124"/>
      <c r="M290" s="124"/>
      <c r="N290" s="124"/>
      <c r="O290" s="124"/>
      <c r="P290" s="124"/>
      <c r="Q290" s="124"/>
      <c r="R290" s="124"/>
      <c r="S290" s="124"/>
      <c r="X290" s="124"/>
      <c r="Y290" s="124"/>
      <c r="AC290" s="124"/>
      <c r="AD290" s="124"/>
      <c r="AE290" s="124"/>
    </row>
    <row r="291" spans="3:31" ht="11.1" customHeight="1" x14ac:dyDescent="0.15">
      <c r="C291" s="124"/>
      <c r="D291" s="124"/>
      <c r="E291" s="124"/>
      <c r="F291" s="124"/>
      <c r="G291" s="124"/>
      <c r="H291" s="124"/>
      <c r="I291" s="124"/>
      <c r="J291" s="124"/>
      <c r="K291" s="124"/>
      <c r="M291" s="124"/>
      <c r="N291" s="124"/>
      <c r="O291" s="124"/>
      <c r="P291" s="124"/>
      <c r="Q291" s="124"/>
      <c r="R291" s="124"/>
      <c r="S291" s="124"/>
      <c r="X291" s="124"/>
      <c r="Y291" s="124"/>
      <c r="AC291" s="124"/>
      <c r="AD291" s="124"/>
      <c r="AE291" s="124"/>
    </row>
    <row r="292" spans="3:31" ht="11.1" customHeight="1" x14ac:dyDescent="0.15">
      <c r="C292" s="124"/>
      <c r="D292" s="124"/>
      <c r="E292" s="124"/>
      <c r="F292" s="124"/>
      <c r="G292" s="124"/>
      <c r="H292" s="124"/>
      <c r="I292" s="124"/>
      <c r="J292" s="124"/>
      <c r="K292" s="124"/>
      <c r="M292" s="124"/>
      <c r="N292" s="124"/>
      <c r="O292" s="124"/>
      <c r="P292" s="124"/>
      <c r="Q292" s="124"/>
      <c r="R292" s="124"/>
      <c r="S292" s="124"/>
      <c r="X292" s="124"/>
      <c r="Y292" s="124"/>
      <c r="AC292" s="124"/>
      <c r="AD292" s="124"/>
      <c r="AE292" s="124"/>
    </row>
    <row r="293" spans="3:31" ht="11.1" customHeight="1" x14ac:dyDescent="0.15">
      <c r="C293" s="124"/>
      <c r="D293" s="124"/>
      <c r="E293" s="124"/>
      <c r="F293" s="124"/>
      <c r="G293" s="124"/>
      <c r="H293" s="124"/>
      <c r="I293" s="124"/>
      <c r="J293" s="124"/>
      <c r="K293" s="124"/>
      <c r="M293" s="124"/>
      <c r="N293" s="124"/>
      <c r="O293" s="124"/>
      <c r="P293" s="124"/>
      <c r="Q293" s="124"/>
      <c r="R293" s="124"/>
      <c r="S293" s="124"/>
      <c r="X293" s="124"/>
      <c r="Y293" s="124"/>
      <c r="AC293" s="124"/>
      <c r="AD293" s="124"/>
      <c r="AE293" s="124"/>
    </row>
    <row r="294" spans="3:31" ht="11.1" customHeight="1" x14ac:dyDescent="0.15">
      <c r="C294" s="124"/>
      <c r="D294" s="124"/>
      <c r="E294" s="124"/>
      <c r="F294" s="124"/>
      <c r="G294" s="124"/>
      <c r="H294" s="124"/>
      <c r="I294" s="124"/>
      <c r="J294" s="124"/>
      <c r="K294" s="124"/>
      <c r="M294" s="124"/>
      <c r="N294" s="124"/>
      <c r="O294" s="124"/>
      <c r="P294" s="124"/>
      <c r="Q294" s="124"/>
      <c r="R294" s="124"/>
      <c r="S294" s="124"/>
      <c r="X294" s="124"/>
      <c r="Y294" s="124"/>
      <c r="AC294" s="124"/>
      <c r="AD294" s="124"/>
      <c r="AE294" s="124"/>
    </row>
    <row r="295" spans="3:31" ht="11.1" customHeight="1" x14ac:dyDescent="0.15">
      <c r="C295" s="124"/>
      <c r="D295" s="124"/>
      <c r="E295" s="124"/>
      <c r="F295" s="124"/>
      <c r="G295" s="124"/>
      <c r="H295" s="124"/>
      <c r="I295" s="124"/>
      <c r="J295" s="124"/>
      <c r="K295" s="124"/>
      <c r="M295" s="124"/>
      <c r="N295" s="124"/>
      <c r="O295" s="124"/>
      <c r="P295" s="124"/>
      <c r="Q295" s="124"/>
      <c r="R295" s="124"/>
      <c r="S295" s="124"/>
      <c r="X295" s="124"/>
      <c r="Y295" s="124"/>
      <c r="AC295" s="124"/>
      <c r="AD295" s="124"/>
      <c r="AE295" s="124"/>
    </row>
    <row r="296" spans="3:31" ht="11.1" customHeight="1" x14ac:dyDescent="0.15">
      <c r="C296" s="124"/>
      <c r="D296" s="124"/>
      <c r="E296" s="124"/>
      <c r="F296" s="124"/>
      <c r="G296" s="124"/>
      <c r="H296" s="124"/>
      <c r="I296" s="124"/>
      <c r="J296" s="124"/>
      <c r="K296" s="124"/>
      <c r="M296" s="124"/>
      <c r="N296" s="124"/>
      <c r="O296" s="124"/>
      <c r="P296" s="124"/>
      <c r="Q296" s="124"/>
      <c r="R296" s="124"/>
      <c r="S296" s="124"/>
      <c r="X296" s="124"/>
      <c r="Y296" s="124"/>
      <c r="AC296" s="124"/>
      <c r="AD296" s="124"/>
      <c r="AE296" s="124"/>
    </row>
    <row r="297" spans="3:31" ht="11.1" customHeight="1" x14ac:dyDescent="0.15">
      <c r="C297" s="124"/>
      <c r="D297" s="124"/>
      <c r="E297" s="124"/>
      <c r="F297" s="124"/>
      <c r="G297" s="124"/>
      <c r="H297" s="124"/>
      <c r="I297" s="124"/>
      <c r="J297" s="124"/>
      <c r="K297" s="124"/>
      <c r="M297" s="124"/>
      <c r="N297" s="124"/>
      <c r="O297" s="124"/>
      <c r="P297" s="124"/>
      <c r="Q297" s="124"/>
      <c r="R297" s="124"/>
      <c r="S297" s="124"/>
      <c r="X297" s="124"/>
      <c r="Y297" s="124"/>
      <c r="AC297" s="124"/>
      <c r="AD297" s="124"/>
      <c r="AE297" s="124"/>
    </row>
    <row r="299" spans="3:31" ht="11.1" customHeight="1" x14ac:dyDescent="0.15">
      <c r="C299" s="124"/>
      <c r="D299" s="124"/>
      <c r="E299" s="124"/>
      <c r="F299" s="124"/>
      <c r="G299" s="124"/>
      <c r="H299" s="124"/>
      <c r="I299" s="124"/>
      <c r="J299" s="124"/>
      <c r="K299" s="124"/>
      <c r="M299" s="124"/>
      <c r="N299" s="124"/>
      <c r="O299" s="124"/>
      <c r="P299" s="124"/>
      <c r="Q299" s="124"/>
      <c r="R299" s="124"/>
      <c r="S299" s="124"/>
      <c r="X299" s="124"/>
      <c r="Y299" s="124"/>
      <c r="AC299" s="124"/>
      <c r="AD299" s="124"/>
      <c r="AE299" s="124"/>
    </row>
    <row r="300" spans="3:31" ht="11.1" customHeight="1" x14ac:dyDescent="0.15">
      <c r="C300" s="124"/>
      <c r="D300" s="124"/>
      <c r="E300" s="124"/>
      <c r="F300" s="124"/>
      <c r="G300" s="124"/>
      <c r="H300" s="124"/>
      <c r="I300" s="124"/>
      <c r="J300" s="124"/>
      <c r="K300" s="124"/>
      <c r="M300" s="124"/>
      <c r="N300" s="124"/>
      <c r="O300" s="124"/>
      <c r="P300" s="124"/>
      <c r="Q300" s="124"/>
      <c r="R300" s="124"/>
      <c r="S300" s="124"/>
      <c r="X300" s="124"/>
      <c r="Y300" s="124"/>
      <c r="AC300" s="124"/>
      <c r="AD300" s="124"/>
      <c r="AE300" s="124"/>
    </row>
    <row r="301" spans="3:31" ht="11.1" customHeight="1" x14ac:dyDescent="0.15">
      <c r="C301" s="124"/>
      <c r="D301" s="124"/>
      <c r="E301" s="124"/>
      <c r="F301" s="124"/>
      <c r="G301" s="124"/>
      <c r="H301" s="124"/>
      <c r="I301" s="124"/>
      <c r="J301" s="124"/>
      <c r="K301" s="124"/>
      <c r="M301" s="124"/>
      <c r="N301" s="124"/>
      <c r="O301" s="124"/>
      <c r="P301" s="124"/>
      <c r="Q301" s="124"/>
      <c r="R301" s="124"/>
      <c r="S301" s="124"/>
      <c r="X301" s="124"/>
      <c r="Y301" s="124"/>
      <c r="AC301" s="124"/>
      <c r="AD301" s="124"/>
      <c r="AE301" s="124"/>
    </row>
    <row r="302" spans="3:31" ht="11.1" customHeight="1" x14ac:dyDescent="0.15">
      <c r="C302" s="124"/>
      <c r="D302" s="124"/>
      <c r="E302" s="124"/>
      <c r="F302" s="124"/>
      <c r="G302" s="124"/>
      <c r="H302" s="124"/>
      <c r="I302" s="124"/>
      <c r="J302" s="124"/>
      <c r="K302" s="124"/>
      <c r="M302" s="124"/>
      <c r="N302" s="124"/>
      <c r="O302" s="124"/>
      <c r="P302" s="124"/>
      <c r="Q302" s="124"/>
      <c r="R302" s="124"/>
      <c r="S302" s="124"/>
      <c r="X302" s="124"/>
      <c r="Y302" s="124"/>
      <c r="AC302" s="124"/>
      <c r="AD302" s="124"/>
      <c r="AE302" s="124"/>
    </row>
    <row r="303" spans="3:31" ht="11.1" customHeight="1" x14ac:dyDescent="0.15">
      <c r="C303" s="124"/>
      <c r="D303" s="124"/>
      <c r="E303" s="124"/>
      <c r="F303" s="124"/>
      <c r="G303" s="124"/>
      <c r="H303" s="124"/>
      <c r="I303" s="124"/>
      <c r="J303" s="124"/>
      <c r="K303" s="124"/>
      <c r="M303" s="124"/>
      <c r="N303" s="124"/>
      <c r="O303" s="124"/>
      <c r="P303" s="124"/>
      <c r="Q303" s="124"/>
      <c r="R303" s="124"/>
      <c r="S303" s="124"/>
      <c r="X303" s="124"/>
      <c r="Y303" s="124"/>
      <c r="AC303" s="124"/>
      <c r="AD303" s="124"/>
      <c r="AE303" s="124"/>
    </row>
    <row r="304" spans="3:31" ht="11.1" customHeight="1" x14ac:dyDescent="0.15">
      <c r="C304" s="124"/>
      <c r="D304" s="124"/>
      <c r="E304" s="124"/>
      <c r="F304" s="124"/>
      <c r="G304" s="124"/>
      <c r="H304" s="124"/>
      <c r="I304" s="124"/>
      <c r="J304" s="124"/>
      <c r="K304" s="124"/>
      <c r="M304" s="124"/>
      <c r="N304" s="124"/>
      <c r="O304" s="124"/>
      <c r="P304" s="124"/>
      <c r="Q304" s="124"/>
      <c r="R304" s="124"/>
      <c r="S304" s="124"/>
      <c r="X304" s="124"/>
      <c r="Y304" s="124"/>
      <c r="AC304" s="124"/>
      <c r="AD304" s="124"/>
      <c r="AE304" s="124"/>
    </row>
    <row r="305" spans="3:31" ht="11.1" customHeight="1" x14ac:dyDescent="0.15">
      <c r="C305" s="124"/>
      <c r="D305" s="124"/>
      <c r="E305" s="124"/>
      <c r="F305" s="124"/>
      <c r="G305" s="124"/>
      <c r="H305" s="124"/>
      <c r="I305" s="124"/>
      <c r="J305" s="124"/>
      <c r="K305" s="124"/>
      <c r="M305" s="124"/>
      <c r="N305" s="124"/>
      <c r="O305" s="124"/>
      <c r="P305" s="124"/>
      <c r="Q305" s="124"/>
      <c r="R305" s="124"/>
      <c r="S305" s="124"/>
      <c r="X305" s="124"/>
      <c r="Y305" s="124"/>
      <c r="AC305" s="124"/>
      <c r="AD305" s="124"/>
      <c r="AE305" s="124"/>
    </row>
    <row r="306" spans="3:31" ht="11.1" customHeight="1" x14ac:dyDescent="0.15">
      <c r="C306" s="124"/>
      <c r="D306" s="124"/>
      <c r="E306" s="124"/>
      <c r="F306" s="124"/>
      <c r="G306" s="124"/>
      <c r="H306" s="124"/>
      <c r="I306" s="124"/>
      <c r="J306" s="124"/>
      <c r="K306" s="124"/>
      <c r="M306" s="124"/>
      <c r="N306" s="124"/>
      <c r="O306" s="124"/>
      <c r="P306" s="124"/>
      <c r="Q306" s="124"/>
      <c r="R306" s="124"/>
      <c r="S306" s="124"/>
      <c r="X306" s="124"/>
      <c r="Y306" s="124"/>
      <c r="AC306" s="124"/>
      <c r="AD306" s="124"/>
      <c r="AE306" s="124"/>
    </row>
    <row r="307" spans="3:31" ht="11.1" customHeight="1" x14ac:dyDescent="0.15">
      <c r="C307" s="124"/>
      <c r="D307" s="124"/>
      <c r="E307" s="124"/>
      <c r="F307" s="124"/>
      <c r="G307" s="124"/>
      <c r="H307" s="124"/>
      <c r="I307" s="124"/>
      <c r="J307" s="124"/>
      <c r="K307" s="124"/>
      <c r="M307" s="124"/>
      <c r="N307" s="124"/>
      <c r="O307" s="124"/>
      <c r="P307" s="124"/>
      <c r="Q307" s="124"/>
      <c r="R307" s="124"/>
      <c r="S307" s="124"/>
      <c r="X307" s="124"/>
      <c r="Y307" s="124"/>
      <c r="AC307" s="124"/>
      <c r="AD307" s="124"/>
      <c r="AE307" s="124"/>
    </row>
    <row r="314" spans="3:31" ht="11.1" customHeight="1" x14ac:dyDescent="0.15">
      <c r="F314" s="114"/>
      <c r="G314" s="114"/>
      <c r="H314" s="114"/>
      <c r="I314" s="114"/>
      <c r="J314" s="124"/>
      <c r="K314" s="229"/>
      <c r="M314" s="124"/>
      <c r="N314" s="124"/>
      <c r="O314" s="124"/>
      <c r="P314" s="124"/>
      <c r="Q314" s="124"/>
      <c r="R314" s="124"/>
      <c r="S314" s="124"/>
      <c r="X314" s="124"/>
      <c r="Y314" s="124"/>
      <c r="AE314" s="124"/>
    </row>
    <row r="315" spans="3:31" ht="11.1" customHeight="1" x14ac:dyDescent="0.15">
      <c r="F315" s="114"/>
      <c r="G315" s="114"/>
      <c r="H315" s="114"/>
      <c r="I315" s="114"/>
      <c r="K315" s="230"/>
      <c r="M315" s="124"/>
      <c r="N315" s="124"/>
      <c r="O315" s="124"/>
      <c r="P315" s="124"/>
      <c r="Q315" s="124"/>
      <c r="R315" s="124"/>
      <c r="S315" s="124"/>
      <c r="X315" s="230"/>
      <c r="Y315" s="124"/>
      <c r="AC315" s="124"/>
      <c r="AE315" s="124"/>
    </row>
    <row r="316" spans="3:31" ht="11.1" customHeight="1" x14ac:dyDescent="0.15">
      <c r="F316" s="114"/>
      <c r="G316" s="114"/>
      <c r="H316" s="114"/>
      <c r="I316" s="114"/>
      <c r="K316" s="124"/>
      <c r="M316" s="124"/>
      <c r="N316" s="124"/>
      <c r="O316" s="124"/>
      <c r="P316" s="124"/>
      <c r="Q316" s="124"/>
      <c r="R316" s="124"/>
      <c r="S316" s="124"/>
      <c r="X316" s="124"/>
      <c r="Y316" s="124"/>
      <c r="AC316" s="124"/>
      <c r="AE316" s="124"/>
    </row>
    <row r="317" spans="3:31" ht="11.1" customHeight="1" x14ac:dyDescent="0.15">
      <c r="F317" s="114"/>
      <c r="G317" s="114"/>
      <c r="H317" s="114"/>
      <c r="I317" s="114"/>
      <c r="K317" s="124"/>
      <c r="M317" s="124"/>
      <c r="N317" s="124"/>
      <c r="O317" s="124"/>
      <c r="P317" s="124"/>
      <c r="Q317" s="124"/>
      <c r="R317" s="124"/>
      <c r="S317" s="124"/>
      <c r="X317" s="124"/>
      <c r="Y317" s="124"/>
      <c r="AC317" s="124"/>
      <c r="AE317" s="124"/>
    </row>
    <row r="318" spans="3:31" ht="11.1" customHeight="1" x14ac:dyDescent="0.15">
      <c r="F318" s="114"/>
      <c r="G318" s="114"/>
      <c r="H318" s="114"/>
      <c r="I318" s="114"/>
      <c r="K318" s="124"/>
      <c r="M318" s="124"/>
      <c r="N318" s="124"/>
      <c r="O318" s="124"/>
      <c r="P318" s="124"/>
      <c r="Q318" s="124"/>
      <c r="R318" s="124"/>
      <c r="S318" s="124"/>
      <c r="X318" s="124"/>
      <c r="Y318" s="124"/>
      <c r="AC318" s="124"/>
      <c r="AE318" s="124"/>
    </row>
    <row r="319" spans="3:31" ht="11.1" customHeight="1" x14ac:dyDescent="0.15">
      <c r="F319" s="114"/>
      <c r="G319" s="114"/>
      <c r="H319" s="114"/>
      <c r="I319" s="114"/>
      <c r="K319" s="124"/>
      <c r="M319" s="124"/>
      <c r="N319" s="124"/>
      <c r="O319" s="124"/>
      <c r="P319" s="124"/>
      <c r="Q319" s="124"/>
      <c r="R319" s="124"/>
      <c r="S319" s="124"/>
      <c r="X319" s="124"/>
      <c r="Y319" s="124"/>
      <c r="AC319" s="124"/>
      <c r="AE319" s="124"/>
    </row>
    <row r="320" spans="3:31" ht="11.1" customHeight="1" x14ac:dyDescent="0.15">
      <c r="F320" s="114"/>
      <c r="G320" s="114"/>
      <c r="H320" s="114"/>
      <c r="I320" s="114"/>
      <c r="K320" s="124"/>
      <c r="M320" s="124"/>
      <c r="N320" s="124"/>
      <c r="O320" s="124"/>
      <c r="P320" s="124"/>
      <c r="Q320" s="124"/>
      <c r="R320" s="124"/>
      <c r="S320" s="124"/>
      <c r="X320" s="124"/>
      <c r="Y320" s="124"/>
      <c r="AC320" s="124"/>
      <c r="AE320" s="124"/>
    </row>
    <row r="321" spans="3:28" ht="11.1" customHeight="1" x14ac:dyDescent="0.15">
      <c r="F321" s="114"/>
      <c r="G321" s="114"/>
      <c r="H321" s="114"/>
      <c r="I321" s="114"/>
      <c r="K321" s="124"/>
      <c r="M321" s="124"/>
      <c r="N321" s="124"/>
      <c r="O321" s="124"/>
      <c r="P321" s="124"/>
      <c r="Q321" s="124"/>
      <c r="R321" s="124"/>
      <c r="S321" s="124"/>
      <c r="X321" s="124"/>
      <c r="Z321" s="114"/>
      <c r="AA321" s="114"/>
      <c r="AB321" s="114"/>
    </row>
    <row r="322" spans="3:28" ht="11.1" customHeight="1" x14ac:dyDescent="0.15">
      <c r="F322" s="114"/>
      <c r="G322" s="114"/>
      <c r="H322" s="114"/>
      <c r="I322" s="114"/>
      <c r="K322" s="124"/>
      <c r="M322" s="124"/>
      <c r="N322" s="124"/>
      <c r="O322" s="124"/>
      <c r="P322" s="124"/>
      <c r="Q322" s="124"/>
      <c r="R322" s="124"/>
      <c r="S322" s="124"/>
      <c r="X322" s="124"/>
      <c r="Z322" s="114"/>
      <c r="AA322" s="114"/>
      <c r="AB322" s="114"/>
    </row>
    <row r="323" spans="3:28" ht="11.1" customHeight="1" x14ac:dyDescent="0.15">
      <c r="F323" s="114"/>
      <c r="G323" s="114"/>
      <c r="H323" s="114"/>
      <c r="I323" s="114"/>
      <c r="K323" s="124"/>
      <c r="M323" s="124"/>
      <c r="N323" s="124"/>
      <c r="O323" s="124"/>
      <c r="P323" s="124"/>
      <c r="Q323" s="124"/>
      <c r="R323" s="124"/>
      <c r="S323" s="124"/>
      <c r="X323" s="124"/>
      <c r="Z323" s="114"/>
      <c r="AA323" s="114"/>
      <c r="AB323" s="114"/>
    </row>
    <row r="324" spans="3:28" ht="11.1" customHeight="1" x14ac:dyDescent="0.15">
      <c r="F324" s="114"/>
      <c r="G324" s="114"/>
      <c r="H324" s="114"/>
      <c r="I324" s="114"/>
      <c r="K324" s="124"/>
      <c r="M324" s="124"/>
      <c r="N324" s="124"/>
      <c r="O324" s="124"/>
      <c r="P324" s="124"/>
      <c r="Q324" s="124"/>
      <c r="R324" s="124"/>
      <c r="S324" s="124"/>
      <c r="X324" s="124"/>
      <c r="Z324" s="114"/>
      <c r="AA324" s="114"/>
      <c r="AB324" s="114"/>
    </row>
    <row r="325" spans="3:28" ht="11.1" customHeight="1" x14ac:dyDescent="0.15">
      <c r="F325" s="114"/>
      <c r="G325" s="114"/>
      <c r="H325" s="114"/>
      <c r="I325" s="114"/>
      <c r="K325" s="124"/>
      <c r="M325" s="124"/>
      <c r="N325" s="124"/>
      <c r="O325" s="124"/>
      <c r="P325" s="124"/>
      <c r="Q325" s="124"/>
      <c r="R325" s="124"/>
      <c r="S325" s="124"/>
      <c r="X325" s="124"/>
      <c r="Z325" s="114"/>
      <c r="AA325" s="114"/>
      <c r="AB325" s="114"/>
    </row>
    <row r="326" spans="3:28" ht="11.1" customHeight="1" x14ac:dyDescent="0.15">
      <c r="C326" s="231"/>
      <c r="D326" s="231"/>
      <c r="E326" s="231"/>
      <c r="F326" s="114"/>
      <c r="G326" s="114"/>
      <c r="H326" s="114"/>
      <c r="I326" s="114"/>
      <c r="J326" s="124"/>
      <c r="K326" s="124"/>
      <c r="M326" s="124"/>
      <c r="N326" s="124"/>
      <c r="O326" s="124"/>
      <c r="P326" s="124"/>
      <c r="Q326" s="124"/>
      <c r="R326" s="124"/>
      <c r="S326" s="124"/>
      <c r="X326" s="124"/>
      <c r="Z326" s="114"/>
      <c r="AA326" s="114"/>
      <c r="AB326" s="114"/>
    </row>
    <row r="327" spans="3:28" ht="11.1" customHeight="1" x14ac:dyDescent="0.15">
      <c r="C327" s="231"/>
      <c r="D327" s="231"/>
      <c r="E327" s="231"/>
      <c r="F327" s="114"/>
      <c r="G327" s="114"/>
      <c r="H327" s="114"/>
      <c r="I327" s="114"/>
      <c r="J327" s="124"/>
      <c r="K327" s="124"/>
      <c r="M327" s="124"/>
      <c r="N327" s="124"/>
      <c r="O327" s="124"/>
      <c r="P327" s="124"/>
      <c r="Q327" s="124"/>
      <c r="R327" s="124"/>
      <c r="S327" s="124"/>
      <c r="X327" s="124"/>
      <c r="Z327" s="114"/>
      <c r="AA327" s="114"/>
      <c r="AB327" s="114"/>
    </row>
    <row r="328" spans="3:28" ht="11.1" customHeight="1" x14ac:dyDescent="0.15">
      <c r="C328" s="231"/>
      <c r="D328" s="231"/>
      <c r="E328" s="231"/>
      <c r="F328" s="114"/>
      <c r="G328" s="114"/>
      <c r="H328" s="114"/>
      <c r="I328" s="114"/>
      <c r="J328" s="124"/>
      <c r="K328" s="124"/>
      <c r="M328" s="124"/>
      <c r="N328" s="124"/>
      <c r="O328" s="124"/>
      <c r="P328" s="124"/>
      <c r="Q328" s="124"/>
      <c r="R328" s="124"/>
      <c r="S328" s="124"/>
      <c r="X328" s="124"/>
      <c r="Z328" s="114"/>
      <c r="AA328" s="114"/>
      <c r="AB328" s="114"/>
    </row>
  </sheetData>
  <mergeCells count="28">
    <mergeCell ref="AG55:AG59"/>
    <mergeCell ref="U55:U59"/>
    <mergeCell ref="V55:V59"/>
    <mergeCell ref="W55:W59"/>
    <mergeCell ref="X55:X59"/>
    <mergeCell ref="Y55:Y59"/>
    <mergeCell ref="AA55:AA59"/>
    <mergeCell ref="AB55:AB59"/>
    <mergeCell ref="AC55:AC59"/>
    <mergeCell ref="AD55:AD59"/>
    <mergeCell ref="AE55:AE59"/>
    <mergeCell ref="AF55:AF59"/>
    <mergeCell ref="F55:F59"/>
    <mergeCell ref="B55:B59"/>
    <mergeCell ref="C55:C59"/>
    <mergeCell ref="D55:D59"/>
    <mergeCell ref="T55:T59"/>
    <mergeCell ref="G55:G59"/>
    <mergeCell ref="H55:H59"/>
    <mergeCell ref="I55:I59"/>
    <mergeCell ref="J55:J59"/>
    <mergeCell ref="K55:K59"/>
    <mergeCell ref="M55:M59"/>
    <mergeCell ref="N55:N59"/>
    <mergeCell ref="O55:O59"/>
    <mergeCell ref="P55:P59"/>
    <mergeCell ref="Q55:Q59"/>
    <mergeCell ref="R55:R59"/>
  </mergeCells>
  <phoneticPr fontId="6"/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332"/>
  <sheetViews>
    <sheetView zoomScale="80" zoomScaleNormal="80" workbookViewId="0">
      <selection activeCell="J2" sqref="J2:K10"/>
    </sheetView>
  </sheetViews>
  <sheetFormatPr defaultColWidth="3.875" defaultRowHeight="9.9499999999999993" customHeight="1" x14ac:dyDescent="0.15"/>
  <cols>
    <col min="1" max="1" width="6.25" customWidth="1"/>
    <col min="2" max="2" width="4.5" customWidth="1"/>
    <col min="3" max="3" width="7.125" customWidth="1"/>
    <col min="4" max="26" width="4.625" customWidth="1"/>
    <col min="27" max="29" width="4.375" customWidth="1"/>
  </cols>
  <sheetData>
    <row r="2" spans="1:25" s="512" customFormat="1" ht="9.9499999999999993" customHeight="1" x14ac:dyDescent="0.15">
      <c r="J2" s="15" t="s">
        <v>122</v>
      </c>
      <c r="K2" s="12" t="s">
        <v>119</v>
      </c>
    </row>
    <row r="3" spans="1:25" s="512" customFormat="1" ht="9.9499999999999993" customHeight="1" x14ac:dyDescent="0.15">
      <c r="J3" s="26">
        <v>2011</v>
      </c>
      <c r="K3" s="562">
        <f>SUM(K268:K276)</f>
        <v>47256</v>
      </c>
    </row>
    <row r="4" spans="1:25" ht="9.9499999999999993" customHeight="1" x14ac:dyDescent="0.15">
      <c r="J4" s="26">
        <v>2012</v>
      </c>
      <c r="K4" s="562">
        <f>SUM(K277:K285)</f>
        <v>46563</v>
      </c>
    </row>
    <row r="5" spans="1:25" ht="9.9499999999999993" customHeight="1" x14ac:dyDescent="0.15">
      <c r="J5" s="26">
        <v>2013</v>
      </c>
      <c r="K5" s="562">
        <f>SUM(K286:K294)</f>
        <v>45226</v>
      </c>
    </row>
    <row r="6" spans="1:25" ht="9.9499999999999993" customHeight="1" x14ac:dyDescent="0.15">
      <c r="J6" s="26">
        <v>2014</v>
      </c>
      <c r="K6" s="562">
        <f>SUM(K295:K303)</f>
        <v>45025</v>
      </c>
    </row>
    <row r="7" spans="1:25" ht="9.9499999999999993" customHeight="1" x14ac:dyDescent="0.15">
      <c r="J7" s="26">
        <v>2015</v>
      </c>
      <c r="K7" s="562">
        <f>SUM(K304:K312)</f>
        <v>45098</v>
      </c>
    </row>
    <row r="8" spans="1:25" ht="9.9499999999999993" customHeight="1" x14ac:dyDescent="0.15">
      <c r="J8" s="26">
        <v>2016</v>
      </c>
      <c r="K8" s="562">
        <f>SUM(K313:K321)</f>
        <v>44404</v>
      </c>
    </row>
    <row r="9" spans="1:25" ht="9.9499999999999993" customHeight="1" x14ac:dyDescent="0.15">
      <c r="J9" s="26">
        <v>2017</v>
      </c>
      <c r="K9" s="562">
        <f>SUM(K322:K330)</f>
        <v>44892</v>
      </c>
    </row>
    <row r="10" spans="1:25" ht="9.9499999999999993" customHeight="1" x14ac:dyDescent="0.15">
      <c r="J10" s="26">
        <v>2018</v>
      </c>
      <c r="K10" s="562"/>
    </row>
    <row r="12" spans="1:25" ht="18" customHeight="1" x14ac:dyDescent="0.2">
      <c r="B12" s="54" t="s">
        <v>65</v>
      </c>
      <c r="I12" s="98" t="s">
        <v>108</v>
      </c>
      <c r="P12" s="55"/>
    </row>
    <row r="13" spans="1:25" ht="12" customHeight="1" x14ac:dyDescent="0.2">
      <c r="B13" s="54"/>
      <c r="I13" s="98" t="s">
        <v>109</v>
      </c>
      <c r="P13" s="55"/>
    </row>
    <row r="14" spans="1:25" s="544" customFormat="1" ht="15" customHeight="1" x14ac:dyDescent="0.15">
      <c r="A14" s="536" t="s">
        <v>4</v>
      </c>
      <c r="B14" s="537" t="s">
        <v>198</v>
      </c>
      <c r="C14" s="538" t="s">
        <v>6</v>
      </c>
      <c r="D14" s="538" t="s">
        <v>7</v>
      </c>
      <c r="E14" s="538" t="s">
        <v>8</v>
      </c>
      <c r="F14" s="538" t="s">
        <v>9</v>
      </c>
      <c r="G14" s="538" t="s">
        <v>199</v>
      </c>
      <c r="H14" s="538" t="s">
        <v>200</v>
      </c>
      <c r="I14" s="538" t="s">
        <v>661</v>
      </c>
      <c r="J14" s="539" t="s">
        <v>662</v>
      </c>
      <c r="K14" s="538" t="s">
        <v>663</v>
      </c>
      <c r="L14" s="538" t="s">
        <v>664</v>
      </c>
      <c r="M14" s="539" t="s">
        <v>201</v>
      </c>
      <c r="N14" s="539" t="s">
        <v>202</v>
      </c>
      <c r="O14" s="540" t="s">
        <v>13</v>
      </c>
      <c r="P14" s="541" t="s">
        <v>203</v>
      </c>
      <c r="Q14" s="539" t="s">
        <v>665</v>
      </c>
      <c r="R14" s="540" t="s">
        <v>15</v>
      </c>
      <c r="S14" s="539" t="s">
        <v>204</v>
      </c>
      <c r="T14" s="539" t="s">
        <v>205</v>
      </c>
      <c r="U14" s="540" t="s">
        <v>206</v>
      </c>
      <c r="V14" s="538" t="s">
        <v>19</v>
      </c>
      <c r="W14" s="542" t="s">
        <v>207</v>
      </c>
      <c r="X14" s="538" t="s">
        <v>208</v>
      </c>
      <c r="Y14" s="543"/>
    </row>
    <row r="15" spans="1:25" s="544" customFormat="1" ht="33.75" customHeight="1" x14ac:dyDescent="0.15">
      <c r="A15" s="536" t="s">
        <v>4</v>
      </c>
      <c r="B15" s="537" t="s">
        <v>5</v>
      </c>
      <c r="C15" s="538" t="s">
        <v>6</v>
      </c>
      <c r="D15" s="538" t="s">
        <v>7</v>
      </c>
      <c r="E15" s="538" t="s">
        <v>8</v>
      </c>
      <c r="F15" s="545" t="s">
        <v>209</v>
      </c>
      <c r="G15" s="546" t="s">
        <v>37</v>
      </c>
      <c r="H15" s="538" t="s">
        <v>10</v>
      </c>
      <c r="I15" s="538" t="s">
        <v>666</v>
      </c>
      <c r="J15" s="539" t="s">
        <v>667</v>
      </c>
      <c r="K15" s="538" t="s">
        <v>668</v>
      </c>
      <c r="L15" s="545" t="s">
        <v>669</v>
      </c>
      <c r="M15" s="547" t="s">
        <v>11</v>
      </c>
      <c r="N15" s="539" t="s">
        <v>12</v>
      </c>
      <c r="O15" s="548" t="s">
        <v>13</v>
      </c>
      <c r="P15" s="549" t="s">
        <v>14</v>
      </c>
      <c r="Q15" s="547" t="s">
        <v>670</v>
      </c>
      <c r="R15" s="549" t="s">
        <v>15</v>
      </c>
      <c r="S15" s="539" t="s">
        <v>16</v>
      </c>
      <c r="T15" s="539" t="s">
        <v>17</v>
      </c>
      <c r="U15" s="549" t="s">
        <v>18</v>
      </c>
      <c r="V15" s="538" t="s">
        <v>19</v>
      </c>
      <c r="W15" s="538" t="s">
        <v>210</v>
      </c>
      <c r="X15" s="550" t="s">
        <v>211</v>
      </c>
      <c r="Y15" s="551" t="s">
        <v>212</v>
      </c>
    </row>
    <row r="16" spans="1:25" s="512" customFormat="1" ht="11.1" customHeight="1" x14ac:dyDescent="0.15">
      <c r="A16" s="556">
        <v>30407</v>
      </c>
      <c r="B16" s="26" t="s">
        <v>90</v>
      </c>
      <c r="C16" s="26" t="s">
        <v>671</v>
      </c>
      <c r="D16" s="552" t="s">
        <v>246</v>
      </c>
      <c r="E16" s="37">
        <v>42276</v>
      </c>
      <c r="F16" s="37">
        <v>42276</v>
      </c>
      <c r="G16" s="37">
        <v>8783</v>
      </c>
      <c r="H16" s="37">
        <v>8646</v>
      </c>
      <c r="I16" s="37">
        <v>137</v>
      </c>
      <c r="J16" s="37"/>
      <c r="K16" s="37">
        <v>8590</v>
      </c>
      <c r="L16" s="37">
        <v>0</v>
      </c>
      <c r="M16" s="37">
        <v>56</v>
      </c>
      <c r="N16" s="37"/>
      <c r="O16" s="37"/>
      <c r="P16" s="37"/>
      <c r="Q16" s="37"/>
      <c r="R16" s="37"/>
      <c r="S16" s="37"/>
      <c r="T16" s="37"/>
      <c r="U16" s="37"/>
      <c r="V16" s="552" t="s">
        <v>91</v>
      </c>
      <c r="W16" s="552"/>
      <c r="X16" s="552"/>
      <c r="Y16" s="552"/>
    </row>
    <row r="17" spans="1:25" s="512" customFormat="1" ht="11.1" customHeight="1" x14ac:dyDescent="0.15">
      <c r="A17" s="556">
        <v>30407</v>
      </c>
      <c r="B17" s="26" t="s">
        <v>90</v>
      </c>
      <c r="C17" s="26" t="s">
        <v>672</v>
      </c>
      <c r="D17" s="552" t="s">
        <v>456</v>
      </c>
      <c r="E17" s="37">
        <v>34809</v>
      </c>
      <c r="F17" s="37">
        <v>34809</v>
      </c>
      <c r="G17" s="37">
        <v>12646</v>
      </c>
      <c r="H17" s="37">
        <v>6996</v>
      </c>
      <c r="I17" s="37">
        <v>5650</v>
      </c>
      <c r="J17" s="37"/>
      <c r="K17" s="37">
        <v>5897</v>
      </c>
      <c r="L17" s="37">
        <v>888</v>
      </c>
      <c r="M17" s="37">
        <v>211</v>
      </c>
      <c r="N17" s="37"/>
      <c r="O17" s="37"/>
      <c r="P17" s="37"/>
      <c r="Q17" s="37"/>
      <c r="R17" s="37"/>
      <c r="S17" s="37"/>
      <c r="T17" s="37"/>
      <c r="U17" s="37"/>
      <c r="V17" s="552" t="s">
        <v>91</v>
      </c>
      <c r="W17" s="552"/>
      <c r="X17" s="552"/>
      <c r="Y17" s="552"/>
    </row>
    <row r="18" spans="1:25" s="512" customFormat="1" ht="11.1" customHeight="1" x14ac:dyDescent="0.15">
      <c r="A18" s="556">
        <v>30407</v>
      </c>
      <c r="B18" s="26" t="s">
        <v>90</v>
      </c>
      <c r="C18" s="26" t="s">
        <v>673</v>
      </c>
      <c r="D18" s="552" t="s">
        <v>674</v>
      </c>
      <c r="E18" s="37">
        <v>14217</v>
      </c>
      <c r="F18" s="37">
        <v>14217</v>
      </c>
      <c r="G18" s="37">
        <v>3632</v>
      </c>
      <c r="H18" s="37">
        <v>2404</v>
      </c>
      <c r="I18" s="37">
        <v>1228</v>
      </c>
      <c r="J18" s="37"/>
      <c r="K18" s="37">
        <v>1835</v>
      </c>
      <c r="L18" s="37">
        <v>438</v>
      </c>
      <c r="M18" s="37">
        <v>131</v>
      </c>
      <c r="N18" s="37"/>
      <c r="O18" s="37"/>
      <c r="P18" s="37"/>
      <c r="Q18" s="37"/>
      <c r="R18" s="37"/>
      <c r="S18" s="37"/>
      <c r="T18" s="37"/>
      <c r="U18" s="37"/>
      <c r="V18" s="552" t="s">
        <v>91</v>
      </c>
      <c r="W18" s="552"/>
      <c r="X18" s="552"/>
      <c r="Y18" s="552"/>
    </row>
    <row r="19" spans="1:25" s="512" customFormat="1" ht="11.1" customHeight="1" x14ac:dyDescent="0.15">
      <c r="A19" s="556">
        <v>30407</v>
      </c>
      <c r="B19" s="26" t="s">
        <v>90</v>
      </c>
      <c r="C19" s="26" t="s">
        <v>675</v>
      </c>
      <c r="D19" s="552" t="s">
        <v>676</v>
      </c>
      <c r="E19" s="37">
        <v>2433</v>
      </c>
      <c r="F19" s="37">
        <v>2433</v>
      </c>
      <c r="G19" s="37">
        <v>358</v>
      </c>
      <c r="H19" s="37">
        <v>352</v>
      </c>
      <c r="I19" s="37">
        <v>6</v>
      </c>
      <c r="J19" s="37"/>
      <c r="K19" s="37">
        <v>140</v>
      </c>
      <c r="L19" s="37">
        <v>0</v>
      </c>
      <c r="M19" s="37">
        <v>212</v>
      </c>
      <c r="N19" s="37"/>
      <c r="O19" s="37"/>
      <c r="P19" s="37"/>
      <c r="Q19" s="37"/>
      <c r="R19" s="37"/>
      <c r="S19" s="37"/>
      <c r="T19" s="37"/>
      <c r="U19" s="37"/>
      <c r="V19" s="552" t="s">
        <v>91</v>
      </c>
      <c r="W19" s="552"/>
      <c r="X19" s="552"/>
      <c r="Y19" s="552"/>
    </row>
    <row r="20" spans="1:25" s="512" customFormat="1" ht="11.1" customHeight="1" x14ac:dyDescent="0.15">
      <c r="A20" s="556">
        <v>30407</v>
      </c>
      <c r="B20" s="26" t="s">
        <v>90</v>
      </c>
      <c r="C20" s="26" t="s">
        <v>677</v>
      </c>
      <c r="D20" s="552" t="s">
        <v>678</v>
      </c>
      <c r="E20" s="37">
        <v>20313</v>
      </c>
      <c r="F20" s="37">
        <v>18752</v>
      </c>
      <c r="G20" s="37">
        <v>6061</v>
      </c>
      <c r="H20" s="37">
        <v>5491</v>
      </c>
      <c r="I20" s="37">
        <v>570</v>
      </c>
      <c r="J20" s="37"/>
      <c r="K20" s="37">
        <v>4565</v>
      </c>
      <c r="L20" s="37">
        <v>335</v>
      </c>
      <c r="M20" s="37">
        <v>591</v>
      </c>
      <c r="N20" s="37"/>
      <c r="O20" s="37"/>
      <c r="P20" s="37"/>
      <c r="Q20" s="37"/>
      <c r="R20" s="37"/>
      <c r="S20" s="37"/>
      <c r="T20" s="37"/>
      <c r="U20" s="37"/>
      <c r="V20" s="552" t="s">
        <v>91</v>
      </c>
      <c r="W20" s="552"/>
      <c r="X20" s="552"/>
      <c r="Y20" s="552"/>
    </row>
    <row r="21" spans="1:25" s="512" customFormat="1" ht="11.1" customHeight="1" x14ac:dyDescent="0.15">
      <c r="A21" s="556">
        <v>30407</v>
      </c>
      <c r="B21" s="26" t="s">
        <v>90</v>
      </c>
      <c r="C21" s="26" t="s">
        <v>679</v>
      </c>
      <c r="D21" s="552" t="s">
        <v>680</v>
      </c>
      <c r="E21" s="37">
        <v>13659</v>
      </c>
      <c r="F21" s="37">
        <v>13659</v>
      </c>
      <c r="G21" s="37">
        <v>4985</v>
      </c>
      <c r="H21" s="37">
        <v>2739</v>
      </c>
      <c r="I21" s="37">
        <v>2246</v>
      </c>
      <c r="J21" s="37"/>
      <c r="K21" s="37">
        <v>2182</v>
      </c>
      <c r="L21" s="37">
        <v>420</v>
      </c>
      <c r="M21" s="37">
        <v>137</v>
      </c>
      <c r="N21" s="37"/>
      <c r="O21" s="37"/>
      <c r="P21" s="37"/>
      <c r="Q21" s="37"/>
      <c r="R21" s="37"/>
      <c r="S21" s="37"/>
      <c r="T21" s="37"/>
      <c r="U21" s="37"/>
      <c r="V21" s="552" t="s">
        <v>91</v>
      </c>
      <c r="W21" s="552"/>
      <c r="X21" s="552"/>
      <c r="Y21" s="552"/>
    </row>
    <row r="22" spans="1:25" s="512" customFormat="1" ht="11.1" customHeight="1" x14ac:dyDescent="0.15">
      <c r="A22" s="556">
        <v>30407</v>
      </c>
      <c r="B22" s="26" t="s">
        <v>90</v>
      </c>
      <c r="C22" s="26" t="s">
        <v>681</v>
      </c>
      <c r="D22" s="552" t="s">
        <v>682</v>
      </c>
      <c r="E22" s="37">
        <v>34523</v>
      </c>
      <c r="F22" s="37">
        <v>34523</v>
      </c>
      <c r="G22" s="37">
        <v>9624</v>
      </c>
      <c r="H22" s="37">
        <v>9135</v>
      </c>
      <c r="I22" s="37">
        <v>489</v>
      </c>
      <c r="J22" s="37"/>
      <c r="K22" s="37">
        <v>7417</v>
      </c>
      <c r="L22" s="37">
        <v>1718</v>
      </c>
      <c r="M22" s="37">
        <v>0</v>
      </c>
      <c r="N22" s="37"/>
      <c r="O22" s="37"/>
      <c r="P22" s="37"/>
      <c r="Q22" s="37"/>
      <c r="R22" s="37"/>
      <c r="S22" s="37"/>
      <c r="T22" s="37"/>
      <c r="U22" s="37"/>
      <c r="V22" s="552" t="s">
        <v>91</v>
      </c>
      <c r="W22" s="552"/>
      <c r="X22" s="552"/>
      <c r="Y22" s="552"/>
    </row>
    <row r="23" spans="1:25" s="512" customFormat="1" ht="11.1" customHeight="1" x14ac:dyDescent="0.15">
      <c r="A23" s="556">
        <v>30407</v>
      </c>
      <c r="B23" s="26" t="s">
        <v>90</v>
      </c>
      <c r="C23" s="26" t="s">
        <v>683</v>
      </c>
      <c r="D23" s="552" t="s">
        <v>577</v>
      </c>
      <c r="E23" s="37">
        <v>11073</v>
      </c>
      <c r="F23" s="37">
        <v>11073</v>
      </c>
      <c r="G23" s="37">
        <v>4042</v>
      </c>
      <c r="H23" s="37">
        <v>1128</v>
      </c>
      <c r="I23" s="37">
        <v>2914</v>
      </c>
      <c r="J23" s="37"/>
      <c r="K23" s="37">
        <v>883</v>
      </c>
      <c r="L23" s="37">
        <v>185</v>
      </c>
      <c r="M23" s="37">
        <v>60</v>
      </c>
      <c r="N23" s="37"/>
      <c r="O23" s="37"/>
      <c r="P23" s="37"/>
      <c r="Q23" s="37"/>
      <c r="R23" s="37"/>
      <c r="S23" s="37"/>
      <c r="T23" s="37"/>
      <c r="U23" s="37"/>
      <c r="V23" s="552" t="s">
        <v>91</v>
      </c>
      <c r="W23" s="552"/>
      <c r="X23" s="552"/>
      <c r="Y23" s="552"/>
    </row>
    <row r="24" spans="1:25" s="512" customFormat="1" ht="11.1" customHeight="1" x14ac:dyDescent="0.15">
      <c r="A24" s="556">
        <v>30407</v>
      </c>
      <c r="B24" s="26" t="s">
        <v>90</v>
      </c>
      <c r="C24" s="26" t="s">
        <v>684</v>
      </c>
      <c r="D24" s="552" t="s">
        <v>685</v>
      </c>
      <c r="E24" s="37">
        <v>20839</v>
      </c>
      <c r="F24" s="37">
        <v>20839</v>
      </c>
      <c r="G24" s="37">
        <v>7666</v>
      </c>
      <c r="H24" s="37">
        <v>2571</v>
      </c>
      <c r="I24" s="37">
        <v>5095</v>
      </c>
      <c r="J24" s="37"/>
      <c r="K24" s="37">
        <v>2001</v>
      </c>
      <c r="L24" s="37">
        <v>493</v>
      </c>
      <c r="M24" s="37">
        <v>77</v>
      </c>
      <c r="N24" s="37"/>
      <c r="O24" s="37"/>
      <c r="P24" s="37"/>
      <c r="Q24" s="37"/>
      <c r="R24" s="37"/>
      <c r="S24" s="37"/>
      <c r="T24" s="37"/>
      <c r="U24" s="37"/>
      <c r="V24" s="552" t="s">
        <v>91</v>
      </c>
      <c r="W24" s="552"/>
      <c r="X24" s="552"/>
      <c r="Y24" s="552"/>
    </row>
    <row r="25" spans="1:25" s="512" customFormat="1" ht="11.1" customHeight="1" x14ac:dyDescent="0.15">
      <c r="A25" s="556">
        <v>30773</v>
      </c>
      <c r="B25" s="26" t="s">
        <v>92</v>
      </c>
      <c r="C25" s="26" t="s">
        <v>671</v>
      </c>
      <c r="D25" s="552" t="s">
        <v>246</v>
      </c>
      <c r="E25" s="37">
        <v>42390</v>
      </c>
      <c r="F25" s="37">
        <v>42016</v>
      </c>
      <c r="G25" s="37">
        <v>9139</v>
      </c>
      <c r="H25" s="37">
        <v>9055</v>
      </c>
      <c r="I25" s="37">
        <v>84</v>
      </c>
      <c r="J25" s="37"/>
      <c r="K25" s="37">
        <v>8977</v>
      </c>
      <c r="L25" s="37">
        <v>0</v>
      </c>
      <c r="M25" s="37">
        <v>78</v>
      </c>
      <c r="N25" s="37"/>
      <c r="O25" s="37"/>
      <c r="P25" s="37"/>
      <c r="Q25" s="37"/>
      <c r="R25" s="37"/>
      <c r="S25" s="37"/>
      <c r="T25" s="37"/>
      <c r="U25" s="37"/>
      <c r="V25" s="552" t="s">
        <v>91</v>
      </c>
      <c r="W25" s="552"/>
      <c r="X25" s="552"/>
      <c r="Y25" s="552"/>
    </row>
    <row r="26" spans="1:25" s="512" customFormat="1" ht="11.1" customHeight="1" x14ac:dyDescent="0.15">
      <c r="A26" s="556">
        <v>30773</v>
      </c>
      <c r="B26" s="26" t="s">
        <v>92</v>
      </c>
      <c r="C26" s="26" t="s">
        <v>672</v>
      </c>
      <c r="D26" s="552" t="s">
        <v>456</v>
      </c>
      <c r="E26" s="37">
        <v>34909</v>
      </c>
      <c r="F26" s="37">
        <v>34909</v>
      </c>
      <c r="G26" s="37">
        <v>9495</v>
      </c>
      <c r="H26" s="37">
        <v>7314</v>
      </c>
      <c r="I26" s="37">
        <v>2181</v>
      </c>
      <c r="J26" s="37"/>
      <c r="K26" s="37">
        <v>6109</v>
      </c>
      <c r="L26" s="37">
        <v>972</v>
      </c>
      <c r="M26" s="37">
        <v>233</v>
      </c>
      <c r="N26" s="37"/>
      <c r="O26" s="37"/>
      <c r="P26" s="37"/>
      <c r="Q26" s="37"/>
      <c r="R26" s="37"/>
      <c r="S26" s="37"/>
      <c r="T26" s="37"/>
      <c r="U26" s="37"/>
      <c r="V26" s="552" t="s">
        <v>91</v>
      </c>
      <c r="W26" s="552"/>
      <c r="X26" s="552"/>
      <c r="Y26" s="552"/>
    </row>
    <row r="27" spans="1:25" s="512" customFormat="1" ht="11.1" customHeight="1" x14ac:dyDescent="0.15">
      <c r="A27" s="556">
        <v>30773</v>
      </c>
      <c r="B27" s="26" t="s">
        <v>92</v>
      </c>
      <c r="C27" s="26" t="s">
        <v>673</v>
      </c>
      <c r="D27" s="552" t="s">
        <v>674</v>
      </c>
      <c r="E27" s="37">
        <v>14361</v>
      </c>
      <c r="F27" s="37">
        <v>14361</v>
      </c>
      <c r="G27" s="37">
        <v>3669</v>
      </c>
      <c r="H27" s="37">
        <v>2291</v>
      </c>
      <c r="I27" s="37">
        <v>1378</v>
      </c>
      <c r="J27" s="37"/>
      <c r="K27" s="37">
        <v>1802</v>
      </c>
      <c r="L27" s="37">
        <v>371</v>
      </c>
      <c r="M27" s="37">
        <v>118</v>
      </c>
      <c r="N27" s="37"/>
      <c r="O27" s="37"/>
      <c r="P27" s="37"/>
      <c r="Q27" s="37"/>
      <c r="R27" s="37"/>
      <c r="S27" s="37"/>
      <c r="T27" s="37"/>
      <c r="U27" s="37"/>
      <c r="V27" s="552" t="s">
        <v>91</v>
      </c>
      <c r="W27" s="552"/>
      <c r="X27" s="552"/>
      <c r="Y27" s="552"/>
    </row>
    <row r="28" spans="1:25" s="512" customFormat="1" ht="11.1" customHeight="1" x14ac:dyDescent="0.15">
      <c r="A28" s="556">
        <v>30773</v>
      </c>
      <c r="B28" s="26" t="s">
        <v>92</v>
      </c>
      <c r="C28" s="26" t="s">
        <v>675</v>
      </c>
      <c r="D28" s="552" t="s">
        <v>676</v>
      </c>
      <c r="E28" s="37">
        <v>2412</v>
      </c>
      <c r="F28" s="37">
        <v>2391</v>
      </c>
      <c r="G28" s="37">
        <v>328</v>
      </c>
      <c r="H28" s="37">
        <v>325</v>
      </c>
      <c r="I28" s="37">
        <v>3</v>
      </c>
      <c r="J28" s="37"/>
      <c r="K28" s="37">
        <v>325</v>
      </c>
      <c r="L28" s="37">
        <v>0</v>
      </c>
      <c r="M28" s="37">
        <v>0</v>
      </c>
      <c r="N28" s="37"/>
      <c r="O28" s="37"/>
      <c r="P28" s="37"/>
      <c r="Q28" s="37"/>
      <c r="R28" s="37"/>
      <c r="S28" s="37"/>
      <c r="T28" s="37"/>
      <c r="U28" s="37"/>
      <c r="V28" s="552" t="s">
        <v>91</v>
      </c>
      <c r="W28" s="552"/>
      <c r="X28" s="552"/>
      <c r="Y28" s="552"/>
    </row>
    <row r="29" spans="1:25" s="512" customFormat="1" ht="11.1" customHeight="1" x14ac:dyDescent="0.15">
      <c r="A29" s="556">
        <v>30773</v>
      </c>
      <c r="B29" s="26" t="s">
        <v>92</v>
      </c>
      <c r="C29" s="26" t="s">
        <v>677</v>
      </c>
      <c r="D29" s="552" t="s">
        <v>678</v>
      </c>
      <c r="E29" s="37">
        <v>20428</v>
      </c>
      <c r="F29" s="37">
        <v>18867</v>
      </c>
      <c r="G29" s="37">
        <v>6387</v>
      </c>
      <c r="H29" s="37">
        <v>5817</v>
      </c>
      <c r="I29" s="37">
        <v>570</v>
      </c>
      <c r="J29" s="37"/>
      <c r="K29" s="37">
        <v>4883</v>
      </c>
      <c r="L29" s="37">
        <v>312</v>
      </c>
      <c r="M29" s="37">
        <v>622</v>
      </c>
      <c r="N29" s="37"/>
      <c r="O29" s="37"/>
      <c r="P29" s="37"/>
      <c r="Q29" s="37"/>
      <c r="R29" s="37"/>
      <c r="S29" s="37"/>
      <c r="T29" s="37"/>
      <c r="U29" s="37"/>
      <c r="V29" s="552" t="s">
        <v>91</v>
      </c>
      <c r="W29" s="552"/>
      <c r="X29" s="552"/>
      <c r="Y29" s="552"/>
    </row>
    <row r="30" spans="1:25" s="512" customFormat="1" ht="11.1" customHeight="1" x14ac:dyDescent="0.15">
      <c r="A30" s="556">
        <v>30773</v>
      </c>
      <c r="B30" s="26" t="s">
        <v>92</v>
      </c>
      <c r="C30" s="26" t="s">
        <v>679</v>
      </c>
      <c r="D30" s="552" t="s">
        <v>680</v>
      </c>
      <c r="E30" s="37">
        <v>13717</v>
      </c>
      <c r="F30" s="37">
        <v>13717</v>
      </c>
      <c r="G30" s="37">
        <v>5007</v>
      </c>
      <c r="H30" s="37">
        <v>2645</v>
      </c>
      <c r="I30" s="37">
        <v>2362</v>
      </c>
      <c r="J30" s="37"/>
      <c r="K30" s="37">
        <v>2078</v>
      </c>
      <c r="L30" s="37">
        <v>428</v>
      </c>
      <c r="M30" s="37">
        <v>139</v>
      </c>
      <c r="N30" s="37"/>
      <c r="O30" s="37"/>
      <c r="P30" s="37"/>
      <c r="Q30" s="37"/>
      <c r="R30" s="37"/>
      <c r="S30" s="37"/>
      <c r="T30" s="37"/>
      <c r="U30" s="37"/>
      <c r="V30" s="552" t="s">
        <v>91</v>
      </c>
      <c r="W30" s="552"/>
      <c r="X30" s="552"/>
      <c r="Y30" s="552"/>
    </row>
    <row r="31" spans="1:25" s="512" customFormat="1" ht="11.1" customHeight="1" x14ac:dyDescent="0.15">
      <c r="A31" s="556">
        <v>30773</v>
      </c>
      <c r="B31" s="26" t="s">
        <v>92</v>
      </c>
      <c r="C31" s="26" t="s">
        <v>681</v>
      </c>
      <c r="D31" s="552" t="s">
        <v>682</v>
      </c>
      <c r="E31" s="37">
        <v>34846</v>
      </c>
      <c r="F31" s="37">
        <v>34846</v>
      </c>
      <c r="G31" s="37">
        <v>9361</v>
      </c>
      <c r="H31" s="37">
        <v>8996</v>
      </c>
      <c r="I31" s="37">
        <v>365</v>
      </c>
      <c r="J31" s="37"/>
      <c r="K31" s="37">
        <v>7483</v>
      </c>
      <c r="L31" s="37">
        <v>1513</v>
      </c>
      <c r="M31" s="37">
        <v>0</v>
      </c>
      <c r="N31" s="37"/>
      <c r="O31" s="37"/>
      <c r="P31" s="37"/>
      <c r="Q31" s="37"/>
      <c r="R31" s="37"/>
      <c r="S31" s="37"/>
      <c r="T31" s="37"/>
      <c r="U31" s="37"/>
      <c r="V31" s="552" t="s">
        <v>91</v>
      </c>
      <c r="W31" s="552"/>
      <c r="X31" s="552"/>
      <c r="Y31" s="552"/>
    </row>
    <row r="32" spans="1:25" s="512" customFormat="1" ht="11.1" customHeight="1" x14ac:dyDescent="0.15">
      <c r="A32" s="556">
        <v>30773</v>
      </c>
      <c r="B32" s="26" t="s">
        <v>92</v>
      </c>
      <c r="C32" s="26" t="s">
        <v>683</v>
      </c>
      <c r="D32" s="552" t="s">
        <v>577</v>
      </c>
      <c r="E32" s="37">
        <v>11152</v>
      </c>
      <c r="F32" s="37">
        <v>11152</v>
      </c>
      <c r="G32" s="37">
        <v>4070</v>
      </c>
      <c r="H32" s="37">
        <v>1213</v>
      </c>
      <c r="I32" s="37">
        <v>2857</v>
      </c>
      <c r="J32" s="37"/>
      <c r="K32" s="37">
        <v>884</v>
      </c>
      <c r="L32" s="37">
        <v>252</v>
      </c>
      <c r="M32" s="37">
        <v>77</v>
      </c>
      <c r="N32" s="37"/>
      <c r="O32" s="37"/>
      <c r="P32" s="37"/>
      <c r="Q32" s="37"/>
      <c r="R32" s="37"/>
      <c r="S32" s="37"/>
      <c r="T32" s="37"/>
      <c r="U32" s="37"/>
      <c r="V32" s="552" t="s">
        <v>91</v>
      </c>
      <c r="W32" s="552"/>
      <c r="X32" s="552"/>
      <c r="Y32" s="552"/>
    </row>
    <row r="33" spans="1:25" s="512" customFormat="1" ht="11.1" customHeight="1" x14ac:dyDescent="0.15">
      <c r="A33" s="556">
        <v>30773</v>
      </c>
      <c r="B33" s="26" t="s">
        <v>92</v>
      </c>
      <c r="C33" s="26" t="s">
        <v>684</v>
      </c>
      <c r="D33" s="552" t="s">
        <v>685</v>
      </c>
      <c r="E33" s="37">
        <v>20821</v>
      </c>
      <c r="F33" s="37">
        <v>20821</v>
      </c>
      <c r="G33" s="37">
        <v>3638</v>
      </c>
      <c r="H33" s="37">
        <v>2626</v>
      </c>
      <c r="I33" s="37">
        <v>1012</v>
      </c>
      <c r="J33" s="37"/>
      <c r="K33" s="37">
        <v>1971</v>
      </c>
      <c r="L33" s="37">
        <v>515</v>
      </c>
      <c r="M33" s="37">
        <v>140</v>
      </c>
      <c r="N33" s="37"/>
      <c r="O33" s="37"/>
      <c r="P33" s="37"/>
      <c r="Q33" s="37"/>
      <c r="R33" s="37"/>
      <c r="S33" s="37"/>
      <c r="T33" s="37"/>
      <c r="U33" s="37"/>
      <c r="V33" s="552" t="s">
        <v>91</v>
      </c>
      <c r="W33" s="552"/>
      <c r="X33" s="552"/>
      <c r="Y33" s="552"/>
    </row>
    <row r="34" spans="1:25" s="512" customFormat="1" ht="11.1" customHeight="1" x14ac:dyDescent="0.15">
      <c r="A34" s="556">
        <v>31138</v>
      </c>
      <c r="B34" s="26" t="s">
        <v>93</v>
      </c>
      <c r="C34" s="26" t="s">
        <v>671</v>
      </c>
      <c r="D34" s="552" t="s">
        <v>246</v>
      </c>
      <c r="E34" s="37">
        <v>42398</v>
      </c>
      <c r="F34" s="37">
        <v>42183</v>
      </c>
      <c r="G34" s="37">
        <v>9618</v>
      </c>
      <c r="H34" s="37">
        <v>9555</v>
      </c>
      <c r="I34" s="37">
        <v>63</v>
      </c>
      <c r="J34" s="37"/>
      <c r="K34" s="37">
        <v>9339</v>
      </c>
      <c r="L34" s="37">
        <v>0</v>
      </c>
      <c r="M34" s="37">
        <v>216</v>
      </c>
      <c r="N34" s="37"/>
      <c r="O34" s="37"/>
      <c r="P34" s="37"/>
      <c r="Q34" s="37"/>
      <c r="R34" s="37"/>
      <c r="S34" s="37"/>
      <c r="T34" s="37"/>
      <c r="U34" s="37"/>
      <c r="V34" s="552" t="s">
        <v>91</v>
      </c>
      <c r="W34" s="552"/>
      <c r="X34" s="552"/>
      <c r="Y34" s="552"/>
    </row>
    <row r="35" spans="1:25" s="512" customFormat="1" ht="11.1" customHeight="1" x14ac:dyDescent="0.15">
      <c r="A35" s="556">
        <v>31138</v>
      </c>
      <c r="B35" s="26" t="s">
        <v>93</v>
      </c>
      <c r="C35" s="26" t="s">
        <v>672</v>
      </c>
      <c r="D35" s="552" t="s">
        <v>456</v>
      </c>
      <c r="E35" s="37">
        <v>35264</v>
      </c>
      <c r="F35" s="37">
        <v>35264</v>
      </c>
      <c r="G35" s="37">
        <v>7524</v>
      </c>
      <c r="H35" s="37">
        <v>7524</v>
      </c>
      <c r="I35" s="37">
        <v>0</v>
      </c>
      <c r="J35" s="37"/>
      <c r="K35" s="37">
        <v>6240</v>
      </c>
      <c r="L35" s="37">
        <v>1043</v>
      </c>
      <c r="M35" s="37">
        <v>241</v>
      </c>
      <c r="N35" s="37"/>
      <c r="O35" s="37"/>
      <c r="P35" s="37"/>
      <c r="Q35" s="37"/>
      <c r="R35" s="37"/>
      <c r="S35" s="37"/>
      <c r="T35" s="37"/>
      <c r="U35" s="37"/>
      <c r="V35" s="552" t="s">
        <v>91</v>
      </c>
      <c r="W35" s="552"/>
      <c r="X35" s="552"/>
      <c r="Y35" s="552"/>
    </row>
    <row r="36" spans="1:25" s="512" customFormat="1" ht="11.1" customHeight="1" x14ac:dyDescent="0.15">
      <c r="A36" s="556">
        <v>31138</v>
      </c>
      <c r="B36" s="26" t="s">
        <v>93</v>
      </c>
      <c r="C36" s="26" t="s">
        <v>673</v>
      </c>
      <c r="D36" s="552" t="s">
        <v>674</v>
      </c>
      <c r="E36" s="37">
        <v>14391</v>
      </c>
      <c r="F36" s="37">
        <v>14391</v>
      </c>
      <c r="G36" s="37">
        <v>3677</v>
      </c>
      <c r="H36" s="37">
        <v>2302</v>
      </c>
      <c r="I36" s="37">
        <v>1375</v>
      </c>
      <c r="J36" s="37"/>
      <c r="K36" s="37">
        <v>1496</v>
      </c>
      <c r="L36" s="37">
        <v>696</v>
      </c>
      <c r="M36" s="37">
        <v>110</v>
      </c>
      <c r="N36" s="37"/>
      <c r="O36" s="37"/>
      <c r="P36" s="37"/>
      <c r="Q36" s="37"/>
      <c r="R36" s="37"/>
      <c r="S36" s="37"/>
      <c r="T36" s="37"/>
      <c r="U36" s="37"/>
      <c r="V36" s="552" t="s">
        <v>91</v>
      </c>
      <c r="W36" s="552"/>
      <c r="X36" s="552"/>
      <c r="Y36" s="552"/>
    </row>
    <row r="37" spans="1:25" s="512" customFormat="1" ht="11.1" customHeight="1" x14ac:dyDescent="0.15">
      <c r="A37" s="556">
        <v>31138</v>
      </c>
      <c r="B37" s="26" t="s">
        <v>93</v>
      </c>
      <c r="C37" s="26" t="s">
        <v>675</v>
      </c>
      <c r="D37" s="552" t="s">
        <v>676</v>
      </c>
      <c r="E37" s="37">
        <v>2393</v>
      </c>
      <c r="F37" s="37">
        <v>2372</v>
      </c>
      <c r="G37" s="37">
        <v>406</v>
      </c>
      <c r="H37" s="37">
        <v>398</v>
      </c>
      <c r="I37" s="37">
        <v>8</v>
      </c>
      <c r="J37" s="37"/>
      <c r="K37" s="37">
        <v>398</v>
      </c>
      <c r="L37" s="37">
        <v>0</v>
      </c>
      <c r="M37" s="37">
        <v>0</v>
      </c>
      <c r="N37" s="37"/>
      <c r="O37" s="37"/>
      <c r="P37" s="37"/>
      <c r="Q37" s="37"/>
      <c r="R37" s="37"/>
      <c r="S37" s="37"/>
      <c r="T37" s="37"/>
      <c r="U37" s="37"/>
      <c r="V37" s="552" t="s">
        <v>91</v>
      </c>
      <c r="W37" s="552"/>
      <c r="X37" s="552"/>
      <c r="Y37" s="552"/>
    </row>
    <row r="38" spans="1:25" s="512" customFormat="1" ht="11.1" customHeight="1" x14ac:dyDescent="0.15">
      <c r="A38" s="556">
        <v>31138</v>
      </c>
      <c r="B38" s="26" t="s">
        <v>93</v>
      </c>
      <c r="C38" s="26" t="s">
        <v>677</v>
      </c>
      <c r="D38" s="552" t="s">
        <v>678</v>
      </c>
      <c r="E38" s="37">
        <v>20443</v>
      </c>
      <c r="F38" s="37">
        <v>19028</v>
      </c>
      <c r="G38" s="37">
        <v>6505</v>
      </c>
      <c r="H38" s="37">
        <v>5989</v>
      </c>
      <c r="I38" s="37">
        <v>516</v>
      </c>
      <c r="J38" s="37"/>
      <c r="K38" s="37">
        <v>5104</v>
      </c>
      <c r="L38" s="37">
        <v>260</v>
      </c>
      <c r="M38" s="37">
        <v>625</v>
      </c>
      <c r="N38" s="37"/>
      <c r="O38" s="37"/>
      <c r="P38" s="37"/>
      <c r="Q38" s="37"/>
      <c r="R38" s="37"/>
      <c r="S38" s="37"/>
      <c r="T38" s="37"/>
      <c r="U38" s="37"/>
      <c r="V38" s="552" t="s">
        <v>91</v>
      </c>
      <c r="W38" s="552"/>
      <c r="X38" s="552"/>
      <c r="Y38" s="552"/>
    </row>
    <row r="39" spans="1:25" s="512" customFormat="1" ht="11.1" customHeight="1" x14ac:dyDescent="0.15">
      <c r="A39" s="556">
        <v>31138</v>
      </c>
      <c r="B39" s="26" t="s">
        <v>93</v>
      </c>
      <c r="C39" s="26" t="s">
        <v>679</v>
      </c>
      <c r="D39" s="552" t="s">
        <v>680</v>
      </c>
      <c r="E39" s="37">
        <v>13797</v>
      </c>
      <c r="F39" s="37">
        <v>13797</v>
      </c>
      <c r="G39" s="37">
        <v>5036</v>
      </c>
      <c r="H39" s="37">
        <v>2665</v>
      </c>
      <c r="I39" s="37">
        <v>2371</v>
      </c>
      <c r="J39" s="37"/>
      <c r="K39" s="37">
        <v>1733</v>
      </c>
      <c r="L39" s="37">
        <v>805</v>
      </c>
      <c r="M39" s="37">
        <v>127</v>
      </c>
      <c r="N39" s="37"/>
      <c r="O39" s="37"/>
      <c r="P39" s="37"/>
      <c r="Q39" s="37"/>
      <c r="R39" s="37"/>
      <c r="S39" s="37"/>
      <c r="T39" s="37"/>
      <c r="U39" s="37"/>
      <c r="V39" s="552" t="s">
        <v>91</v>
      </c>
      <c r="W39" s="552"/>
      <c r="X39" s="552"/>
      <c r="Y39" s="552"/>
    </row>
    <row r="40" spans="1:25" s="512" customFormat="1" ht="11.1" customHeight="1" x14ac:dyDescent="0.15">
      <c r="A40" s="556">
        <v>31138</v>
      </c>
      <c r="B40" s="26" t="s">
        <v>93</v>
      </c>
      <c r="C40" s="26" t="s">
        <v>681</v>
      </c>
      <c r="D40" s="552" t="s">
        <v>682</v>
      </c>
      <c r="E40" s="37">
        <v>35272</v>
      </c>
      <c r="F40" s="37">
        <v>35272</v>
      </c>
      <c r="G40" s="37">
        <v>9695</v>
      </c>
      <c r="H40" s="37">
        <v>9695</v>
      </c>
      <c r="I40" s="37">
        <v>0</v>
      </c>
      <c r="J40" s="37"/>
      <c r="K40" s="37">
        <v>8185</v>
      </c>
      <c r="L40" s="37">
        <v>1510</v>
      </c>
      <c r="M40" s="37">
        <v>0</v>
      </c>
      <c r="N40" s="37"/>
      <c r="O40" s="37"/>
      <c r="P40" s="37"/>
      <c r="Q40" s="37"/>
      <c r="R40" s="37"/>
      <c r="S40" s="37"/>
      <c r="T40" s="37"/>
      <c r="U40" s="37"/>
      <c r="V40" s="552" t="s">
        <v>91</v>
      </c>
      <c r="W40" s="552"/>
      <c r="X40" s="552"/>
      <c r="Y40" s="552"/>
    </row>
    <row r="41" spans="1:25" s="512" customFormat="1" ht="11.1" customHeight="1" x14ac:dyDescent="0.15">
      <c r="A41" s="556">
        <v>31138</v>
      </c>
      <c r="B41" s="26" t="s">
        <v>93</v>
      </c>
      <c r="C41" s="26" t="s">
        <v>683</v>
      </c>
      <c r="D41" s="552" t="s">
        <v>577</v>
      </c>
      <c r="E41" s="37">
        <v>11197</v>
      </c>
      <c r="F41" s="37">
        <v>11197</v>
      </c>
      <c r="G41" s="37">
        <v>3172</v>
      </c>
      <c r="H41" s="37">
        <v>1189</v>
      </c>
      <c r="I41" s="37">
        <v>1983</v>
      </c>
      <c r="J41" s="37"/>
      <c r="K41" s="37">
        <v>772</v>
      </c>
      <c r="L41" s="37">
        <v>254</v>
      </c>
      <c r="M41" s="37">
        <v>163</v>
      </c>
      <c r="N41" s="37"/>
      <c r="O41" s="37"/>
      <c r="P41" s="37"/>
      <c r="Q41" s="37"/>
      <c r="R41" s="37"/>
      <c r="S41" s="37"/>
      <c r="T41" s="37"/>
      <c r="U41" s="37"/>
      <c r="V41" s="552" t="s">
        <v>91</v>
      </c>
      <c r="W41" s="552"/>
      <c r="X41" s="552"/>
      <c r="Y41" s="552"/>
    </row>
    <row r="42" spans="1:25" s="512" customFormat="1" ht="11.1" customHeight="1" x14ac:dyDescent="0.15">
      <c r="A42" s="556">
        <v>31138</v>
      </c>
      <c r="B42" s="26" t="s">
        <v>93</v>
      </c>
      <c r="C42" s="26" t="s">
        <v>684</v>
      </c>
      <c r="D42" s="552" t="s">
        <v>685</v>
      </c>
      <c r="E42" s="37">
        <v>20677</v>
      </c>
      <c r="F42" s="37">
        <v>20677</v>
      </c>
      <c r="G42" s="37">
        <v>2675</v>
      </c>
      <c r="H42" s="37">
        <v>2675</v>
      </c>
      <c r="I42" s="37">
        <v>0</v>
      </c>
      <c r="J42" s="37"/>
      <c r="K42" s="37">
        <v>2026</v>
      </c>
      <c r="L42" s="37">
        <v>527</v>
      </c>
      <c r="M42" s="37">
        <v>122</v>
      </c>
      <c r="N42" s="37"/>
      <c r="O42" s="37"/>
      <c r="P42" s="37"/>
      <c r="Q42" s="37"/>
      <c r="R42" s="37"/>
      <c r="S42" s="37"/>
      <c r="T42" s="37"/>
      <c r="U42" s="37"/>
      <c r="V42" s="552" t="s">
        <v>91</v>
      </c>
      <c r="W42" s="552"/>
      <c r="X42" s="552"/>
      <c r="Y42" s="552"/>
    </row>
    <row r="43" spans="1:25" s="512" customFormat="1" ht="11.1" customHeight="1" x14ac:dyDescent="0.15">
      <c r="A43" s="556">
        <v>31503</v>
      </c>
      <c r="B43" s="26" t="s">
        <v>94</v>
      </c>
      <c r="C43" s="26" t="s">
        <v>671</v>
      </c>
      <c r="D43" s="552" t="s">
        <v>246</v>
      </c>
      <c r="E43" s="37">
        <v>42407</v>
      </c>
      <c r="F43" s="37">
        <v>42236</v>
      </c>
      <c r="G43" s="37">
        <v>10670</v>
      </c>
      <c r="H43" s="37">
        <v>10607</v>
      </c>
      <c r="I43" s="37">
        <v>63</v>
      </c>
      <c r="J43" s="37"/>
      <c r="K43" s="37">
        <v>9089</v>
      </c>
      <c r="L43" s="37">
        <v>0</v>
      </c>
      <c r="M43" s="37">
        <v>1518</v>
      </c>
      <c r="N43" s="37"/>
      <c r="O43" s="37"/>
      <c r="P43" s="37"/>
      <c r="Q43" s="37"/>
      <c r="R43" s="37"/>
      <c r="S43" s="37"/>
      <c r="T43" s="37"/>
      <c r="U43" s="37"/>
      <c r="V43" s="552" t="s">
        <v>91</v>
      </c>
      <c r="W43" s="552"/>
      <c r="X43" s="552"/>
      <c r="Y43" s="552"/>
    </row>
    <row r="44" spans="1:25" s="512" customFormat="1" ht="11.1" customHeight="1" x14ac:dyDescent="0.15">
      <c r="A44" s="556">
        <v>31503</v>
      </c>
      <c r="B44" s="26" t="s">
        <v>94</v>
      </c>
      <c r="C44" s="26" t="s">
        <v>672</v>
      </c>
      <c r="D44" s="552" t="s">
        <v>456</v>
      </c>
      <c r="E44" s="37">
        <v>35475</v>
      </c>
      <c r="F44" s="37">
        <v>35475</v>
      </c>
      <c r="G44" s="37">
        <v>8293</v>
      </c>
      <c r="H44" s="37">
        <v>8293</v>
      </c>
      <c r="I44" s="37">
        <v>0</v>
      </c>
      <c r="J44" s="37"/>
      <c r="K44" s="37">
        <v>6966</v>
      </c>
      <c r="L44" s="37">
        <v>1047</v>
      </c>
      <c r="M44" s="37">
        <v>280</v>
      </c>
      <c r="N44" s="37"/>
      <c r="O44" s="37"/>
      <c r="P44" s="37"/>
      <c r="Q44" s="37"/>
      <c r="R44" s="37"/>
      <c r="S44" s="37"/>
      <c r="T44" s="37"/>
      <c r="U44" s="37"/>
      <c r="V44" s="552" t="s">
        <v>91</v>
      </c>
      <c r="W44" s="552"/>
      <c r="X44" s="552"/>
      <c r="Y44" s="552"/>
    </row>
    <row r="45" spans="1:25" s="512" customFormat="1" ht="11.1" customHeight="1" x14ac:dyDescent="0.15">
      <c r="A45" s="556">
        <v>31503</v>
      </c>
      <c r="B45" s="26" t="s">
        <v>94</v>
      </c>
      <c r="C45" s="26" t="s">
        <v>673</v>
      </c>
      <c r="D45" s="552" t="s">
        <v>674</v>
      </c>
      <c r="E45" s="37">
        <v>14352</v>
      </c>
      <c r="F45" s="37">
        <v>14352</v>
      </c>
      <c r="G45" s="37">
        <v>3667</v>
      </c>
      <c r="H45" s="37">
        <v>2531</v>
      </c>
      <c r="I45" s="37">
        <v>1136</v>
      </c>
      <c r="J45" s="37"/>
      <c r="K45" s="37">
        <v>1991</v>
      </c>
      <c r="L45" s="37">
        <v>401</v>
      </c>
      <c r="M45" s="37">
        <v>139</v>
      </c>
      <c r="N45" s="37"/>
      <c r="O45" s="37"/>
      <c r="P45" s="37"/>
      <c r="Q45" s="37"/>
      <c r="R45" s="37"/>
      <c r="S45" s="37"/>
      <c r="T45" s="37"/>
      <c r="U45" s="37"/>
      <c r="V45" s="552" t="s">
        <v>91</v>
      </c>
      <c r="W45" s="552"/>
      <c r="X45" s="552"/>
      <c r="Y45" s="552"/>
    </row>
    <row r="46" spans="1:25" s="512" customFormat="1" ht="11.1" customHeight="1" x14ac:dyDescent="0.15">
      <c r="A46" s="556">
        <v>31503</v>
      </c>
      <c r="B46" s="26" t="s">
        <v>94</v>
      </c>
      <c r="C46" s="26" t="s">
        <v>675</v>
      </c>
      <c r="D46" s="552" t="s">
        <v>676</v>
      </c>
      <c r="E46" s="37">
        <v>2400</v>
      </c>
      <c r="F46" s="37">
        <v>2382</v>
      </c>
      <c r="G46" s="37">
        <v>766</v>
      </c>
      <c r="H46" s="37">
        <v>759</v>
      </c>
      <c r="I46" s="37">
        <v>7</v>
      </c>
      <c r="J46" s="37"/>
      <c r="K46" s="37">
        <v>630</v>
      </c>
      <c r="L46" s="37">
        <v>0</v>
      </c>
      <c r="M46" s="37">
        <v>129</v>
      </c>
      <c r="N46" s="37"/>
      <c r="O46" s="37"/>
      <c r="P46" s="37"/>
      <c r="Q46" s="37"/>
      <c r="R46" s="37"/>
      <c r="S46" s="37"/>
      <c r="T46" s="37"/>
      <c r="U46" s="37"/>
      <c r="V46" s="552" t="s">
        <v>91</v>
      </c>
      <c r="W46" s="552"/>
      <c r="X46" s="552"/>
      <c r="Y46" s="552"/>
    </row>
    <row r="47" spans="1:25" s="512" customFormat="1" ht="11.1" customHeight="1" x14ac:dyDescent="0.15">
      <c r="A47" s="556">
        <v>31503</v>
      </c>
      <c r="B47" s="26" t="s">
        <v>94</v>
      </c>
      <c r="C47" s="26" t="s">
        <v>677</v>
      </c>
      <c r="D47" s="552" t="s">
        <v>678</v>
      </c>
      <c r="E47" s="37">
        <v>20608</v>
      </c>
      <c r="F47" s="37">
        <v>19271</v>
      </c>
      <c r="G47" s="37">
        <v>7119</v>
      </c>
      <c r="H47" s="37">
        <v>6631</v>
      </c>
      <c r="I47" s="37">
        <v>488</v>
      </c>
      <c r="J47" s="37"/>
      <c r="K47" s="37">
        <v>5996</v>
      </c>
      <c r="L47" s="37">
        <v>0</v>
      </c>
      <c r="M47" s="37">
        <v>635</v>
      </c>
      <c r="N47" s="37"/>
      <c r="O47" s="37"/>
      <c r="P47" s="37"/>
      <c r="Q47" s="37"/>
      <c r="R47" s="37"/>
      <c r="S47" s="37"/>
      <c r="T47" s="37"/>
      <c r="U47" s="37"/>
      <c r="V47" s="552" t="s">
        <v>91</v>
      </c>
      <c r="W47" s="552"/>
      <c r="X47" s="552"/>
      <c r="Y47" s="552"/>
    </row>
    <row r="48" spans="1:25" s="512" customFormat="1" ht="11.1" customHeight="1" x14ac:dyDescent="0.15">
      <c r="A48" s="556">
        <v>31503</v>
      </c>
      <c r="B48" s="26" t="s">
        <v>94</v>
      </c>
      <c r="C48" s="26" t="s">
        <v>679</v>
      </c>
      <c r="D48" s="552" t="s">
        <v>680</v>
      </c>
      <c r="E48" s="37">
        <v>13843</v>
      </c>
      <c r="F48" s="37">
        <v>13843</v>
      </c>
      <c r="G48" s="37">
        <v>4550</v>
      </c>
      <c r="H48" s="37">
        <v>3004</v>
      </c>
      <c r="I48" s="37">
        <v>1546</v>
      </c>
      <c r="J48" s="37"/>
      <c r="K48" s="37">
        <v>2524</v>
      </c>
      <c r="L48" s="37">
        <v>357</v>
      </c>
      <c r="M48" s="37">
        <v>123</v>
      </c>
      <c r="N48" s="37"/>
      <c r="O48" s="37"/>
      <c r="P48" s="37"/>
      <c r="Q48" s="37"/>
      <c r="R48" s="37"/>
      <c r="S48" s="37"/>
      <c r="T48" s="37"/>
      <c r="U48" s="37"/>
      <c r="V48" s="552" t="s">
        <v>91</v>
      </c>
      <c r="W48" s="552"/>
      <c r="X48" s="552"/>
      <c r="Y48" s="552"/>
    </row>
    <row r="49" spans="1:25" s="512" customFormat="1" ht="11.1" customHeight="1" x14ac:dyDescent="0.15">
      <c r="A49" s="556">
        <v>31503</v>
      </c>
      <c r="B49" s="26" t="s">
        <v>94</v>
      </c>
      <c r="C49" s="26" t="s">
        <v>681</v>
      </c>
      <c r="D49" s="552" t="s">
        <v>682</v>
      </c>
      <c r="E49" s="37">
        <v>35667</v>
      </c>
      <c r="F49" s="37">
        <v>35667</v>
      </c>
      <c r="G49" s="37">
        <v>10457</v>
      </c>
      <c r="H49" s="37">
        <v>10457</v>
      </c>
      <c r="I49" s="37">
        <v>0</v>
      </c>
      <c r="J49" s="37"/>
      <c r="K49" s="37">
        <v>8852</v>
      </c>
      <c r="L49" s="37">
        <v>1497</v>
      </c>
      <c r="M49" s="37">
        <v>108</v>
      </c>
      <c r="N49" s="37"/>
      <c r="O49" s="37"/>
      <c r="P49" s="37"/>
      <c r="Q49" s="37"/>
      <c r="R49" s="37"/>
      <c r="S49" s="37"/>
      <c r="T49" s="37"/>
      <c r="U49" s="37"/>
      <c r="V49" s="552" t="s">
        <v>91</v>
      </c>
      <c r="W49" s="552"/>
      <c r="X49" s="552"/>
      <c r="Y49" s="552"/>
    </row>
    <row r="50" spans="1:25" s="512" customFormat="1" ht="11.1" customHeight="1" x14ac:dyDescent="0.15">
      <c r="A50" s="556">
        <v>31503</v>
      </c>
      <c r="B50" s="26" t="s">
        <v>94</v>
      </c>
      <c r="C50" s="26" t="s">
        <v>683</v>
      </c>
      <c r="D50" s="552" t="s">
        <v>577</v>
      </c>
      <c r="E50" s="37">
        <v>11231</v>
      </c>
      <c r="F50" s="37">
        <v>11231</v>
      </c>
      <c r="G50" s="37">
        <v>3326</v>
      </c>
      <c r="H50" s="37">
        <v>1327</v>
      </c>
      <c r="I50" s="37">
        <v>1999</v>
      </c>
      <c r="J50" s="37"/>
      <c r="K50" s="37">
        <v>1011</v>
      </c>
      <c r="L50" s="37">
        <v>235</v>
      </c>
      <c r="M50" s="37">
        <v>81</v>
      </c>
      <c r="N50" s="37"/>
      <c r="O50" s="37"/>
      <c r="P50" s="37"/>
      <c r="Q50" s="37"/>
      <c r="R50" s="37"/>
      <c r="S50" s="37"/>
      <c r="T50" s="37"/>
      <c r="U50" s="37"/>
      <c r="V50" s="552" t="s">
        <v>91</v>
      </c>
      <c r="W50" s="552"/>
      <c r="X50" s="552"/>
      <c r="Y50" s="552"/>
    </row>
    <row r="51" spans="1:25" s="512" customFormat="1" ht="11.1" customHeight="1" x14ac:dyDescent="0.15">
      <c r="A51" s="556">
        <v>31503</v>
      </c>
      <c r="B51" s="26" t="s">
        <v>94</v>
      </c>
      <c r="C51" s="26" t="s">
        <v>684</v>
      </c>
      <c r="D51" s="552" t="s">
        <v>685</v>
      </c>
      <c r="E51" s="37">
        <v>20583</v>
      </c>
      <c r="F51" s="37">
        <v>20583</v>
      </c>
      <c r="G51" s="37">
        <v>2892</v>
      </c>
      <c r="H51" s="37">
        <v>2892</v>
      </c>
      <c r="I51" s="37">
        <v>0</v>
      </c>
      <c r="J51" s="37"/>
      <c r="K51" s="37">
        <v>2217</v>
      </c>
      <c r="L51" s="37">
        <v>532</v>
      </c>
      <c r="M51" s="37">
        <v>143</v>
      </c>
      <c r="N51" s="37"/>
      <c r="O51" s="37"/>
      <c r="P51" s="37"/>
      <c r="Q51" s="37"/>
      <c r="R51" s="37"/>
      <c r="S51" s="37"/>
      <c r="T51" s="37"/>
      <c r="U51" s="37"/>
      <c r="V51" s="552" t="s">
        <v>91</v>
      </c>
      <c r="W51" s="552"/>
      <c r="X51" s="552"/>
      <c r="Y51" s="552"/>
    </row>
    <row r="52" spans="1:25" s="512" customFormat="1" ht="11.1" customHeight="1" x14ac:dyDescent="0.15">
      <c r="A52" s="556">
        <v>31868</v>
      </c>
      <c r="B52" s="26" t="s">
        <v>95</v>
      </c>
      <c r="C52" s="26" t="s">
        <v>671</v>
      </c>
      <c r="D52" s="552" t="s">
        <v>246</v>
      </c>
      <c r="E52" s="37">
        <v>42422</v>
      </c>
      <c r="F52" s="37">
        <v>42250</v>
      </c>
      <c r="G52" s="37">
        <v>11581</v>
      </c>
      <c r="H52" s="37">
        <v>11518</v>
      </c>
      <c r="I52" s="37">
        <v>63</v>
      </c>
      <c r="J52" s="37"/>
      <c r="K52" s="37">
        <v>10068</v>
      </c>
      <c r="L52" s="37">
        <v>0</v>
      </c>
      <c r="M52" s="37">
        <v>1450</v>
      </c>
      <c r="N52" s="37"/>
      <c r="O52" s="37"/>
      <c r="P52" s="37"/>
      <c r="Q52" s="37"/>
      <c r="R52" s="37"/>
      <c r="S52" s="37"/>
      <c r="T52" s="37"/>
      <c r="U52" s="37"/>
      <c r="V52" s="552" t="s">
        <v>91</v>
      </c>
      <c r="W52" s="552"/>
      <c r="X52" s="552"/>
      <c r="Y52" s="552"/>
    </row>
    <row r="53" spans="1:25" s="512" customFormat="1" ht="11.1" customHeight="1" x14ac:dyDescent="0.15">
      <c r="A53" s="556">
        <v>31868</v>
      </c>
      <c r="B53" s="26" t="s">
        <v>95</v>
      </c>
      <c r="C53" s="26" t="s">
        <v>672</v>
      </c>
      <c r="D53" s="552" t="s">
        <v>456</v>
      </c>
      <c r="E53" s="37">
        <v>35569</v>
      </c>
      <c r="F53" s="37">
        <v>35569</v>
      </c>
      <c r="G53" s="37">
        <v>8233</v>
      </c>
      <c r="H53" s="37">
        <v>8233</v>
      </c>
      <c r="I53" s="37">
        <v>0</v>
      </c>
      <c r="J53" s="37"/>
      <c r="K53" s="37">
        <v>6911</v>
      </c>
      <c r="L53" s="37">
        <v>996</v>
      </c>
      <c r="M53" s="37">
        <v>326</v>
      </c>
      <c r="N53" s="37"/>
      <c r="O53" s="37"/>
      <c r="P53" s="37"/>
      <c r="Q53" s="37"/>
      <c r="R53" s="37"/>
      <c r="S53" s="37"/>
      <c r="T53" s="37"/>
      <c r="U53" s="37"/>
      <c r="V53" s="552" t="s">
        <v>91</v>
      </c>
      <c r="W53" s="552"/>
      <c r="X53" s="552"/>
      <c r="Y53" s="552"/>
    </row>
    <row r="54" spans="1:25" s="512" customFormat="1" ht="11.1" customHeight="1" x14ac:dyDescent="0.15">
      <c r="A54" s="556">
        <v>31868</v>
      </c>
      <c r="B54" s="26" t="s">
        <v>95</v>
      </c>
      <c r="C54" s="26" t="s">
        <v>673</v>
      </c>
      <c r="D54" s="552" t="s">
        <v>674</v>
      </c>
      <c r="E54" s="37">
        <v>14360</v>
      </c>
      <c r="F54" s="37">
        <v>14360</v>
      </c>
      <c r="G54" s="37">
        <v>3796</v>
      </c>
      <c r="H54" s="37">
        <v>2838</v>
      </c>
      <c r="I54" s="37">
        <v>958</v>
      </c>
      <c r="J54" s="37"/>
      <c r="K54" s="37">
        <v>2242</v>
      </c>
      <c r="L54" s="37">
        <v>439</v>
      </c>
      <c r="M54" s="37">
        <v>157</v>
      </c>
      <c r="N54" s="37"/>
      <c r="O54" s="37"/>
      <c r="P54" s="37"/>
      <c r="Q54" s="37"/>
      <c r="R54" s="37"/>
      <c r="S54" s="37"/>
      <c r="T54" s="37"/>
      <c r="U54" s="37"/>
      <c r="V54" s="552" t="s">
        <v>91</v>
      </c>
      <c r="W54" s="552"/>
      <c r="X54" s="552"/>
      <c r="Y54" s="552"/>
    </row>
    <row r="55" spans="1:25" s="512" customFormat="1" ht="11.1" customHeight="1" x14ac:dyDescent="0.15">
      <c r="A55" s="556">
        <v>31868</v>
      </c>
      <c r="B55" s="26" t="s">
        <v>95</v>
      </c>
      <c r="C55" s="26" t="s">
        <v>675</v>
      </c>
      <c r="D55" s="552" t="s">
        <v>676</v>
      </c>
      <c r="E55" s="37">
        <v>2368</v>
      </c>
      <c r="F55" s="37">
        <v>2350</v>
      </c>
      <c r="G55" s="37">
        <v>433</v>
      </c>
      <c r="H55" s="37">
        <v>426</v>
      </c>
      <c r="I55" s="37">
        <v>7</v>
      </c>
      <c r="J55" s="37"/>
      <c r="K55" s="37">
        <v>310</v>
      </c>
      <c r="L55" s="37">
        <v>0</v>
      </c>
      <c r="M55" s="37">
        <v>116</v>
      </c>
      <c r="N55" s="37"/>
      <c r="O55" s="37"/>
      <c r="P55" s="37"/>
      <c r="Q55" s="37"/>
      <c r="R55" s="37"/>
      <c r="S55" s="37"/>
      <c r="T55" s="37"/>
      <c r="U55" s="37"/>
      <c r="V55" s="552" t="s">
        <v>91</v>
      </c>
      <c r="W55" s="552"/>
      <c r="X55" s="552"/>
      <c r="Y55" s="552"/>
    </row>
    <row r="56" spans="1:25" s="512" customFormat="1" ht="11.1" customHeight="1" x14ac:dyDescent="0.15">
      <c r="A56" s="556">
        <v>31868</v>
      </c>
      <c r="B56" s="26" t="s">
        <v>95</v>
      </c>
      <c r="C56" s="26" t="s">
        <v>677</v>
      </c>
      <c r="D56" s="552" t="s">
        <v>678</v>
      </c>
      <c r="E56" s="37">
        <v>20763</v>
      </c>
      <c r="F56" s="37">
        <v>20763</v>
      </c>
      <c r="G56" s="37">
        <v>7382</v>
      </c>
      <c r="H56" s="37">
        <v>6895</v>
      </c>
      <c r="I56" s="37">
        <v>487</v>
      </c>
      <c r="J56" s="37"/>
      <c r="K56" s="37">
        <v>6190</v>
      </c>
      <c r="L56" s="37">
        <v>0</v>
      </c>
      <c r="M56" s="37">
        <v>705</v>
      </c>
      <c r="N56" s="37"/>
      <c r="O56" s="37"/>
      <c r="P56" s="37"/>
      <c r="Q56" s="37"/>
      <c r="R56" s="37"/>
      <c r="S56" s="37"/>
      <c r="T56" s="37"/>
      <c r="U56" s="37"/>
      <c r="V56" s="552" t="s">
        <v>91</v>
      </c>
      <c r="W56" s="552"/>
      <c r="X56" s="552"/>
      <c r="Y56" s="552"/>
    </row>
    <row r="57" spans="1:25" s="512" customFormat="1" ht="11.1" customHeight="1" x14ac:dyDescent="0.15">
      <c r="A57" s="556">
        <v>31868</v>
      </c>
      <c r="B57" s="26" t="s">
        <v>95</v>
      </c>
      <c r="C57" s="26" t="s">
        <v>679</v>
      </c>
      <c r="D57" s="552" t="s">
        <v>680</v>
      </c>
      <c r="E57" s="37">
        <v>13772</v>
      </c>
      <c r="F57" s="37">
        <v>13772</v>
      </c>
      <c r="G57" s="37">
        <v>4599</v>
      </c>
      <c r="H57" s="37">
        <v>3211</v>
      </c>
      <c r="I57" s="37">
        <v>1388</v>
      </c>
      <c r="J57" s="37"/>
      <c r="K57" s="37">
        <v>2688</v>
      </c>
      <c r="L57" s="37">
        <v>385</v>
      </c>
      <c r="M57" s="37">
        <v>138</v>
      </c>
      <c r="N57" s="37"/>
      <c r="O57" s="37"/>
      <c r="P57" s="37"/>
      <c r="Q57" s="37"/>
      <c r="R57" s="37"/>
      <c r="S57" s="37"/>
      <c r="T57" s="37"/>
      <c r="U57" s="37"/>
      <c r="V57" s="552" t="s">
        <v>91</v>
      </c>
      <c r="W57" s="552"/>
      <c r="X57" s="552"/>
      <c r="Y57" s="552"/>
    </row>
    <row r="58" spans="1:25" s="512" customFormat="1" ht="11.1" customHeight="1" x14ac:dyDescent="0.15">
      <c r="A58" s="556">
        <v>31868</v>
      </c>
      <c r="B58" s="26" t="s">
        <v>95</v>
      </c>
      <c r="C58" s="26" t="s">
        <v>681</v>
      </c>
      <c r="D58" s="552" t="s">
        <v>682</v>
      </c>
      <c r="E58" s="37">
        <v>35932</v>
      </c>
      <c r="F58" s="37">
        <v>35932</v>
      </c>
      <c r="G58" s="37">
        <v>11028</v>
      </c>
      <c r="H58" s="37">
        <v>11028</v>
      </c>
      <c r="I58" s="37">
        <v>0</v>
      </c>
      <c r="J58" s="37"/>
      <c r="K58" s="37">
        <v>9259</v>
      </c>
      <c r="L58" s="37">
        <v>1702</v>
      </c>
      <c r="M58" s="37">
        <v>67</v>
      </c>
      <c r="N58" s="37"/>
      <c r="O58" s="37"/>
      <c r="P58" s="37"/>
      <c r="Q58" s="37"/>
      <c r="R58" s="37"/>
      <c r="S58" s="37"/>
      <c r="T58" s="37"/>
      <c r="U58" s="37"/>
      <c r="V58" s="552" t="s">
        <v>91</v>
      </c>
      <c r="W58" s="552"/>
      <c r="X58" s="552"/>
      <c r="Y58" s="552"/>
    </row>
    <row r="59" spans="1:25" s="512" customFormat="1" ht="11.1" customHeight="1" x14ac:dyDescent="0.15">
      <c r="A59" s="556">
        <v>31868</v>
      </c>
      <c r="B59" s="26" t="s">
        <v>95</v>
      </c>
      <c r="C59" s="26" t="s">
        <v>683</v>
      </c>
      <c r="D59" s="552" t="s">
        <v>577</v>
      </c>
      <c r="E59" s="37">
        <v>11177</v>
      </c>
      <c r="F59" s="37">
        <v>11177</v>
      </c>
      <c r="G59" s="37">
        <v>3446</v>
      </c>
      <c r="H59" s="37">
        <v>1456</v>
      </c>
      <c r="I59" s="37">
        <v>1990</v>
      </c>
      <c r="J59" s="37"/>
      <c r="K59" s="37">
        <v>1088</v>
      </c>
      <c r="L59" s="37">
        <v>271</v>
      </c>
      <c r="M59" s="37">
        <v>97</v>
      </c>
      <c r="N59" s="37"/>
      <c r="O59" s="37"/>
      <c r="P59" s="37"/>
      <c r="Q59" s="37"/>
      <c r="R59" s="37"/>
      <c r="S59" s="37"/>
      <c r="T59" s="37"/>
      <c r="U59" s="37"/>
      <c r="V59" s="552" t="s">
        <v>91</v>
      </c>
      <c r="W59" s="552"/>
      <c r="X59" s="552"/>
      <c r="Y59" s="552"/>
    </row>
    <row r="60" spans="1:25" s="512" customFormat="1" ht="11.1" customHeight="1" x14ac:dyDescent="0.15">
      <c r="A60" s="556">
        <v>31868</v>
      </c>
      <c r="B60" s="26" t="s">
        <v>95</v>
      </c>
      <c r="C60" s="26" t="s">
        <v>684</v>
      </c>
      <c r="D60" s="552" t="s">
        <v>685</v>
      </c>
      <c r="E60" s="37">
        <v>20430</v>
      </c>
      <c r="F60" s="37">
        <v>20430</v>
      </c>
      <c r="G60" s="37">
        <v>2780</v>
      </c>
      <c r="H60" s="37">
        <v>2780</v>
      </c>
      <c r="I60" s="37">
        <v>0</v>
      </c>
      <c r="J60" s="37"/>
      <c r="K60" s="37">
        <v>2132</v>
      </c>
      <c r="L60" s="37">
        <v>488</v>
      </c>
      <c r="M60" s="37">
        <v>160</v>
      </c>
      <c r="N60" s="37"/>
      <c r="O60" s="37"/>
      <c r="P60" s="37"/>
      <c r="Q60" s="37"/>
      <c r="R60" s="37"/>
      <c r="S60" s="37"/>
      <c r="T60" s="37"/>
      <c r="U60" s="37"/>
      <c r="V60" s="552" t="s">
        <v>91</v>
      </c>
      <c r="W60" s="552"/>
      <c r="X60" s="552"/>
      <c r="Y60" s="552"/>
    </row>
    <row r="61" spans="1:25" s="512" customFormat="1" ht="11.1" customHeight="1" x14ac:dyDescent="0.15">
      <c r="A61" s="556">
        <v>32234</v>
      </c>
      <c r="B61" s="26" t="s">
        <v>96</v>
      </c>
      <c r="C61" s="26" t="s">
        <v>671</v>
      </c>
      <c r="D61" s="552" t="s">
        <v>246</v>
      </c>
      <c r="E61" s="37">
        <v>42415</v>
      </c>
      <c r="F61" s="37">
        <v>42243</v>
      </c>
      <c r="G61" s="37">
        <v>11835</v>
      </c>
      <c r="H61" s="37">
        <v>11772</v>
      </c>
      <c r="I61" s="37">
        <v>63</v>
      </c>
      <c r="J61" s="37"/>
      <c r="K61" s="37">
        <v>10437</v>
      </c>
      <c r="L61" s="37">
        <v>0</v>
      </c>
      <c r="M61" s="37">
        <v>1335</v>
      </c>
      <c r="N61" s="37"/>
      <c r="O61" s="37"/>
      <c r="P61" s="37"/>
      <c r="Q61" s="37"/>
      <c r="R61" s="37"/>
      <c r="S61" s="37"/>
      <c r="T61" s="37"/>
      <c r="U61" s="37"/>
      <c r="V61" s="552" t="s">
        <v>91</v>
      </c>
      <c r="W61" s="552"/>
      <c r="X61" s="552"/>
      <c r="Y61" s="552"/>
    </row>
    <row r="62" spans="1:25" s="512" customFormat="1" ht="11.1" customHeight="1" x14ac:dyDescent="0.15">
      <c r="A62" s="556">
        <v>32234</v>
      </c>
      <c r="B62" s="26" t="s">
        <v>96</v>
      </c>
      <c r="C62" s="26" t="s">
        <v>672</v>
      </c>
      <c r="D62" s="552" t="s">
        <v>456</v>
      </c>
      <c r="E62" s="37">
        <v>35618</v>
      </c>
      <c r="F62" s="37">
        <v>35618</v>
      </c>
      <c r="G62" s="37">
        <v>6543</v>
      </c>
      <c r="H62" s="37">
        <v>6543</v>
      </c>
      <c r="I62" s="37">
        <v>0</v>
      </c>
      <c r="J62" s="37"/>
      <c r="K62" s="37">
        <v>5588</v>
      </c>
      <c r="L62" s="37">
        <v>0</v>
      </c>
      <c r="M62" s="37">
        <v>955</v>
      </c>
      <c r="N62" s="37"/>
      <c r="O62" s="37"/>
      <c r="P62" s="37"/>
      <c r="Q62" s="37"/>
      <c r="R62" s="37"/>
      <c r="S62" s="37"/>
      <c r="T62" s="37"/>
      <c r="U62" s="37"/>
      <c r="V62" s="552" t="s">
        <v>91</v>
      </c>
      <c r="W62" s="552"/>
      <c r="X62" s="552"/>
      <c r="Y62" s="552"/>
    </row>
    <row r="63" spans="1:25" s="512" customFormat="1" ht="11.1" customHeight="1" x14ac:dyDescent="0.15">
      <c r="A63" s="556">
        <v>32234</v>
      </c>
      <c r="B63" s="26" t="s">
        <v>96</v>
      </c>
      <c r="C63" s="26" t="s">
        <v>673</v>
      </c>
      <c r="D63" s="552" t="s">
        <v>674</v>
      </c>
      <c r="E63" s="37">
        <v>14376</v>
      </c>
      <c r="F63" s="37">
        <v>14376</v>
      </c>
      <c r="G63" s="37">
        <v>3822</v>
      </c>
      <c r="H63" s="37">
        <v>3142</v>
      </c>
      <c r="I63" s="37">
        <v>680</v>
      </c>
      <c r="J63" s="37"/>
      <c r="K63" s="37">
        <v>2495</v>
      </c>
      <c r="L63" s="37">
        <v>0</v>
      </c>
      <c r="M63" s="37">
        <v>647</v>
      </c>
      <c r="N63" s="37"/>
      <c r="O63" s="37"/>
      <c r="P63" s="37"/>
      <c r="Q63" s="37"/>
      <c r="R63" s="37"/>
      <c r="S63" s="37"/>
      <c r="T63" s="37"/>
      <c r="U63" s="37"/>
      <c r="V63" s="552" t="s">
        <v>91</v>
      </c>
      <c r="W63" s="552"/>
      <c r="X63" s="552"/>
      <c r="Y63" s="552"/>
    </row>
    <row r="64" spans="1:25" s="512" customFormat="1" ht="11.1" customHeight="1" x14ac:dyDescent="0.15">
      <c r="A64" s="556">
        <v>32234</v>
      </c>
      <c r="B64" s="26" t="s">
        <v>96</v>
      </c>
      <c r="C64" s="26" t="s">
        <v>675</v>
      </c>
      <c r="D64" s="552" t="s">
        <v>676</v>
      </c>
      <c r="E64" s="37">
        <v>2299</v>
      </c>
      <c r="F64" s="37">
        <v>2281</v>
      </c>
      <c r="G64" s="37">
        <v>428</v>
      </c>
      <c r="H64" s="37">
        <v>421</v>
      </c>
      <c r="I64" s="37">
        <v>7</v>
      </c>
      <c r="J64" s="37"/>
      <c r="K64" s="37">
        <v>334</v>
      </c>
      <c r="L64" s="37">
        <v>0</v>
      </c>
      <c r="M64" s="37">
        <v>87</v>
      </c>
      <c r="N64" s="37"/>
      <c r="O64" s="37"/>
      <c r="P64" s="37"/>
      <c r="Q64" s="37"/>
      <c r="R64" s="37"/>
      <c r="S64" s="37"/>
      <c r="T64" s="37"/>
      <c r="U64" s="37"/>
      <c r="V64" s="552" t="s">
        <v>91</v>
      </c>
      <c r="W64" s="552"/>
      <c r="X64" s="552"/>
      <c r="Y64" s="552"/>
    </row>
    <row r="65" spans="1:25" s="512" customFormat="1" ht="11.1" customHeight="1" x14ac:dyDescent="0.15">
      <c r="A65" s="556">
        <v>32234</v>
      </c>
      <c r="B65" s="26" t="s">
        <v>96</v>
      </c>
      <c r="C65" s="26" t="s">
        <v>677</v>
      </c>
      <c r="D65" s="552" t="s">
        <v>678</v>
      </c>
      <c r="E65" s="37">
        <v>20879</v>
      </c>
      <c r="F65" s="37">
        <v>20879</v>
      </c>
      <c r="G65" s="37">
        <v>7914</v>
      </c>
      <c r="H65" s="37">
        <v>7604</v>
      </c>
      <c r="I65" s="37">
        <v>310</v>
      </c>
      <c r="J65" s="37"/>
      <c r="K65" s="37">
        <v>6881</v>
      </c>
      <c r="L65" s="37">
        <v>0</v>
      </c>
      <c r="M65" s="37">
        <v>723</v>
      </c>
      <c r="N65" s="37"/>
      <c r="O65" s="37"/>
      <c r="P65" s="37"/>
      <c r="Q65" s="37"/>
      <c r="R65" s="37"/>
      <c r="S65" s="37"/>
      <c r="T65" s="37"/>
      <c r="U65" s="37"/>
      <c r="V65" s="552" t="s">
        <v>91</v>
      </c>
      <c r="W65" s="552"/>
      <c r="X65" s="552"/>
      <c r="Y65" s="552"/>
    </row>
    <row r="66" spans="1:25" s="512" customFormat="1" ht="11.1" customHeight="1" x14ac:dyDescent="0.15">
      <c r="A66" s="556">
        <v>32234</v>
      </c>
      <c r="B66" s="26" t="s">
        <v>96</v>
      </c>
      <c r="C66" s="26" t="s">
        <v>679</v>
      </c>
      <c r="D66" s="552" t="s">
        <v>680</v>
      </c>
      <c r="E66" s="37">
        <v>13771</v>
      </c>
      <c r="F66" s="37">
        <v>13771</v>
      </c>
      <c r="G66" s="37">
        <v>4477</v>
      </c>
      <c r="H66" s="37">
        <v>3098</v>
      </c>
      <c r="I66" s="37">
        <v>1379</v>
      </c>
      <c r="J66" s="37"/>
      <c r="K66" s="37">
        <v>2567</v>
      </c>
      <c r="L66" s="37">
        <v>0</v>
      </c>
      <c r="M66" s="37">
        <v>531</v>
      </c>
      <c r="N66" s="37"/>
      <c r="O66" s="37"/>
      <c r="P66" s="37"/>
      <c r="Q66" s="37"/>
      <c r="R66" s="37"/>
      <c r="S66" s="37"/>
      <c r="T66" s="37"/>
      <c r="U66" s="37"/>
      <c r="V66" s="552" t="s">
        <v>91</v>
      </c>
      <c r="W66" s="552"/>
      <c r="X66" s="552"/>
      <c r="Y66" s="552"/>
    </row>
    <row r="67" spans="1:25" s="512" customFormat="1" ht="11.1" customHeight="1" x14ac:dyDescent="0.15">
      <c r="A67" s="556">
        <v>32234</v>
      </c>
      <c r="B67" s="26" t="s">
        <v>96</v>
      </c>
      <c r="C67" s="26" t="s">
        <v>681</v>
      </c>
      <c r="D67" s="552" t="s">
        <v>682</v>
      </c>
      <c r="E67" s="37">
        <v>36623</v>
      </c>
      <c r="F67" s="37">
        <v>36623</v>
      </c>
      <c r="G67" s="37">
        <v>11482</v>
      </c>
      <c r="H67" s="37">
        <v>11482</v>
      </c>
      <c r="I67" s="37">
        <v>0</v>
      </c>
      <c r="J67" s="37"/>
      <c r="K67" s="37">
        <v>9799</v>
      </c>
      <c r="L67" s="37">
        <v>1599</v>
      </c>
      <c r="M67" s="37">
        <v>84</v>
      </c>
      <c r="N67" s="37"/>
      <c r="O67" s="37"/>
      <c r="P67" s="37"/>
      <c r="Q67" s="37"/>
      <c r="R67" s="37"/>
      <c r="S67" s="37"/>
      <c r="T67" s="37"/>
      <c r="U67" s="37"/>
      <c r="V67" s="552" t="s">
        <v>91</v>
      </c>
      <c r="W67" s="552"/>
      <c r="X67" s="552"/>
      <c r="Y67" s="552"/>
    </row>
    <row r="68" spans="1:25" s="512" customFormat="1" ht="11.1" customHeight="1" x14ac:dyDescent="0.15">
      <c r="A68" s="556">
        <v>32234</v>
      </c>
      <c r="B68" s="26" t="s">
        <v>96</v>
      </c>
      <c r="C68" s="26" t="s">
        <v>683</v>
      </c>
      <c r="D68" s="552" t="s">
        <v>577</v>
      </c>
      <c r="E68" s="37">
        <v>11077</v>
      </c>
      <c r="F68" s="37">
        <v>11077</v>
      </c>
      <c r="G68" s="37">
        <v>3560</v>
      </c>
      <c r="H68" s="37">
        <v>1592</v>
      </c>
      <c r="I68" s="37">
        <v>1968</v>
      </c>
      <c r="J68" s="37"/>
      <c r="K68" s="37">
        <v>1213</v>
      </c>
      <c r="L68" s="37">
        <v>0</v>
      </c>
      <c r="M68" s="37">
        <v>379</v>
      </c>
      <c r="N68" s="37"/>
      <c r="O68" s="37"/>
      <c r="P68" s="37"/>
      <c r="Q68" s="37"/>
      <c r="R68" s="37"/>
      <c r="S68" s="37"/>
      <c r="T68" s="37"/>
      <c r="U68" s="37"/>
      <c r="V68" s="552" t="s">
        <v>91</v>
      </c>
      <c r="W68" s="552"/>
      <c r="X68" s="552"/>
      <c r="Y68" s="552"/>
    </row>
    <row r="69" spans="1:25" s="512" customFormat="1" ht="11.1" customHeight="1" x14ac:dyDescent="0.15">
      <c r="A69" s="556">
        <v>32234</v>
      </c>
      <c r="B69" s="26" t="s">
        <v>96</v>
      </c>
      <c r="C69" s="26" t="s">
        <v>684</v>
      </c>
      <c r="D69" s="552" t="s">
        <v>685</v>
      </c>
      <c r="E69" s="37">
        <v>20239</v>
      </c>
      <c r="F69" s="37">
        <v>20239</v>
      </c>
      <c r="G69" s="37">
        <v>2150</v>
      </c>
      <c r="H69" s="37">
        <v>2150</v>
      </c>
      <c r="I69" s="37">
        <v>0</v>
      </c>
      <c r="J69" s="37"/>
      <c r="K69" s="37">
        <v>1654</v>
      </c>
      <c r="L69" s="37">
        <v>0</v>
      </c>
      <c r="M69" s="37">
        <v>496</v>
      </c>
      <c r="N69" s="37"/>
      <c r="O69" s="37"/>
      <c r="P69" s="37"/>
      <c r="Q69" s="37"/>
      <c r="R69" s="37"/>
      <c r="S69" s="37"/>
      <c r="T69" s="37"/>
      <c r="U69" s="37"/>
      <c r="V69" s="552" t="s">
        <v>91</v>
      </c>
      <c r="W69" s="552"/>
      <c r="X69" s="552"/>
      <c r="Y69" s="552"/>
    </row>
    <row r="70" spans="1:25" s="512" customFormat="1" ht="11.1" customHeight="1" x14ac:dyDescent="0.15">
      <c r="A70" s="556">
        <v>32599</v>
      </c>
      <c r="B70" s="26" t="s">
        <v>97</v>
      </c>
      <c r="C70" s="26" t="s">
        <v>671</v>
      </c>
      <c r="D70" s="552" t="s">
        <v>246</v>
      </c>
      <c r="E70" s="37">
        <v>42296</v>
      </c>
      <c r="F70" s="37">
        <v>42285</v>
      </c>
      <c r="G70" s="37">
        <v>12124</v>
      </c>
      <c r="H70" s="37">
        <v>12061</v>
      </c>
      <c r="I70" s="37">
        <v>63</v>
      </c>
      <c r="J70" s="37"/>
      <c r="K70" s="37">
        <v>12061</v>
      </c>
      <c r="L70" s="37">
        <v>0</v>
      </c>
      <c r="M70" s="37">
        <v>0</v>
      </c>
      <c r="N70" s="37"/>
      <c r="O70" s="37"/>
      <c r="P70" s="37"/>
      <c r="Q70" s="37"/>
      <c r="R70" s="37"/>
      <c r="S70" s="37"/>
      <c r="T70" s="37"/>
      <c r="U70" s="37"/>
      <c r="V70" s="552" t="s">
        <v>91</v>
      </c>
      <c r="W70" s="552"/>
      <c r="X70" s="552"/>
      <c r="Y70" s="552"/>
    </row>
    <row r="71" spans="1:25" s="512" customFormat="1" ht="11.1" customHeight="1" x14ac:dyDescent="0.15">
      <c r="A71" s="556">
        <v>32599</v>
      </c>
      <c r="B71" s="26" t="s">
        <v>97</v>
      </c>
      <c r="C71" s="26" t="s">
        <v>672</v>
      </c>
      <c r="D71" s="552" t="s">
        <v>456</v>
      </c>
      <c r="E71" s="37">
        <v>35540</v>
      </c>
      <c r="F71" s="37">
        <v>35540</v>
      </c>
      <c r="G71" s="37">
        <v>6854</v>
      </c>
      <c r="H71" s="37">
        <v>6854</v>
      </c>
      <c r="I71" s="37">
        <v>0</v>
      </c>
      <c r="J71" s="37"/>
      <c r="K71" s="37">
        <v>5794</v>
      </c>
      <c r="L71" s="37">
        <v>0</v>
      </c>
      <c r="M71" s="37">
        <v>1060</v>
      </c>
      <c r="N71" s="37"/>
      <c r="O71" s="37"/>
      <c r="P71" s="37"/>
      <c r="Q71" s="37"/>
      <c r="R71" s="37"/>
      <c r="S71" s="37"/>
      <c r="T71" s="37"/>
      <c r="U71" s="37"/>
      <c r="V71" s="552" t="s">
        <v>91</v>
      </c>
      <c r="W71" s="552"/>
      <c r="X71" s="552"/>
      <c r="Y71" s="552"/>
    </row>
    <row r="72" spans="1:25" s="512" customFormat="1" ht="11.1" customHeight="1" x14ac:dyDescent="0.15">
      <c r="A72" s="556">
        <v>32599</v>
      </c>
      <c r="B72" s="26" t="s">
        <v>97</v>
      </c>
      <c r="C72" s="26" t="s">
        <v>673</v>
      </c>
      <c r="D72" s="552" t="s">
        <v>674</v>
      </c>
      <c r="E72" s="37">
        <v>14367</v>
      </c>
      <c r="F72" s="37">
        <v>14367</v>
      </c>
      <c r="G72" s="37">
        <v>4001</v>
      </c>
      <c r="H72" s="37">
        <v>3327</v>
      </c>
      <c r="I72" s="37">
        <v>674</v>
      </c>
      <c r="J72" s="37"/>
      <c r="K72" s="37">
        <v>2641</v>
      </c>
      <c r="L72" s="37">
        <v>0</v>
      </c>
      <c r="M72" s="37">
        <v>686</v>
      </c>
      <c r="N72" s="37"/>
      <c r="O72" s="37"/>
      <c r="P72" s="37"/>
      <c r="Q72" s="37"/>
      <c r="R72" s="37"/>
      <c r="S72" s="37"/>
      <c r="T72" s="37"/>
      <c r="U72" s="37"/>
      <c r="V72" s="552" t="s">
        <v>91</v>
      </c>
      <c r="W72" s="552"/>
      <c r="X72" s="552"/>
      <c r="Y72" s="552"/>
    </row>
    <row r="73" spans="1:25" s="512" customFormat="1" ht="11.1" customHeight="1" x14ac:dyDescent="0.15">
      <c r="A73" s="556">
        <v>32599</v>
      </c>
      <c r="B73" s="26" t="s">
        <v>97</v>
      </c>
      <c r="C73" s="26" t="s">
        <v>675</v>
      </c>
      <c r="D73" s="552" t="s">
        <v>676</v>
      </c>
      <c r="E73" s="37">
        <v>2249</v>
      </c>
      <c r="F73" s="37">
        <v>2231</v>
      </c>
      <c r="G73" s="37">
        <v>378</v>
      </c>
      <c r="H73" s="37">
        <v>371</v>
      </c>
      <c r="I73" s="37">
        <v>7</v>
      </c>
      <c r="J73" s="37"/>
      <c r="K73" s="37">
        <v>371</v>
      </c>
      <c r="L73" s="37">
        <v>0</v>
      </c>
      <c r="M73" s="37">
        <v>0</v>
      </c>
      <c r="N73" s="37"/>
      <c r="O73" s="37"/>
      <c r="P73" s="37"/>
      <c r="Q73" s="37"/>
      <c r="R73" s="37"/>
      <c r="S73" s="37"/>
      <c r="T73" s="37"/>
      <c r="U73" s="37"/>
      <c r="V73" s="552" t="s">
        <v>91</v>
      </c>
      <c r="W73" s="552"/>
      <c r="X73" s="552"/>
      <c r="Y73" s="552"/>
    </row>
    <row r="74" spans="1:25" s="512" customFormat="1" ht="11.1" customHeight="1" x14ac:dyDescent="0.15">
      <c r="A74" s="556">
        <v>32599</v>
      </c>
      <c r="B74" s="26" t="s">
        <v>97</v>
      </c>
      <c r="C74" s="26" t="s">
        <v>677</v>
      </c>
      <c r="D74" s="552" t="s">
        <v>678</v>
      </c>
      <c r="E74" s="37">
        <v>20964</v>
      </c>
      <c r="F74" s="37">
        <v>20964</v>
      </c>
      <c r="G74" s="37">
        <v>7768</v>
      </c>
      <c r="H74" s="37">
        <v>7613</v>
      </c>
      <c r="I74" s="37">
        <v>155</v>
      </c>
      <c r="J74" s="37"/>
      <c r="K74" s="37">
        <v>6858</v>
      </c>
      <c r="L74" s="37">
        <v>0</v>
      </c>
      <c r="M74" s="37">
        <v>755</v>
      </c>
      <c r="N74" s="37"/>
      <c r="O74" s="37"/>
      <c r="P74" s="37"/>
      <c r="Q74" s="37"/>
      <c r="R74" s="37"/>
      <c r="S74" s="37"/>
      <c r="T74" s="37"/>
      <c r="U74" s="37"/>
      <c r="V74" s="552" t="s">
        <v>91</v>
      </c>
      <c r="W74" s="552"/>
      <c r="X74" s="552"/>
      <c r="Y74" s="552"/>
    </row>
    <row r="75" spans="1:25" s="512" customFormat="1" ht="11.1" customHeight="1" x14ac:dyDescent="0.15">
      <c r="A75" s="556">
        <v>32599</v>
      </c>
      <c r="B75" s="26" t="s">
        <v>97</v>
      </c>
      <c r="C75" s="26" t="s">
        <v>679</v>
      </c>
      <c r="D75" s="552" t="s">
        <v>680</v>
      </c>
      <c r="E75" s="37">
        <v>13673</v>
      </c>
      <c r="F75" s="37">
        <v>13673</v>
      </c>
      <c r="G75" s="37">
        <v>4991</v>
      </c>
      <c r="H75" s="37">
        <v>2946</v>
      </c>
      <c r="I75" s="37">
        <v>2045</v>
      </c>
      <c r="J75" s="37"/>
      <c r="K75" s="37">
        <v>2395</v>
      </c>
      <c r="L75" s="37">
        <v>0</v>
      </c>
      <c r="M75" s="37">
        <v>551</v>
      </c>
      <c r="N75" s="37"/>
      <c r="O75" s="37"/>
      <c r="P75" s="37"/>
      <c r="Q75" s="37"/>
      <c r="R75" s="37"/>
      <c r="S75" s="37"/>
      <c r="T75" s="37"/>
      <c r="U75" s="37"/>
      <c r="V75" s="552" t="s">
        <v>91</v>
      </c>
      <c r="W75" s="552"/>
      <c r="X75" s="552"/>
      <c r="Y75" s="552"/>
    </row>
    <row r="76" spans="1:25" s="512" customFormat="1" ht="11.1" customHeight="1" x14ac:dyDescent="0.15">
      <c r="A76" s="556">
        <v>32599</v>
      </c>
      <c r="B76" s="26" t="s">
        <v>97</v>
      </c>
      <c r="C76" s="26" t="s">
        <v>681</v>
      </c>
      <c r="D76" s="552" t="s">
        <v>682</v>
      </c>
      <c r="E76" s="37">
        <v>36959</v>
      </c>
      <c r="F76" s="37">
        <v>36959</v>
      </c>
      <c r="G76" s="37">
        <v>11975</v>
      </c>
      <c r="H76" s="37">
        <v>11975</v>
      </c>
      <c r="I76" s="37">
        <v>0</v>
      </c>
      <c r="J76" s="37"/>
      <c r="K76" s="37">
        <v>10444</v>
      </c>
      <c r="L76" s="37">
        <v>731</v>
      </c>
      <c r="M76" s="37">
        <v>800</v>
      </c>
      <c r="N76" s="37"/>
      <c r="O76" s="37"/>
      <c r="P76" s="37"/>
      <c r="Q76" s="37"/>
      <c r="R76" s="37"/>
      <c r="S76" s="37"/>
      <c r="T76" s="37"/>
      <c r="U76" s="37"/>
      <c r="V76" s="552" t="s">
        <v>91</v>
      </c>
      <c r="W76" s="552"/>
      <c r="X76" s="552"/>
      <c r="Y76" s="552"/>
    </row>
    <row r="77" spans="1:25" s="512" customFormat="1" ht="11.1" customHeight="1" x14ac:dyDescent="0.15">
      <c r="A77" s="556">
        <v>32599</v>
      </c>
      <c r="B77" s="26" t="s">
        <v>97</v>
      </c>
      <c r="C77" s="26" t="s">
        <v>683</v>
      </c>
      <c r="D77" s="552" t="s">
        <v>577</v>
      </c>
      <c r="E77" s="37">
        <v>11050</v>
      </c>
      <c r="F77" s="37">
        <v>11050</v>
      </c>
      <c r="G77" s="37">
        <v>3480</v>
      </c>
      <c r="H77" s="37">
        <v>1508</v>
      </c>
      <c r="I77" s="37">
        <v>1972</v>
      </c>
      <c r="J77" s="37"/>
      <c r="K77" s="37">
        <v>1128</v>
      </c>
      <c r="L77" s="37">
        <v>0</v>
      </c>
      <c r="M77" s="37">
        <v>380</v>
      </c>
      <c r="N77" s="37"/>
      <c r="O77" s="37"/>
      <c r="P77" s="37"/>
      <c r="Q77" s="37"/>
      <c r="R77" s="37"/>
      <c r="S77" s="37"/>
      <c r="T77" s="37"/>
      <c r="U77" s="37"/>
      <c r="V77" s="552" t="s">
        <v>91</v>
      </c>
      <c r="W77" s="552"/>
      <c r="X77" s="552"/>
      <c r="Y77" s="552"/>
    </row>
    <row r="78" spans="1:25" s="512" customFormat="1" ht="11.1" customHeight="1" x14ac:dyDescent="0.15">
      <c r="A78" s="556">
        <v>32599</v>
      </c>
      <c r="B78" s="26" t="s">
        <v>97</v>
      </c>
      <c r="C78" s="26" t="s">
        <v>684</v>
      </c>
      <c r="D78" s="552" t="s">
        <v>685</v>
      </c>
      <c r="E78" s="37">
        <v>20097</v>
      </c>
      <c r="F78" s="37">
        <v>20097</v>
      </c>
      <c r="G78" s="37">
        <v>2282</v>
      </c>
      <c r="H78" s="37">
        <v>2282</v>
      </c>
      <c r="I78" s="37">
        <v>0</v>
      </c>
      <c r="J78" s="37"/>
      <c r="K78" s="37">
        <v>1753</v>
      </c>
      <c r="L78" s="37">
        <v>0</v>
      </c>
      <c r="M78" s="37">
        <v>529</v>
      </c>
      <c r="N78" s="37"/>
      <c r="O78" s="37"/>
      <c r="P78" s="37"/>
      <c r="Q78" s="37"/>
      <c r="R78" s="37"/>
      <c r="S78" s="37"/>
      <c r="T78" s="37"/>
      <c r="U78" s="37"/>
      <c r="V78" s="552" t="s">
        <v>91</v>
      </c>
      <c r="W78" s="552"/>
      <c r="X78" s="552"/>
      <c r="Y78" s="552"/>
    </row>
    <row r="79" spans="1:25" s="512" customFormat="1" ht="11.1" customHeight="1" x14ac:dyDescent="0.15">
      <c r="A79" s="556">
        <v>32964</v>
      </c>
      <c r="B79" s="26" t="s">
        <v>98</v>
      </c>
      <c r="C79" s="26" t="s">
        <v>671</v>
      </c>
      <c r="D79" s="552" t="s">
        <v>246</v>
      </c>
      <c r="E79" s="37">
        <v>42298</v>
      </c>
      <c r="F79" s="37">
        <v>42298</v>
      </c>
      <c r="G79" s="37">
        <v>12704</v>
      </c>
      <c r="H79" s="37">
        <v>12641</v>
      </c>
      <c r="I79" s="37">
        <v>63</v>
      </c>
      <c r="J79" s="37"/>
      <c r="K79" s="37">
        <v>10835</v>
      </c>
      <c r="L79" s="37">
        <v>0</v>
      </c>
      <c r="M79" s="37">
        <v>1806</v>
      </c>
      <c r="N79" s="37"/>
      <c r="O79" s="37"/>
      <c r="P79" s="37"/>
      <c r="Q79" s="37"/>
      <c r="R79" s="37"/>
      <c r="S79" s="37"/>
      <c r="T79" s="37"/>
      <c r="U79" s="37"/>
      <c r="V79" s="552" t="s">
        <v>91</v>
      </c>
      <c r="W79" s="552"/>
      <c r="X79" s="552"/>
      <c r="Y79" s="552"/>
    </row>
    <row r="80" spans="1:25" s="512" customFormat="1" ht="11.1" customHeight="1" x14ac:dyDescent="0.15">
      <c r="A80" s="556">
        <v>32964</v>
      </c>
      <c r="B80" s="26" t="s">
        <v>98</v>
      </c>
      <c r="C80" s="26" t="s">
        <v>672</v>
      </c>
      <c r="D80" s="552" t="s">
        <v>456</v>
      </c>
      <c r="E80" s="37">
        <v>35551</v>
      </c>
      <c r="F80" s="37">
        <v>35551</v>
      </c>
      <c r="G80" s="37">
        <v>6976</v>
      </c>
      <c r="H80" s="37">
        <v>6976</v>
      </c>
      <c r="I80" s="37">
        <v>0</v>
      </c>
      <c r="J80" s="37"/>
      <c r="K80" s="37">
        <v>5847</v>
      </c>
      <c r="L80" s="37">
        <v>0</v>
      </c>
      <c r="M80" s="37">
        <v>1129</v>
      </c>
      <c r="N80" s="37"/>
      <c r="O80" s="37"/>
      <c r="P80" s="37"/>
      <c r="Q80" s="37"/>
      <c r="R80" s="37"/>
      <c r="S80" s="37"/>
      <c r="T80" s="37"/>
      <c r="U80" s="37"/>
      <c r="V80" s="552" t="s">
        <v>91</v>
      </c>
      <c r="W80" s="552"/>
      <c r="X80" s="552"/>
      <c r="Y80" s="552"/>
    </row>
    <row r="81" spans="1:25" s="512" customFormat="1" ht="11.1" customHeight="1" x14ac:dyDescent="0.15">
      <c r="A81" s="556">
        <v>32964</v>
      </c>
      <c r="B81" s="26" t="s">
        <v>98</v>
      </c>
      <c r="C81" s="26" t="s">
        <v>673</v>
      </c>
      <c r="D81" s="552" t="s">
        <v>674</v>
      </c>
      <c r="E81" s="37">
        <v>14296</v>
      </c>
      <c r="F81" s="37">
        <v>14296</v>
      </c>
      <c r="G81" s="37">
        <v>4257</v>
      </c>
      <c r="H81" s="37">
        <v>3573</v>
      </c>
      <c r="I81" s="37">
        <v>684</v>
      </c>
      <c r="J81" s="37"/>
      <c r="K81" s="37">
        <v>2798</v>
      </c>
      <c r="L81" s="37">
        <v>0</v>
      </c>
      <c r="M81" s="37">
        <v>775</v>
      </c>
      <c r="N81" s="37"/>
      <c r="O81" s="37"/>
      <c r="P81" s="37"/>
      <c r="Q81" s="37"/>
      <c r="R81" s="37"/>
      <c r="S81" s="37"/>
      <c r="T81" s="37"/>
      <c r="U81" s="37"/>
      <c r="V81" s="552" t="s">
        <v>91</v>
      </c>
      <c r="W81" s="552"/>
      <c r="X81" s="552"/>
      <c r="Y81" s="552"/>
    </row>
    <row r="82" spans="1:25" s="512" customFormat="1" ht="11.1" customHeight="1" x14ac:dyDescent="0.15">
      <c r="A82" s="556">
        <v>32964</v>
      </c>
      <c r="B82" s="26" t="s">
        <v>98</v>
      </c>
      <c r="C82" s="26" t="s">
        <v>675</v>
      </c>
      <c r="D82" s="552" t="s">
        <v>676</v>
      </c>
      <c r="E82" s="37">
        <v>2254</v>
      </c>
      <c r="F82" s="37">
        <v>2239</v>
      </c>
      <c r="G82" s="37">
        <v>393</v>
      </c>
      <c r="H82" s="37">
        <v>387</v>
      </c>
      <c r="I82" s="37">
        <v>6</v>
      </c>
      <c r="J82" s="37"/>
      <c r="K82" s="37">
        <v>267</v>
      </c>
      <c r="L82" s="37">
        <v>0</v>
      </c>
      <c r="M82" s="37">
        <v>120</v>
      </c>
      <c r="N82" s="37"/>
      <c r="O82" s="37"/>
      <c r="P82" s="37"/>
      <c r="Q82" s="37"/>
      <c r="R82" s="37"/>
      <c r="S82" s="37"/>
      <c r="T82" s="37"/>
      <c r="U82" s="37"/>
      <c r="V82" s="552" t="s">
        <v>91</v>
      </c>
      <c r="W82" s="552"/>
      <c r="X82" s="552"/>
      <c r="Y82" s="552"/>
    </row>
    <row r="83" spans="1:25" s="512" customFormat="1" ht="11.1" customHeight="1" x14ac:dyDescent="0.15">
      <c r="A83" s="556">
        <v>32964</v>
      </c>
      <c r="B83" s="26" t="s">
        <v>98</v>
      </c>
      <c r="C83" s="26" t="s">
        <v>677</v>
      </c>
      <c r="D83" s="552" t="s">
        <v>678</v>
      </c>
      <c r="E83" s="37">
        <v>21076</v>
      </c>
      <c r="F83" s="37">
        <v>21076</v>
      </c>
      <c r="G83" s="37">
        <v>7677</v>
      </c>
      <c r="H83" s="37">
        <v>7677</v>
      </c>
      <c r="I83" s="37">
        <v>0</v>
      </c>
      <c r="J83" s="37"/>
      <c r="K83" s="37">
        <v>6805</v>
      </c>
      <c r="L83" s="37">
        <v>0</v>
      </c>
      <c r="M83" s="37">
        <v>872</v>
      </c>
      <c r="N83" s="37"/>
      <c r="O83" s="37"/>
      <c r="P83" s="37"/>
      <c r="Q83" s="37"/>
      <c r="R83" s="37"/>
      <c r="S83" s="37"/>
      <c r="T83" s="37"/>
      <c r="U83" s="37"/>
      <c r="V83" s="552" t="s">
        <v>91</v>
      </c>
      <c r="W83" s="552"/>
      <c r="X83" s="552"/>
      <c r="Y83" s="552"/>
    </row>
    <row r="84" spans="1:25" s="512" customFormat="1" ht="11.1" customHeight="1" x14ac:dyDescent="0.15">
      <c r="A84" s="556">
        <v>32964</v>
      </c>
      <c r="B84" s="26" t="s">
        <v>98</v>
      </c>
      <c r="C84" s="26" t="s">
        <v>679</v>
      </c>
      <c r="D84" s="552" t="s">
        <v>680</v>
      </c>
      <c r="E84" s="37">
        <v>13643</v>
      </c>
      <c r="F84" s="37">
        <v>13643</v>
      </c>
      <c r="G84" s="37">
        <v>4979</v>
      </c>
      <c r="H84" s="37">
        <v>3056</v>
      </c>
      <c r="I84" s="37">
        <v>1923</v>
      </c>
      <c r="J84" s="37"/>
      <c r="K84" s="37">
        <v>2487</v>
      </c>
      <c r="L84" s="37">
        <v>0</v>
      </c>
      <c r="M84" s="37">
        <v>569</v>
      </c>
      <c r="N84" s="37"/>
      <c r="O84" s="37"/>
      <c r="P84" s="37"/>
      <c r="Q84" s="37"/>
      <c r="R84" s="37"/>
      <c r="S84" s="37"/>
      <c r="T84" s="37"/>
      <c r="U84" s="37"/>
      <c r="V84" s="552" t="s">
        <v>91</v>
      </c>
      <c r="W84" s="552"/>
      <c r="X84" s="552"/>
      <c r="Y84" s="552"/>
    </row>
    <row r="85" spans="1:25" s="512" customFormat="1" ht="11.1" customHeight="1" x14ac:dyDescent="0.15">
      <c r="A85" s="556">
        <v>32964</v>
      </c>
      <c r="B85" s="26" t="s">
        <v>98</v>
      </c>
      <c r="C85" s="26" t="s">
        <v>681</v>
      </c>
      <c r="D85" s="552" t="s">
        <v>682</v>
      </c>
      <c r="E85" s="37">
        <v>37173</v>
      </c>
      <c r="F85" s="37">
        <v>37173</v>
      </c>
      <c r="G85" s="37">
        <v>12139</v>
      </c>
      <c r="H85" s="37">
        <v>12139</v>
      </c>
      <c r="I85" s="37">
        <v>0</v>
      </c>
      <c r="J85" s="37"/>
      <c r="K85" s="37">
        <v>10910</v>
      </c>
      <c r="L85" s="37">
        <v>0</v>
      </c>
      <c r="M85" s="37">
        <v>1229</v>
      </c>
      <c r="N85" s="37"/>
      <c r="O85" s="37"/>
      <c r="P85" s="37"/>
      <c r="Q85" s="37"/>
      <c r="R85" s="37"/>
      <c r="S85" s="37"/>
      <c r="T85" s="37"/>
      <c r="U85" s="37"/>
      <c r="V85" s="552" t="s">
        <v>91</v>
      </c>
      <c r="W85" s="552"/>
      <c r="X85" s="552"/>
      <c r="Y85" s="552"/>
    </row>
    <row r="86" spans="1:25" s="512" customFormat="1" ht="11.1" customHeight="1" x14ac:dyDescent="0.15">
      <c r="A86" s="556">
        <v>32964</v>
      </c>
      <c r="B86" s="26" t="s">
        <v>98</v>
      </c>
      <c r="C86" s="26" t="s">
        <v>683</v>
      </c>
      <c r="D86" s="552" t="s">
        <v>577</v>
      </c>
      <c r="E86" s="37">
        <v>11052</v>
      </c>
      <c r="F86" s="37">
        <v>11052</v>
      </c>
      <c r="G86" s="37">
        <v>3443</v>
      </c>
      <c r="H86" s="37">
        <v>1691</v>
      </c>
      <c r="I86" s="37">
        <v>1752</v>
      </c>
      <c r="J86" s="37"/>
      <c r="K86" s="37">
        <v>1249</v>
      </c>
      <c r="L86" s="37">
        <v>0</v>
      </c>
      <c r="M86" s="37">
        <v>442</v>
      </c>
      <c r="N86" s="37"/>
      <c r="O86" s="37"/>
      <c r="P86" s="37"/>
      <c r="Q86" s="37"/>
      <c r="R86" s="37"/>
      <c r="S86" s="37"/>
      <c r="T86" s="37"/>
      <c r="U86" s="37"/>
      <c r="V86" s="552" t="s">
        <v>91</v>
      </c>
      <c r="W86" s="552"/>
      <c r="X86" s="552"/>
      <c r="Y86" s="552"/>
    </row>
    <row r="87" spans="1:25" s="512" customFormat="1" ht="11.1" customHeight="1" x14ac:dyDescent="0.15">
      <c r="A87" s="556">
        <v>32964</v>
      </c>
      <c r="B87" s="26" t="s">
        <v>98</v>
      </c>
      <c r="C87" s="26" t="s">
        <v>684</v>
      </c>
      <c r="D87" s="552" t="s">
        <v>685</v>
      </c>
      <c r="E87" s="37">
        <v>20001</v>
      </c>
      <c r="F87" s="37">
        <v>20001</v>
      </c>
      <c r="G87" s="37">
        <v>2359</v>
      </c>
      <c r="H87" s="37">
        <v>2359</v>
      </c>
      <c r="I87" s="37">
        <v>0</v>
      </c>
      <c r="J87" s="37"/>
      <c r="K87" s="37">
        <v>1803</v>
      </c>
      <c r="L87" s="37">
        <v>0</v>
      </c>
      <c r="M87" s="37">
        <v>556</v>
      </c>
      <c r="N87" s="37"/>
      <c r="O87" s="37"/>
      <c r="P87" s="37"/>
      <c r="Q87" s="37"/>
      <c r="R87" s="37"/>
      <c r="S87" s="37"/>
      <c r="T87" s="37"/>
      <c r="U87" s="37"/>
      <c r="V87" s="552" t="s">
        <v>91</v>
      </c>
      <c r="W87" s="552"/>
      <c r="X87" s="552"/>
      <c r="Y87" s="552"/>
    </row>
    <row r="88" spans="1:25" s="512" customFormat="1" ht="11.1" customHeight="1" x14ac:dyDescent="0.15">
      <c r="A88" s="556">
        <v>33329</v>
      </c>
      <c r="B88" s="26" t="s">
        <v>99</v>
      </c>
      <c r="C88" s="26" t="s">
        <v>671</v>
      </c>
      <c r="D88" s="552" t="s">
        <v>246</v>
      </c>
      <c r="E88" s="37">
        <v>42339</v>
      </c>
      <c r="F88" s="37">
        <v>42339</v>
      </c>
      <c r="G88" s="37">
        <v>12674</v>
      </c>
      <c r="H88" s="37">
        <v>12611</v>
      </c>
      <c r="I88" s="37">
        <v>63</v>
      </c>
      <c r="J88" s="37"/>
      <c r="K88" s="37">
        <v>10592</v>
      </c>
      <c r="L88" s="37">
        <v>0</v>
      </c>
      <c r="M88" s="37">
        <v>2019</v>
      </c>
      <c r="N88" s="37"/>
      <c r="O88" s="37"/>
      <c r="P88" s="37"/>
      <c r="Q88" s="37"/>
      <c r="R88" s="37"/>
      <c r="S88" s="37"/>
      <c r="T88" s="37"/>
      <c r="U88" s="37"/>
      <c r="V88" s="552" t="s">
        <v>91</v>
      </c>
      <c r="W88" s="552"/>
      <c r="X88" s="552"/>
      <c r="Y88" s="552"/>
    </row>
    <row r="89" spans="1:25" s="512" customFormat="1" ht="11.1" customHeight="1" x14ac:dyDescent="0.15">
      <c r="A89" s="556">
        <v>33329</v>
      </c>
      <c r="B89" s="26" t="s">
        <v>99</v>
      </c>
      <c r="C89" s="26" t="s">
        <v>672</v>
      </c>
      <c r="D89" s="552" t="s">
        <v>456</v>
      </c>
      <c r="E89" s="37">
        <v>35539</v>
      </c>
      <c r="F89" s="37">
        <v>35539</v>
      </c>
      <c r="G89" s="37">
        <v>7056</v>
      </c>
      <c r="H89" s="37">
        <v>7056</v>
      </c>
      <c r="I89" s="37">
        <v>0</v>
      </c>
      <c r="J89" s="37"/>
      <c r="K89" s="37">
        <v>5801</v>
      </c>
      <c r="L89" s="37">
        <v>0</v>
      </c>
      <c r="M89" s="37">
        <v>1255</v>
      </c>
      <c r="N89" s="37"/>
      <c r="O89" s="37"/>
      <c r="P89" s="37"/>
      <c r="Q89" s="37"/>
      <c r="R89" s="37"/>
      <c r="S89" s="37"/>
      <c r="T89" s="37"/>
      <c r="U89" s="37"/>
      <c r="V89" s="552" t="s">
        <v>91</v>
      </c>
      <c r="W89" s="552"/>
      <c r="X89" s="552"/>
      <c r="Y89" s="552"/>
    </row>
    <row r="90" spans="1:25" s="512" customFormat="1" ht="11.1" customHeight="1" x14ac:dyDescent="0.15">
      <c r="A90" s="556">
        <v>33329</v>
      </c>
      <c r="B90" s="26" t="s">
        <v>99</v>
      </c>
      <c r="C90" s="26" t="s">
        <v>673</v>
      </c>
      <c r="D90" s="552" t="s">
        <v>674</v>
      </c>
      <c r="E90" s="37">
        <v>14215</v>
      </c>
      <c r="F90" s="37">
        <v>14215</v>
      </c>
      <c r="G90" s="37">
        <v>4420</v>
      </c>
      <c r="H90" s="37">
        <v>3705</v>
      </c>
      <c r="I90" s="37">
        <v>715</v>
      </c>
      <c r="J90" s="37"/>
      <c r="K90" s="37">
        <v>2903</v>
      </c>
      <c r="L90" s="37">
        <v>0</v>
      </c>
      <c r="M90" s="37">
        <v>802</v>
      </c>
      <c r="N90" s="37"/>
      <c r="O90" s="37"/>
      <c r="P90" s="37"/>
      <c r="Q90" s="37"/>
      <c r="R90" s="37"/>
      <c r="S90" s="37"/>
      <c r="T90" s="37"/>
      <c r="U90" s="37"/>
      <c r="V90" s="552" t="s">
        <v>91</v>
      </c>
      <c r="W90" s="552"/>
      <c r="X90" s="552"/>
      <c r="Y90" s="552"/>
    </row>
    <row r="91" spans="1:25" s="512" customFormat="1" ht="11.1" customHeight="1" x14ac:dyDescent="0.15">
      <c r="A91" s="556">
        <v>33329</v>
      </c>
      <c r="B91" s="26" t="s">
        <v>99</v>
      </c>
      <c r="C91" s="26" t="s">
        <v>675</v>
      </c>
      <c r="D91" s="552" t="s">
        <v>676</v>
      </c>
      <c r="E91" s="37">
        <v>2286</v>
      </c>
      <c r="F91" s="37">
        <v>2271</v>
      </c>
      <c r="G91" s="37">
        <v>385</v>
      </c>
      <c r="H91" s="37">
        <v>380</v>
      </c>
      <c r="I91" s="37">
        <v>5</v>
      </c>
      <c r="J91" s="37"/>
      <c r="K91" s="37">
        <v>266</v>
      </c>
      <c r="L91" s="37">
        <v>0</v>
      </c>
      <c r="M91" s="37">
        <v>114</v>
      </c>
      <c r="N91" s="37"/>
      <c r="O91" s="37"/>
      <c r="P91" s="37"/>
      <c r="Q91" s="37"/>
      <c r="R91" s="37"/>
      <c r="S91" s="37"/>
      <c r="T91" s="37"/>
      <c r="U91" s="37"/>
      <c r="V91" s="552" t="s">
        <v>91</v>
      </c>
      <c r="W91" s="552"/>
      <c r="X91" s="552"/>
      <c r="Y91" s="552"/>
    </row>
    <row r="92" spans="1:25" s="512" customFormat="1" ht="11.1" customHeight="1" x14ac:dyDescent="0.15">
      <c r="A92" s="556">
        <v>33329</v>
      </c>
      <c r="B92" s="26" t="s">
        <v>99</v>
      </c>
      <c r="C92" s="26" t="s">
        <v>677</v>
      </c>
      <c r="D92" s="552" t="s">
        <v>678</v>
      </c>
      <c r="E92" s="37">
        <v>21276</v>
      </c>
      <c r="F92" s="37">
        <v>21276</v>
      </c>
      <c r="G92" s="37">
        <v>7795</v>
      </c>
      <c r="H92" s="37">
        <v>7795</v>
      </c>
      <c r="I92" s="37">
        <v>0</v>
      </c>
      <c r="J92" s="37"/>
      <c r="K92" s="37">
        <v>6835</v>
      </c>
      <c r="L92" s="37">
        <v>0</v>
      </c>
      <c r="M92" s="37">
        <v>960</v>
      </c>
      <c r="N92" s="37"/>
      <c r="O92" s="37"/>
      <c r="P92" s="37"/>
      <c r="Q92" s="37"/>
      <c r="R92" s="37"/>
      <c r="S92" s="37"/>
      <c r="T92" s="37"/>
      <c r="U92" s="37"/>
      <c r="V92" s="552" t="s">
        <v>91</v>
      </c>
      <c r="W92" s="552"/>
      <c r="X92" s="552"/>
      <c r="Y92" s="552"/>
    </row>
    <row r="93" spans="1:25" s="512" customFormat="1" ht="11.1" customHeight="1" x14ac:dyDescent="0.15">
      <c r="A93" s="556">
        <v>33329</v>
      </c>
      <c r="B93" s="26" t="s">
        <v>99</v>
      </c>
      <c r="C93" s="26" t="s">
        <v>679</v>
      </c>
      <c r="D93" s="552" t="s">
        <v>680</v>
      </c>
      <c r="E93" s="37">
        <v>13507</v>
      </c>
      <c r="F93" s="37">
        <v>13507</v>
      </c>
      <c r="G93" s="37">
        <v>4930</v>
      </c>
      <c r="H93" s="37">
        <v>3680</v>
      </c>
      <c r="I93" s="37">
        <v>1250</v>
      </c>
      <c r="J93" s="37"/>
      <c r="K93" s="37">
        <v>2945</v>
      </c>
      <c r="L93" s="37">
        <v>0</v>
      </c>
      <c r="M93" s="37">
        <v>735</v>
      </c>
      <c r="N93" s="37"/>
      <c r="O93" s="37"/>
      <c r="P93" s="37"/>
      <c r="Q93" s="37"/>
      <c r="R93" s="37"/>
      <c r="S93" s="37"/>
      <c r="T93" s="37"/>
      <c r="U93" s="37"/>
      <c r="V93" s="552" t="s">
        <v>91</v>
      </c>
      <c r="W93" s="552"/>
      <c r="X93" s="552"/>
      <c r="Y93" s="552"/>
    </row>
    <row r="94" spans="1:25" s="512" customFormat="1" ht="11.1" customHeight="1" x14ac:dyDescent="0.15">
      <c r="A94" s="556">
        <v>33329</v>
      </c>
      <c r="B94" s="26" t="s">
        <v>99</v>
      </c>
      <c r="C94" s="26" t="s">
        <v>681</v>
      </c>
      <c r="D94" s="552" t="s">
        <v>682</v>
      </c>
      <c r="E94" s="37">
        <v>37540</v>
      </c>
      <c r="F94" s="37">
        <v>37540</v>
      </c>
      <c r="G94" s="37">
        <v>13272</v>
      </c>
      <c r="H94" s="37">
        <v>13272</v>
      </c>
      <c r="I94" s="37">
        <v>0</v>
      </c>
      <c r="J94" s="37"/>
      <c r="K94" s="37">
        <v>11868</v>
      </c>
      <c r="L94" s="37">
        <v>0</v>
      </c>
      <c r="M94" s="37">
        <v>1404</v>
      </c>
      <c r="N94" s="37"/>
      <c r="O94" s="37"/>
      <c r="P94" s="37"/>
      <c r="Q94" s="37"/>
      <c r="R94" s="37"/>
      <c r="S94" s="37"/>
      <c r="T94" s="37"/>
      <c r="U94" s="37"/>
      <c r="V94" s="552" t="s">
        <v>91</v>
      </c>
      <c r="W94" s="552"/>
      <c r="X94" s="552"/>
      <c r="Y94" s="552"/>
    </row>
    <row r="95" spans="1:25" s="512" customFormat="1" ht="11.1" customHeight="1" x14ac:dyDescent="0.15">
      <c r="A95" s="556">
        <v>33329</v>
      </c>
      <c r="B95" s="26" t="s">
        <v>99</v>
      </c>
      <c r="C95" s="26" t="s">
        <v>683</v>
      </c>
      <c r="D95" s="552" t="s">
        <v>577</v>
      </c>
      <c r="E95" s="37">
        <v>11140</v>
      </c>
      <c r="F95" s="37">
        <v>11140</v>
      </c>
      <c r="G95" s="37">
        <v>4066</v>
      </c>
      <c r="H95" s="37">
        <v>1777</v>
      </c>
      <c r="I95" s="37">
        <v>2289</v>
      </c>
      <c r="J95" s="37"/>
      <c r="K95" s="37">
        <v>1284</v>
      </c>
      <c r="L95" s="37">
        <v>0</v>
      </c>
      <c r="M95" s="37">
        <v>493</v>
      </c>
      <c r="N95" s="37"/>
      <c r="O95" s="37"/>
      <c r="P95" s="37"/>
      <c r="Q95" s="37"/>
      <c r="R95" s="37"/>
      <c r="S95" s="37"/>
      <c r="T95" s="37"/>
      <c r="U95" s="37"/>
      <c r="V95" s="552" t="s">
        <v>91</v>
      </c>
      <c r="W95" s="552"/>
      <c r="X95" s="552"/>
      <c r="Y95" s="552"/>
    </row>
    <row r="96" spans="1:25" s="512" customFormat="1" ht="11.1" customHeight="1" x14ac:dyDescent="0.15">
      <c r="A96" s="556">
        <v>33329</v>
      </c>
      <c r="B96" s="26" t="s">
        <v>99</v>
      </c>
      <c r="C96" s="26" t="s">
        <v>684</v>
      </c>
      <c r="D96" s="552" t="s">
        <v>685</v>
      </c>
      <c r="E96" s="37">
        <v>19886</v>
      </c>
      <c r="F96" s="37">
        <v>19886</v>
      </c>
      <c r="G96" s="37">
        <v>2490</v>
      </c>
      <c r="H96" s="37">
        <v>2490</v>
      </c>
      <c r="I96" s="37">
        <v>0</v>
      </c>
      <c r="J96" s="37"/>
      <c r="K96" s="37">
        <v>1903</v>
      </c>
      <c r="L96" s="37">
        <v>0</v>
      </c>
      <c r="M96" s="37">
        <v>587</v>
      </c>
      <c r="N96" s="37"/>
      <c r="O96" s="37"/>
      <c r="P96" s="37"/>
      <c r="Q96" s="37"/>
      <c r="R96" s="37"/>
      <c r="S96" s="37"/>
      <c r="T96" s="37"/>
      <c r="U96" s="37"/>
      <c r="V96" s="552" t="s">
        <v>91</v>
      </c>
      <c r="W96" s="552"/>
      <c r="X96" s="552"/>
      <c r="Y96" s="552"/>
    </row>
    <row r="97" spans="1:25" s="512" customFormat="1" ht="11.1" customHeight="1" x14ac:dyDescent="0.15">
      <c r="A97" s="556">
        <v>33695</v>
      </c>
      <c r="B97" s="26" t="s">
        <v>100</v>
      </c>
      <c r="C97" s="26" t="s">
        <v>671</v>
      </c>
      <c r="D97" s="552" t="s">
        <v>246</v>
      </c>
      <c r="E97" s="37">
        <v>42405</v>
      </c>
      <c r="F97" s="37">
        <v>42405</v>
      </c>
      <c r="G97" s="37">
        <v>12944</v>
      </c>
      <c r="H97" s="37">
        <v>12367</v>
      </c>
      <c r="I97" s="37">
        <v>577</v>
      </c>
      <c r="J97" s="37"/>
      <c r="K97" s="37">
        <v>10485</v>
      </c>
      <c r="L97" s="37">
        <v>0</v>
      </c>
      <c r="M97" s="37">
        <v>1882</v>
      </c>
      <c r="N97" s="37"/>
      <c r="O97" s="37"/>
      <c r="P97" s="37"/>
      <c r="Q97" s="37"/>
      <c r="R97" s="37"/>
      <c r="S97" s="37"/>
      <c r="T97" s="37"/>
      <c r="U97" s="37"/>
      <c r="V97" s="552" t="s">
        <v>91</v>
      </c>
      <c r="W97" s="552"/>
      <c r="X97" s="552"/>
      <c r="Y97" s="552"/>
    </row>
    <row r="98" spans="1:25" s="512" customFormat="1" ht="11.1" customHeight="1" x14ac:dyDescent="0.15">
      <c r="A98" s="556">
        <v>33695</v>
      </c>
      <c r="B98" s="26" t="s">
        <v>100</v>
      </c>
      <c r="C98" s="26" t="s">
        <v>672</v>
      </c>
      <c r="D98" s="552" t="s">
        <v>456</v>
      </c>
      <c r="E98" s="37">
        <v>35501</v>
      </c>
      <c r="F98" s="37">
        <v>35501</v>
      </c>
      <c r="G98" s="37">
        <v>6826</v>
      </c>
      <c r="H98" s="37">
        <v>6826</v>
      </c>
      <c r="I98" s="37">
        <v>0</v>
      </c>
      <c r="J98" s="37"/>
      <c r="K98" s="37">
        <v>5450</v>
      </c>
      <c r="L98" s="37">
        <v>0</v>
      </c>
      <c r="M98" s="37">
        <v>1376</v>
      </c>
      <c r="N98" s="37"/>
      <c r="O98" s="37"/>
      <c r="P98" s="37"/>
      <c r="Q98" s="37"/>
      <c r="R98" s="37"/>
      <c r="S98" s="37"/>
      <c r="T98" s="37"/>
      <c r="U98" s="37"/>
      <c r="V98" s="552" t="s">
        <v>91</v>
      </c>
      <c r="W98" s="552"/>
      <c r="X98" s="552"/>
      <c r="Y98" s="552"/>
    </row>
    <row r="99" spans="1:25" s="512" customFormat="1" ht="11.1" customHeight="1" x14ac:dyDescent="0.15">
      <c r="A99" s="556">
        <v>33695</v>
      </c>
      <c r="B99" s="26" t="s">
        <v>100</v>
      </c>
      <c r="C99" s="26" t="s">
        <v>673</v>
      </c>
      <c r="D99" s="552" t="s">
        <v>674</v>
      </c>
      <c r="E99" s="37">
        <v>14308</v>
      </c>
      <c r="F99" s="37">
        <v>14308</v>
      </c>
      <c r="G99" s="37">
        <v>4697</v>
      </c>
      <c r="H99" s="37">
        <v>3943</v>
      </c>
      <c r="I99" s="37">
        <v>754</v>
      </c>
      <c r="J99" s="37"/>
      <c r="K99" s="37">
        <v>3114</v>
      </c>
      <c r="L99" s="37">
        <v>0</v>
      </c>
      <c r="M99" s="37">
        <v>829</v>
      </c>
      <c r="N99" s="37"/>
      <c r="O99" s="37"/>
      <c r="P99" s="37"/>
      <c r="Q99" s="37"/>
      <c r="R99" s="37"/>
      <c r="S99" s="37"/>
      <c r="T99" s="37"/>
      <c r="U99" s="37"/>
      <c r="V99" s="552" t="s">
        <v>91</v>
      </c>
      <c r="W99" s="552"/>
      <c r="X99" s="552"/>
      <c r="Y99" s="552"/>
    </row>
    <row r="100" spans="1:25" s="512" customFormat="1" ht="11.1" customHeight="1" x14ac:dyDescent="0.15">
      <c r="A100" s="556">
        <v>33695</v>
      </c>
      <c r="B100" s="26" t="s">
        <v>100</v>
      </c>
      <c r="C100" s="26" t="s">
        <v>675</v>
      </c>
      <c r="D100" s="552" t="s">
        <v>676</v>
      </c>
      <c r="E100" s="37">
        <v>2311</v>
      </c>
      <c r="F100" s="37">
        <v>2296</v>
      </c>
      <c r="G100" s="37">
        <v>349</v>
      </c>
      <c r="H100" s="37">
        <v>344</v>
      </c>
      <c r="I100" s="37">
        <v>5</v>
      </c>
      <c r="J100" s="37"/>
      <c r="K100" s="37">
        <v>234</v>
      </c>
      <c r="L100" s="37">
        <v>0</v>
      </c>
      <c r="M100" s="37">
        <v>110</v>
      </c>
      <c r="N100" s="37"/>
      <c r="O100" s="37"/>
      <c r="P100" s="37"/>
      <c r="Q100" s="37"/>
      <c r="R100" s="37"/>
      <c r="S100" s="37"/>
      <c r="T100" s="37"/>
      <c r="U100" s="37"/>
      <c r="V100" s="552" t="s">
        <v>91</v>
      </c>
      <c r="W100" s="552"/>
      <c r="X100" s="552"/>
      <c r="Y100" s="552"/>
    </row>
    <row r="101" spans="1:25" s="512" customFormat="1" ht="11.1" customHeight="1" x14ac:dyDescent="0.15">
      <c r="A101" s="556">
        <v>33695</v>
      </c>
      <c r="B101" s="26" t="s">
        <v>100</v>
      </c>
      <c r="C101" s="26" t="s">
        <v>677</v>
      </c>
      <c r="D101" s="552" t="s">
        <v>678</v>
      </c>
      <c r="E101" s="37">
        <v>21620</v>
      </c>
      <c r="F101" s="37">
        <v>21620</v>
      </c>
      <c r="G101" s="37">
        <v>7653</v>
      </c>
      <c r="H101" s="37">
        <v>7653</v>
      </c>
      <c r="I101" s="37">
        <v>0</v>
      </c>
      <c r="J101" s="37"/>
      <c r="K101" s="37">
        <v>6557</v>
      </c>
      <c r="L101" s="37">
        <v>0</v>
      </c>
      <c r="M101" s="37">
        <v>1096</v>
      </c>
      <c r="N101" s="37"/>
      <c r="O101" s="37"/>
      <c r="P101" s="37"/>
      <c r="Q101" s="37"/>
      <c r="R101" s="37"/>
      <c r="S101" s="37"/>
      <c r="T101" s="37"/>
      <c r="U101" s="37"/>
      <c r="V101" s="552" t="s">
        <v>91</v>
      </c>
      <c r="W101" s="552"/>
      <c r="X101" s="552"/>
      <c r="Y101" s="552"/>
    </row>
    <row r="102" spans="1:25" s="512" customFormat="1" ht="11.1" customHeight="1" x14ac:dyDescent="0.15">
      <c r="A102" s="556">
        <v>33695</v>
      </c>
      <c r="B102" s="26" t="s">
        <v>100</v>
      </c>
      <c r="C102" s="26" t="s">
        <v>679</v>
      </c>
      <c r="D102" s="552" t="s">
        <v>680</v>
      </c>
      <c r="E102" s="37">
        <v>13538</v>
      </c>
      <c r="F102" s="37">
        <v>13538</v>
      </c>
      <c r="G102" s="37">
        <v>4965</v>
      </c>
      <c r="H102" s="37">
        <v>3840</v>
      </c>
      <c r="I102" s="37">
        <v>1125</v>
      </c>
      <c r="J102" s="37"/>
      <c r="K102" s="37">
        <v>2987</v>
      </c>
      <c r="L102" s="37">
        <v>0</v>
      </c>
      <c r="M102" s="37">
        <v>853</v>
      </c>
      <c r="N102" s="37"/>
      <c r="O102" s="37"/>
      <c r="P102" s="37"/>
      <c r="Q102" s="37"/>
      <c r="R102" s="37"/>
      <c r="S102" s="37"/>
      <c r="T102" s="37"/>
      <c r="U102" s="37"/>
      <c r="V102" s="552" t="s">
        <v>91</v>
      </c>
      <c r="W102" s="552"/>
      <c r="X102" s="552"/>
      <c r="Y102" s="552"/>
    </row>
    <row r="103" spans="1:25" s="512" customFormat="1" ht="11.1" customHeight="1" x14ac:dyDescent="0.15">
      <c r="A103" s="556">
        <v>33695</v>
      </c>
      <c r="B103" s="26" t="s">
        <v>100</v>
      </c>
      <c r="C103" s="26" t="s">
        <v>681</v>
      </c>
      <c r="D103" s="552" t="s">
        <v>682</v>
      </c>
      <c r="E103" s="37">
        <v>37955</v>
      </c>
      <c r="F103" s="37">
        <v>37955</v>
      </c>
      <c r="G103" s="37">
        <v>13482</v>
      </c>
      <c r="H103" s="37">
        <v>13482</v>
      </c>
      <c r="I103" s="37">
        <v>0</v>
      </c>
      <c r="J103" s="37"/>
      <c r="K103" s="37">
        <v>11882</v>
      </c>
      <c r="L103" s="37">
        <v>0</v>
      </c>
      <c r="M103" s="37">
        <v>1600</v>
      </c>
      <c r="N103" s="37"/>
      <c r="O103" s="37"/>
      <c r="P103" s="37"/>
      <c r="Q103" s="37"/>
      <c r="R103" s="37"/>
      <c r="S103" s="37"/>
      <c r="T103" s="37"/>
      <c r="U103" s="37"/>
      <c r="V103" s="552" t="s">
        <v>91</v>
      </c>
      <c r="W103" s="552"/>
      <c r="X103" s="552"/>
      <c r="Y103" s="552"/>
    </row>
    <row r="104" spans="1:25" s="512" customFormat="1" ht="11.1" customHeight="1" x14ac:dyDescent="0.15">
      <c r="A104" s="556">
        <v>33695</v>
      </c>
      <c r="B104" s="26" t="s">
        <v>100</v>
      </c>
      <c r="C104" s="26" t="s">
        <v>683</v>
      </c>
      <c r="D104" s="552" t="s">
        <v>577</v>
      </c>
      <c r="E104" s="37">
        <v>11141</v>
      </c>
      <c r="F104" s="37">
        <v>11141</v>
      </c>
      <c r="G104" s="37">
        <v>4066</v>
      </c>
      <c r="H104" s="37">
        <v>1820</v>
      </c>
      <c r="I104" s="37">
        <v>2246</v>
      </c>
      <c r="J104" s="37"/>
      <c r="K104" s="37">
        <v>1299</v>
      </c>
      <c r="L104" s="37">
        <v>0</v>
      </c>
      <c r="M104" s="37">
        <v>521</v>
      </c>
      <c r="N104" s="37"/>
      <c r="O104" s="37"/>
      <c r="P104" s="37"/>
      <c r="Q104" s="37"/>
      <c r="R104" s="37"/>
      <c r="S104" s="37"/>
      <c r="T104" s="37"/>
      <c r="U104" s="37"/>
      <c r="V104" s="552" t="s">
        <v>91</v>
      </c>
      <c r="W104" s="552"/>
      <c r="X104" s="552"/>
      <c r="Y104" s="552"/>
    </row>
    <row r="105" spans="1:25" s="512" customFormat="1" ht="11.1" customHeight="1" x14ac:dyDescent="0.15">
      <c r="A105" s="556">
        <v>33695</v>
      </c>
      <c r="B105" s="26" t="s">
        <v>100</v>
      </c>
      <c r="C105" s="26" t="s">
        <v>684</v>
      </c>
      <c r="D105" s="552" t="s">
        <v>685</v>
      </c>
      <c r="E105" s="37">
        <v>19766</v>
      </c>
      <c r="F105" s="37">
        <v>19766</v>
      </c>
      <c r="G105" s="37">
        <v>2352</v>
      </c>
      <c r="H105" s="37">
        <v>2352</v>
      </c>
      <c r="I105" s="37">
        <v>0</v>
      </c>
      <c r="J105" s="37"/>
      <c r="K105" s="37">
        <v>1743</v>
      </c>
      <c r="L105" s="37">
        <v>0</v>
      </c>
      <c r="M105" s="37">
        <v>609</v>
      </c>
      <c r="N105" s="37"/>
      <c r="O105" s="37"/>
      <c r="P105" s="37"/>
      <c r="Q105" s="37"/>
      <c r="R105" s="37"/>
      <c r="S105" s="37"/>
      <c r="T105" s="37"/>
      <c r="U105" s="37"/>
      <c r="V105" s="552" t="s">
        <v>91</v>
      </c>
      <c r="W105" s="552"/>
      <c r="X105" s="552"/>
      <c r="Y105" s="552"/>
    </row>
    <row r="106" spans="1:25" s="512" customFormat="1" ht="11.1" customHeight="1" x14ac:dyDescent="0.15">
      <c r="A106" s="556">
        <v>34060</v>
      </c>
      <c r="B106" s="26" t="s">
        <v>101</v>
      </c>
      <c r="C106" s="26" t="s">
        <v>671</v>
      </c>
      <c r="D106" s="552" t="s">
        <v>246</v>
      </c>
      <c r="E106" s="37">
        <v>42324</v>
      </c>
      <c r="F106" s="37">
        <v>42324</v>
      </c>
      <c r="G106" s="37">
        <v>12985</v>
      </c>
      <c r="H106" s="37">
        <v>12331</v>
      </c>
      <c r="I106" s="37">
        <v>654</v>
      </c>
      <c r="J106" s="37"/>
      <c r="K106" s="37">
        <v>10364</v>
      </c>
      <c r="L106" s="37">
        <v>0</v>
      </c>
      <c r="M106" s="37">
        <v>1967</v>
      </c>
      <c r="N106" s="37"/>
      <c r="O106" s="37"/>
      <c r="P106" s="37"/>
      <c r="Q106" s="37"/>
      <c r="R106" s="37"/>
      <c r="S106" s="37"/>
      <c r="T106" s="37"/>
      <c r="U106" s="37"/>
      <c r="V106" s="552" t="s">
        <v>91</v>
      </c>
      <c r="W106" s="552"/>
      <c r="X106" s="552"/>
      <c r="Y106" s="552"/>
    </row>
    <row r="107" spans="1:25" s="512" customFormat="1" ht="11.1" customHeight="1" x14ac:dyDescent="0.15">
      <c r="A107" s="556">
        <v>34060</v>
      </c>
      <c r="B107" s="26" t="s">
        <v>101</v>
      </c>
      <c r="C107" s="26" t="s">
        <v>672</v>
      </c>
      <c r="D107" s="552" t="s">
        <v>456</v>
      </c>
      <c r="E107" s="37">
        <v>35542</v>
      </c>
      <c r="F107" s="37">
        <v>35542</v>
      </c>
      <c r="G107" s="37">
        <v>7233</v>
      </c>
      <c r="H107" s="37">
        <v>7233</v>
      </c>
      <c r="I107" s="37">
        <v>0</v>
      </c>
      <c r="J107" s="37"/>
      <c r="K107" s="37">
        <v>5698</v>
      </c>
      <c r="L107" s="37">
        <v>0</v>
      </c>
      <c r="M107" s="37">
        <v>1535</v>
      </c>
      <c r="N107" s="37"/>
      <c r="O107" s="37"/>
      <c r="P107" s="37"/>
      <c r="Q107" s="37"/>
      <c r="R107" s="37"/>
      <c r="S107" s="37"/>
      <c r="T107" s="37"/>
      <c r="U107" s="37"/>
      <c r="V107" s="552" t="s">
        <v>91</v>
      </c>
      <c r="W107" s="552"/>
      <c r="X107" s="552"/>
      <c r="Y107" s="552"/>
    </row>
    <row r="108" spans="1:25" s="512" customFormat="1" ht="11.1" customHeight="1" x14ac:dyDescent="0.15">
      <c r="A108" s="556">
        <v>34060</v>
      </c>
      <c r="B108" s="26" t="s">
        <v>101</v>
      </c>
      <c r="C108" s="26" t="s">
        <v>673</v>
      </c>
      <c r="D108" s="552" t="s">
        <v>674</v>
      </c>
      <c r="E108" s="37">
        <v>14334</v>
      </c>
      <c r="F108" s="37">
        <v>14334</v>
      </c>
      <c r="G108" s="37">
        <v>4875</v>
      </c>
      <c r="H108" s="37">
        <v>4093</v>
      </c>
      <c r="I108" s="37">
        <v>782</v>
      </c>
      <c r="J108" s="37"/>
      <c r="K108" s="37">
        <v>3210</v>
      </c>
      <c r="L108" s="37">
        <v>0</v>
      </c>
      <c r="M108" s="37">
        <v>883</v>
      </c>
      <c r="N108" s="37"/>
      <c r="O108" s="37"/>
      <c r="P108" s="37"/>
      <c r="Q108" s="37"/>
      <c r="R108" s="37"/>
      <c r="S108" s="37"/>
      <c r="T108" s="37"/>
      <c r="U108" s="37"/>
      <c r="V108" s="552" t="s">
        <v>91</v>
      </c>
      <c r="W108" s="552"/>
      <c r="X108" s="552"/>
      <c r="Y108" s="552"/>
    </row>
    <row r="109" spans="1:25" s="512" customFormat="1" ht="11.1" customHeight="1" x14ac:dyDescent="0.15">
      <c r="A109" s="556">
        <v>34060</v>
      </c>
      <c r="B109" s="26" t="s">
        <v>101</v>
      </c>
      <c r="C109" s="26" t="s">
        <v>675</v>
      </c>
      <c r="D109" s="552" t="s">
        <v>676</v>
      </c>
      <c r="E109" s="37">
        <v>2242</v>
      </c>
      <c r="F109" s="37">
        <v>2227</v>
      </c>
      <c r="G109" s="37">
        <v>361</v>
      </c>
      <c r="H109" s="37">
        <v>356</v>
      </c>
      <c r="I109" s="37">
        <v>5</v>
      </c>
      <c r="J109" s="37"/>
      <c r="K109" s="37">
        <v>252</v>
      </c>
      <c r="L109" s="37">
        <v>0</v>
      </c>
      <c r="M109" s="37">
        <v>104</v>
      </c>
      <c r="N109" s="37"/>
      <c r="O109" s="37"/>
      <c r="P109" s="37"/>
      <c r="Q109" s="37"/>
      <c r="R109" s="37"/>
      <c r="S109" s="37"/>
      <c r="T109" s="37"/>
      <c r="U109" s="37"/>
      <c r="V109" s="552" t="s">
        <v>91</v>
      </c>
      <c r="W109" s="552"/>
      <c r="X109" s="552"/>
      <c r="Y109" s="552"/>
    </row>
    <row r="110" spans="1:25" s="512" customFormat="1" ht="11.1" customHeight="1" x14ac:dyDescent="0.15">
      <c r="A110" s="556">
        <v>34060</v>
      </c>
      <c r="B110" s="26" t="s">
        <v>101</v>
      </c>
      <c r="C110" s="26" t="s">
        <v>677</v>
      </c>
      <c r="D110" s="552" t="s">
        <v>678</v>
      </c>
      <c r="E110" s="37">
        <v>21810</v>
      </c>
      <c r="F110" s="37">
        <v>21810</v>
      </c>
      <c r="G110" s="37">
        <v>7723</v>
      </c>
      <c r="H110" s="37">
        <v>7723</v>
      </c>
      <c r="I110" s="37">
        <v>0</v>
      </c>
      <c r="J110" s="37"/>
      <c r="K110" s="37">
        <v>6571</v>
      </c>
      <c r="L110" s="37">
        <v>0</v>
      </c>
      <c r="M110" s="37">
        <v>1152</v>
      </c>
      <c r="N110" s="37"/>
      <c r="O110" s="37"/>
      <c r="P110" s="37"/>
      <c r="Q110" s="37"/>
      <c r="R110" s="37"/>
      <c r="S110" s="37"/>
      <c r="T110" s="37"/>
      <c r="U110" s="37"/>
      <c r="V110" s="552" t="s">
        <v>91</v>
      </c>
      <c r="W110" s="552"/>
      <c r="X110" s="552"/>
      <c r="Y110" s="552"/>
    </row>
    <row r="111" spans="1:25" s="512" customFormat="1" ht="11.1" customHeight="1" x14ac:dyDescent="0.15">
      <c r="A111" s="556">
        <v>34060</v>
      </c>
      <c r="B111" s="26" t="s">
        <v>101</v>
      </c>
      <c r="C111" s="26" t="s">
        <v>679</v>
      </c>
      <c r="D111" s="552" t="s">
        <v>680</v>
      </c>
      <c r="E111" s="37">
        <v>13535</v>
      </c>
      <c r="F111" s="37">
        <v>13535</v>
      </c>
      <c r="G111" s="37">
        <v>5310</v>
      </c>
      <c r="H111" s="37">
        <v>4014</v>
      </c>
      <c r="I111" s="37">
        <v>1296</v>
      </c>
      <c r="J111" s="37"/>
      <c r="K111" s="37">
        <v>3092</v>
      </c>
      <c r="L111" s="37">
        <v>0</v>
      </c>
      <c r="M111" s="37">
        <v>922</v>
      </c>
      <c r="N111" s="37"/>
      <c r="O111" s="37"/>
      <c r="P111" s="37"/>
      <c r="Q111" s="37"/>
      <c r="R111" s="37"/>
      <c r="S111" s="37"/>
      <c r="T111" s="37"/>
      <c r="U111" s="37"/>
      <c r="V111" s="552" t="s">
        <v>91</v>
      </c>
      <c r="W111" s="552"/>
      <c r="X111" s="552"/>
      <c r="Y111" s="552"/>
    </row>
    <row r="112" spans="1:25" s="512" customFormat="1" ht="11.1" customHeight="1" x14ac:dyDescent="0.15">
      <c r="A112" s="556">
        <v>34060</v>
      </c>
      <c r="B112" s="26" t="s">
        <v>101</v>
      </c>
      <c r="C112" s="26" t="s">
        <v>681</v>
      </c>
      <c r="D112" s="552" t="s">
        <v>682</v>
      </c>
      <c r="E112" s="37">
        <v>38238</v>
      </c>
      <c r="F112" s="37">
        <v>38238</v>
      </c>
      <c r="G112" s="37">
        <v>13773</v>
      </c>
      <c r="H112" s="37">
        <v>13773</v>
      </c>
      <c r="I112" s="37">
        <v>0</v>
      </c>
      <c r="J112" s="37"/>
      <c r="K112" s="37">
        <v>11948</v>
      </c>
      <c r="L112" s="37">
        <v>0</v>
      </c>
      <c r="M112" s="37">
        <v>1825</v>
      </c>
      <c r="N112" s="37"/>
      <c r="O112" s="37"/>
      <c r="P112" s="37"/>
      <c r="Q112" s="37"/>
      <c r="R112" s="37"/>
      <c r="S112" s="37"/>
      <c r="T112" s="37"/>
      <c r="U112" s="37"/>
      <c r="V112" s="552" t="s">
        <v>91</v>
      </c>
      <c r="W112" s="552"/>
      <c r="X112" s="552"/>
      <c r="Y112" s="552"/>
    </row>
    <row r="113" spans="1:25" s="512" customFormat="1" ht="11.1" customHeight="1" x14ac:dyDescent="0.15">
      <c r="A113" s="556">
        <v>34060</v>
      </c>
      <c r="B113" s="26" t="s">
        <v>101</v>
      </c>
      <c r="C113" s="26" t="s">
        <v>683</v>
      </c>
      <c r="D113" s="552" t="s">
        <v>577</v>
      </c>
      <c r="E113" s="37">
        <v>11121</v>
      </c>
      <c r="F113" s="37">
        <v>11121</v>
      </c>
      <c r="G113" s="37">
        <v>4208</v>
      </c>
      <c r="H113" s="37">
        <v>1980</v>
      </c>
      <c r="I113" s="37">
        <v>2228</v>
      </c>
      <c r="J113" s="37"/>
      <c r="K113" s="37">
        <v>1440</v>
      </c>
      <c r="L113" s="37">
        <v>0</v>
      </c>
      <c r="M113" s="37">
        <v>540</v>
      </c>
      <c r="N113" s="37"/>
      <c r="O113" s="37"/>
      <c r="P113" s="37"/>
      <c r="Q113" s="37"/>
      <c r="R113" s="37"/>
      <c r="S113" s="37"/>
      <c r="T113" s="37"/>
      <c r="U113" s="37"/>
      <c r="V113" s="552" t="s">
        <v>91</v>
      </c>
      <c r="W113" s="552"/>
      <c r="X113" s="552"/>
      <c r="Y113" s="552"/>
    </row>
    <row r="114" spans="1:25" s="512" customFormat="1" ht="11.1" customHeight="1" x14ac:dyDescent="0.15">
      <c r="A114" s="556">
        <v>34060</v>
      </c>
      <c r="B114" s="26" t="s">
        <v>101</v>
      </c>
      <c r="C114" s="26" t="s">
        <v>684</v>
      </c>
      <c r="D114" s="552" t="s">
        <v>685</v>
      </c>
      <c r="E114" s="37">
        <v>19608</v>
      </c>
      <c r="F114" s="37">
        <v>19608</v>
      </c>
      <c r="G114" s="37">
        <v>2396</v>
      </c>
      <c r="H114" s="37">
        <v>2396</v>
      </c>
      <c r="I114" s="37">
        <v>0</v>
      </c>
      <c r="J114" s="37"/>
      <c r="K114" s="37">
        <v>1785</v>
      </c>
      <c r="L114" s="37">
        <v>0</v>
      </c>
      <c r="M114" s="37">
        <v>611</v>
      </c>
      <c r="N114" s="37"/>
      <c r="O114" s="37"/>
      <c r="P114" s="37"/>
      <c r="Q114" s="37"/>
      <c r="R114" s="37"/>
      <c r="S114" s="37"/>
      <c r="T114" s="37"/>
      <c r="U114" s="37"/>
      <c r="V114" s="552" t="s">
        <v>91</v>
      </c>
      <c r="W114" s="552"/>
      <c r="X114" s="552"/>
      <c r="Y114" s="552"/>
    </row>
    <row r="115" spans="1:25" s="512" customFormat="1" ht="11.1" customHeight="1" x14ac:dyDescent="0.15">
      <c r="A115" s="556">
        <v>34425</v>
      </c>
      <c r="B115" s="26" t="s">
        <v>102</v>
      </c>
      <c r="C115" s="26" t="s">
        <v>671</v>
      </c>
      <c r="D115" s="552" t="s">
        <v>246</v>
      </c>
      <c r="E115" s="37">
        <v>42156</v>
      </c>
      <c r="F115" s="37">
        <v>42156</v>
      </c>
      <c r="G115" s="37">
        <v>13596</v>
      </c>
      <c r="H115" s="37">
        <v>12894</v>
      </c>
      <c r="I115" s="37">
        <v>702</v>
      </c>
      <c r="J115" s="37"/>
      <c r="K115" s="37">
        <v>10747</v>
      </c>
      <c r="L115" s="37">
        <v>0</v>
      </c>
      <c r="M115" s="37">
        <v>2147</v>
      </c>
      <c r="N115" s="37"/>
      <c r="O115" s="37"/>
      <c r="P115" s="37"/>
      <c r="Q115" s="37"/>
      <c r="R115" s="37"/>
      <c r="S115" s="37"/>
      <c r="T115" s="37"/>
      <c r="U115" s="37"/>
      <c r="V115" s="552" t="s">
        <v>91</v>
      </c>
      <c r="W115" s="552"/>
      <c r="X115" s="552"/>
      <c r="Y115" s="552"/>
    </row>
    <row r="116" spans="1:25" s="512" customFormat="1" ht="11.1" customHeight="1" x14ac:dyDescent="0.15">
      <c r="A116" s="556">
        <v>34425</v>
      </c>
      <c r="B116" s="26" t="s">
        <v>102</v>
      </c>
      <c r="C116" s="26" t="s">
        <v>672</v>
      </c>
      <c r="D116" s="552" t="s">
        <v>456</v>
      </c>
      <c r="E116" s="37">
        <v>35443</v>
      </c>
      <c r="F116" s="37">
        <v>35443</v>
      </c>
      <c r="G116" s="37">
        <v>7596</v>
      </c>
      <c r="H116" s="37">
        <v>7596</v>
      </c>
      <c r="I116" s="37">
        <v>0</v>
      </c>
      <c r="J116" s="37"/>
      <c r="K116" s="37">
        <v>6074</v>
      </c>
      <c r="L116" s="37">
        <v>0</v>
      </c>
      <c r="M116" s="37">
        <v>1522</v>
      </c>
      <c r="N116" s="37"/>
      <c r="O116" s="37"/>
      <c r="P116" s="37"/>
      <c r="Q116" s="37"/>
      <c r="R116" s="37"/>
      <c r="S116" s="37"/>
      <c r="T116" s="37"/>
      <c r="U116" s="37"/>
      <c r="V116" s="552" t="s">
        <v>91</v>
      </c>
      <c r="W116" s="552"/>
      <c r="X116" s="552"/>
      <c r="Y116" s="552"/>
    </row>
    <row r="117" spans="1:25" s="512" customFormat="1" ht="11.1" customHeight="1" x14ac:dyDescent="0.15">
      <c r="A117" s="556">
        <v>34425</v>
      </c>
      <c r="B117" s="26" t="s">
        <v>102</v>
      </c>
      <c r="C117" s="26" t="s">
        <v>673</v>
      </c>
      <c r="D117" s="552" t="s">
        <v>674</v>
      </c>
      <c r="E117" s="37">
        <v>14277</v>
      </c>
      <c r="F117" s="37">
        <v>14277</v>
      </c>
      <c r="G117" s="37">
        <v>5061</v>
      </c>
      <c r="H117" s="37">
        <v>4222</v>
      </c>
      <c r="I117" s="37">
        <v>839</v>
      </c>
      <c r="J117" s="37"/>
      <c r="K117" s="37">
        <v>3340</v>
      </c>
      <c r="L117" s="37">
        <v>0</v>
      </c>
      <c r="M117" s="37">
        <v>882</v>
      </c>
      <c r="N117" s="37"/>
      <c r="O117" s="37"/>
      <c r="P117" s="37"/>
      <c r="Q117" s="37"/>
      <c r="R117" s="37"/>
      <c r="S117" s="37"/>
      <c r="T117" s="37"/>
      <c r="U117" s="37"/>
      <c r="V117" s="552" t="s">
        <v>91</v>
      </c>
      <c r="W117" s="552"/>
      <c r="X117" s="552"/>
      <c r="Y117" s="552"/>
    </row>
    <row r="118" spans="1:25" s="512" customFormat="1" ht="11.1" customHeight="1" x14ac:dyDescent="0.15">
      <c r="A118" s="556">
        <v>34425</v>
      </c>
      <c r="B118" s="26" t="s">
        <v>102</v>
      </c>
      <c r="C118" s="26" t="s">
        <v>675</v>
      </c>
      <c r="D118" s="552" t="s">
        <v>676</v>
      </c>
      <c r="E118" s="37">
        <v>2187</v>
      </c>
      <c r="F118" s="37">
        <v>2173</v>
      </c>
      <c r="G118" s="37">
        <v>397</v>
      </c>
      <c r="H118" s="37">
        <v>392</v>
      </c>
      <c r="I118" s="37">
        <v>5</v>
      </c>
      <c r="J118" s="37"/>
      <c r="K118" s="37">
        <v>276</v>
      </c>
      <c r="L118" s="37">
        <v>0</v>
      </c>
      <c r="M118" s="37">
        <v>116</v>
      </c>
      <c r="N118" s="37"/>
      <c r="O118" s="37"/>
      <c r="P118" s="37"/>
      <c r="Q118" s="37"/>
      <c r="R118" s="37"/>
      <c r="S118" s="37"/>
      <c r="T118" s="37"/>
      <c r="U118" s="37"/>
      <c r="V118" s="552" t="s">
        <v>91</v>
      </c>
      <c r="W118" s="552"/>
      <c r="X118" s="552"/>
      <c r="Y118" s="552"/>
    </row>
    <row r="119" spans="1:25" s="512" customFormat="1" ht="11.1" customHeight="1" x14ac:dyDescent="0.15">
      <c r="A119" s="556">
        <v>34425</v>
      </c>
      <c r="B119" s="26" t="s">
        <v>102</v>
      </c>
      <c r="C119" s="26" t="s">
        <v>677</v>
      </c>
      <c r="D119" s="552" t="s">
        <v>678</v>
      </c>
      <c r="E119" s="37">
        <v>22034</v>
      </c>
      <c r="F119" s="37">
        <v>22034</v>
      </c>
      <c r="G119" s="37">
        <v>8425</v>
      </c>
      <c r="H119" s="37">
        <v>8425</v>
      </c>
      <c r="I119" s="37">
        <v>0</v>
      </c>
      <c r="J119" s="37"/>
      <c r="K119" s="37">
        <v>7213</v>
      </c>
      <c r="L119" s="37">
        <v>0</v>
      </c>
      <c r="M119" s="37">
        <v>1212</v>
      </c>
      <c r="N119" s="37"/>
      <c r="O119" s="37"/>
      <c r="P119" s="37"/>
      <c r="Q119" s="37"/>
      <c r="R119" s="37"/>
      <c r="S119" s="37"/>
      <c r="T119" s="37"/>
      <c r="U119" s="37"/>
      <c r="V119" s="552" t="s">
        <v>91</v>
      </c>
      <c r="W119" s="552"/>
      <c r="X119" s="552"/>
      <c r="Y119" s="552"/>
    </row>
    <row r="120" spans="1:25" s="512" customFormat="1" ht="11.1" customHeight="1" x14ac:dyDescent="0.15">
      <c r="A120" s="556">
        <v>34425</v>
      </c>
      <c r="B120" s="26" t="s">
        <v>102</v>
      </c>
      <c r="C120" s="26" t="s">
        <v>679</v>
      </c>
      <c r="D120" s="552" t="s">
        <v>680</v>
      </c>
      <c r="E120" s="37">
        <v>13590</v>
      </c>
      <c r="F120" s="37">
        <v>13590</v>
      </c>
      <c r="G120" s="37">
        <v>5910</v>
      </c>
      <c r="H120" s="37">
        <v>4481</v>
      </c>
      <c r="I120" s="37">
        <v>1429</v>
      </c>
      <c r="J120" s="37"/>
      <c r="K120" s="37">
        <v>3435</v>
      </c>
      <c r="L120" s="37">
        <v>0</v>
      </c>
      <c r="M120" s="37">
        <v>1046</v>
      </c>
      <c r="N120" s="37"/>
      <c r="O120" s="37"/>
      <c r="P120" s="37"/>
      <c r="Q120" s="37"/>
      <c r="R120" s="37"/>
      <c r="S120" s="37"/>
      <c r="T120" s="37"/>
      <c r="U120" s="37"/>
      <c r="V120" s="552" t="s">
        <v>91</v>
      </c>
      <c r="W120" s="552"/>
      <c r="X120" s="552"/>
      <c r="Y120" s="552"/>
    </row>
    <row r="121" spans="1:25" s="512" customFormat="1" ht="11.1" customHeight="1" x14ac:dyDescent="0.15">
      <c r="A121" s="556">
        <v>34425</v>
      </c>
      <c r="B121" s="26" t="s">
        <v>102</v>
      </c>
      <c r="C121" s="26" t="s">
        <v>681</v>
      </c>
      <c r="D121" s="552" t="s">
        <v>682</v>
      </c>
      <c r="E121" s="37">
        <v>38378</v>
      </c>
      <c r="F121" s="37">
        <v>38378</v>
      </c>
      <c r="G121" s="37">
        <v>14855</v>
      </c>
      <c r="H121" s="37">
        <v>14855</v>
      </c>
      <c r="I121" s="37">
        <v>0</v>
      </c>
      <c r="J121" s="37"/>
      <c r="K121" s="37">
        <v>12692</v>
      </c>
      <c r="L121" s="37">
        <v>0</v>
      </c>
      <c r="M121" s="37">
        <v>2163</v>
      </c>
      <c r="N121" s="37"/>
      <c r="O121" s="37"/>
      <c r="P121" s="37"/>
      <c r="Q121" s="37"/>
      <c r="R121" s="37"/>
      <c r="S121" s="37"/>
      <c r="T121" s="37"/>
      <c r="U121" s="37"/>
      <c r="V121" s="552" t="s">
        <v>91</v>
      </c>
      <c r="W121" s="552"/>
      <c r="X121" s="552"/>
      <c r="Y121" s="552"/>
    </row>
    <row r="122" spans="1:25" s="512" customFormat="1" ht="11.1" customHeight="1" x14ac:dyDescent="0.15">
      <c r="A122" s="556">
        <v>34425</v>
      </c>
      <c r="B122" s="26" t="s">
        <v>102</v>
      </c>
      <c r="C122" s="26" t="s">
        <v>683</v>
      </c>
      <c r="D122" s="552" t="s">
        <v>577</v>
      </c>
      <c r="E122" s="37">
        <v>11079</v>
      </c>
      <c r="F122" s="37">
        <v>11079</v>
      </c>
      <c r="G122" s="37">
        <v>4403</v>
      </c>
      <c r="H122" s="37">
        <v>2111</v>
      </c>
      <c r="I122" s="37">
        <v>2292</v>
      </c>
      <c r="J122" s="37"/>
      <c r="K122" s="37">
        <v>1518</v>
      </c>
      <c r="L122" s="37">
        <v>0</v>
      </c>
      <c r="M122" s="37">
        <v>593</v>
      </c>
      <c r="N122" s="37"/>
      <c r="O122" s="37"/>
      <c r="P122" s="37"/>
      <c r="Q122" s="37"/>
      <c r="R122" s="37"/>
      <c r="S122" s="37"/>
      <c r="T122" s="37"/>
      <c r="U122" s="37"/>
      <c r="V122" s="552" t="s">
        <v>91</v>
      </c>
      <c r="W122" s="552"/>
      <c r="X122" s="552"/>
      <c r="Y122" s="552"/>
    </row>
    <row r="123" spans="1:25" s="512" customFormat="1" ht="11.1" customHeight="1" x14ac:dyDescent="0.15">
      <c r="A123" s="556">
        <v>34425</v>
      </c>
      <c r="B123" s="26" t="s">
        <v>102</v>
      </c>
      <c r="C123" s="26" t="s">
        <v>684</v>
      </c>
      <c r="D123" s="552" t="s">
        <v>685</v>
      </c>
      <c r="E123" s="37">
        <v>19428</v>
      </c>
      <c r="F123" s="37">
        <v>19428</v>
      </c>
      <c r="G123" s="37">
        <v>2586</v>
      </c>
      <c r="H123" s="37">
        <v>2586</v>
      </c>
      <c r="I123" s="37">
        <v>0</v>
      </c>
      <c r="J123" s="37"/>
      <c r="K123" s="37">
        <v>1926</v>
      </c>
      <c r="L123" s="37">
        <v>0</v>
      </c>
      <c r="M123" s="37">
        <v>660</v>
      </c>
      <c r="N123" s="37"/>
      <c r="O123" s="37"/>
      <c r="P123" s="37"/>
      <c r="Q123" s="37"/>
      <c r="R123" s="37"/>
      <c r="S123" s="37"/>
      <c r="T123" s="37"/>
      <c r="U123" s="37"/>
      <c r="V123" s="552" t="s">
        <v>91</v>
      </c>
      <c r="W123" s="552"/>
      <c r="X123" s="552"/>
      <c r="Y123" s="552"/>
    </row>
    <row r="124" spans="1:25" s="512" customFormat="1" ht="11.1" customHeight="1" x14ac:dyDescent="0.15">
      <c r="A124" s="556">
        <v>34790</v>
      </c>
      <c r="B124" s="26" t="s">
        <v>103</v>
      </c>
      <c r="C124" s="26" t="s">
        <v>671</v>
      </c>
      <c r="D124" s="552" t="s">
        <v>246</v>
      </c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552" t="s">
        <v>91</v>
      </c>
      <c r="W124" s="552"/>
      <c r="X124" s="552"/>
      <c r="Y124" s="552"/>
    </row>
    <row r="125" spans="1:25" s="512" customFormat="1" ht="11.1" customHeight="1" x14ac:dyDescent="0.15">
      <c r="A125" s="556">
        <v>34790</v>
      </c>
      <c r="B125" s="26" t="s">
        <v>103</v>
      </c>
      <c r="C125" s="26" t="s">
        <v>672</v>
      </c>
      <c r="D125" s="552" t="s">
        <v>456</v>
      </c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552" t="s">
        <v>91</v>
      </c>
      <c r="W125" s="552"/>
      <c r="X125" s="552"/>
      <c r="Y125" s="552"/>
    </row>
    <row r="126" spans="1:25" s="512" customFormat="1" ht="11.1" customHeight="1" x14ac:dyDescent="0.15">
      <c r="A126" s="556">
        <v>34790</v>
      </c>
      <c r="B126" s="26" t="s">
        <v>103</v>
      </c>
      <c r="C126" s="26" t="s">
        <v>673</v>
      </c>
      <c r="D126" s="552" t="s">
        <v>674</v>
      </c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552" t="s">
        <v>91</v>
      </c>
      <c r="W126" s="552"/>
      <c r="X126" s="552"/>
      <c r="Y126" s="552"/>
    </row>
    <row r="127" spans="1:25" s="512" customFormat="1" ht="11.1" customHeight="1" x14ac:dyDescent="0.15">
      <c r="A127" s="556">
        <v>34790</v>
      </c>
      <c r="B127" s="26" t="s">
        <v>103</v>
      </c>
      <c r="C127" s="26" t="s">
        <v>675</v>
      </c>
      <c r="D127" s="552" t="s">
        <v>676</v>
      </c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552" t="s">
        <v>91</v>
      </c>
      <c r="W127" s="552"/>
      <c r="X127" s="552"/>
      <c r="Y127" s="552"/>
    </row>
    <row r="128" spans="1:25" s="512" customFormat="1" ht="11.1" customHeight="1" x14ac:dyDescent="0.15">
      <c r="A128" s="556">
        <v>34790</v>
      </c>
      <c r="B128" s="26" t="s">
        <v>103</v>
      </c>
      <c r="C128" s="26" t="s">
        <v>677</v>
      </c>
      <c r="D128" s="552" t="s">
        <v>678</v>
      </c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552" t="s">
        <v>91</v>
      </c>
      <c r="W128" s="552"/>
      <c r="X128" s="552"/>
      <c r="Y128" s="552"/>
    </row>
    <row r="129" spans="1:25" s="512" customFormat="1" ht="11.1" customHeight="1" x14ac:dyDescent="0.15">
      <c r="A129" s="556">
        <v>34790</v>
      </c>
      <c r="B129" s="26" t="s">
        <v>103</v>
      </c>
      <c r="C129" s="26" t="s">
        <v>679</v>
      </c>
      <c r="D129" s="552" t="s">
        <v>680</v>
      </c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552" t="s">
        <v>91</v>
      </c>
      <c r="W129" s="552"/>
      <c r="X129" s="552"/>
      <c r="Y129" s="552"/>
    </row>
    <row r="130" spans="1:25" s="512" customFormat="1" ht="11.1" customHeight="1" x14ac:dyDescent="0.15">
      <c r="A130" s="556">
        <v>34790</v>
      </c>
      <c r="B130" s="26" t="s">
        <v>103</v>
      </c>
      <c r="C130" s="26" t="s">
        <v>681</v>
      </c>
      <c r="D130" s="552" t="s">
        <v>682</v>
      </c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552" t="s">
        <v>91</v>
      </c>
      <c r="W130" s="552"/>
      <c r="X130" s="552"/>
      <c r="Y130" s="552"/>
    </row>
    <row r="131" spans="1:25" s="512" customFormat="1" ht="11.1" customHeight="1" x14ac:dyDescent="0.15">
      <c r="A131" s="556">
        <v>34790</v>
      </c>
      <c r="B131" s="26" t="s">
        <v>103</v>
      </c>
      <c r="C131" s="26" t="s">
        <v>683</v>
      </c>
      <c r="D131" s="552" t="s">
        <v>577</v>
      </c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552" t="s">
        <v>91</v>
      </c>
      <c r="W131" s="552"/>
      <c r="X131" s="552"/>
      <c r="Y131" s="552"/>
    </row>
    <row r="132" spans="1:25" s="512" customFormat="1" ht="11.1" customHeight="1" x14ac:dyDescent="0.15">
      <c r="A132" s="556">
        <v>34790</v>
      </c>
      <c r="B132" s="26" t="s">
        <v>103</v>
      </c>
      <c r="C132" s="26" t="s">
        <v>684</v>
      </c>
      <c r="D132" s="552" t="s">
        <v>685</v>
      </c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552" t="s">
        <v>91</v>
      </c>
      <c r="W132" s="552"/>
      <c r="X132" s="552"/>
      <c r="Y132" s="552"/>
    </row>
    <row r="133" spans="1:25" s="512" customFormat="1" ht="11.1" customHeight="1" x14ac:dyDescent="0.15">
      <c r="A133" s="556">
        <v>35156</v>
      </c>
      <c r="B133" s="26" t="s">
        <v>104</v>
      </c>
      <c r="C133" s="26" t="s">
        <v>671</v>
      </c>
      <c r="D133" s="552" t="s">
        <v>246</v>
      </c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552" t="s">
        <v>91</v>
      </c>
      <c r="W133" s="552"/>
      <c r="X133" s="552"/>
      <c r="Y133" s="552"/>
    </row>
    <row r="134" spans="1:25" s="512" customFormat="1" ht="11.1" customHeight="1" x14ac:dyDescent="0.15">
      <c r="A134" s="556">
        <v>35156</v>
      </c>
      <c r="B134" s="26" t="s">
        <v>104</v>
      </c>
      <c r="C134" s="26" t="s">
        <v>672</v>
      </c>
      <c r="D134" s="552" t="s">
        <v>456</v>
      </c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552" t="s">
        <v>91</v>
      </c>
      <c r="W134" s="552"/>
      <c r="X134" s="552"/>
      <c r="Y134" s="552"/>
    </row>
    <row r="135" spans="1:25" s="512" customFormat="1" ht="11.1" customHeight="1" x14ac:dyDescent="0.15">
      <c r="A135" s="556">
        <v>35156</v>
      </c>
      <c r="B135" s="26" t="s">
        <v>104</v>
      </c>
      <c r="C135" s="26" t="s">
        <v>673</v>
      </c>
      <c r="D135" s="552" t="s">
        <v>674</v>
      </c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552" t="s">
        <v>91</v>
      </c>
      <c r="W135" s="552"/>
      <c r="X135" s="552"/>
      <c r="Y135" s="552"/>
    </row>
    <row r="136" spans="1:25" s="512" customFormat="1" ht="11.1" customHeight="1" x14ac:dyDescent="0.15">
      <c r="A136" s="556">
        <v>35156</v>
      </c>
      <c r="B136" s="26" t="s">
        <v>104</v>
      </c>
      <c r="C136" s="26" t="s">
        <v>675</v>
      </c>
      <c r="D136" s="552" t="s">
        <v>676</v>
      </c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552" t="s">
        <v>91</v>
      </c>
      <c r="W136" s="552"/>
      <c r="X136" s="552"/>
      <c r="Y136" s="552"/>
    </row>
    <row r="137" spans="1:25" s="512" customFormat="1" ht="11.1" customHeight="1" x14ac:dyDescent="0.15">
      <c r="A137" s="556">
        <v>35156</v>
      </c>
      <c r="B137" s="26" t="s">
        <v>104</v>
      </c>
      <c r="C137" s="26" t="s">
        <v>677</v>
      </c>
      <c r="D137" s="552" t="s">
        <v>678</v>
      </c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552" t="s">
        <v>91</v>
      </c>
      <c r="W137" s="552"/>
      <c r="X137" s="552"/>
      <c r="Y137" s="552"/>
    </row>
    <row r="138" spans="1:25" s="512" customFormat="1" ht="11.1" customHeight="1" x14ac:dyDescent="0.15">
      <c r="A138" s="556">
        <v>35156</v>
      </c>
      <c r="B138" s="26" t="s">
        <v>104</v>
      </c>
      <c r="C138" s="26" t="s">
        <v>679</v>
      </c>
      <c r="D138" s="552" t="s">
        <v>680</v>
      </c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552" t="s">
        <v>91</v>
      </c>
      <c r="W138" s="552"/>
      <c r="X138" s="552"/>
      <c r="Y138" s="552"/>
    </row>
    <row r="139" spans="1:25" s="512" customFormat="1" ht="11.1" customHeight="1" x14ac:dyDescent="0.15">
      <c r="A139" s="556">
        <v>35156</v>
      </c>
      <c r="B139" s="26" t="s">
        <v>104</v>
      </c>
      <c r="C139" s="26" t="s">
        <v>681</v>
      </c>
      <c r="D139" s="552" t="s">
        <v>682</v>
      </c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552" t="s">
        <v>91</v>
      </c>
      <c r="W139" s="552"/>
      <c r="X139" s="552"/>
      <c r="Y139" s="552"/>
    </row>
    <row r="140" spans="1:25" s="512" customFormat="1" ht="11.1" customHeight="1" x14ac:dyDescent="0.15">
      <c r="A140" s="556">
        <v>35156</v>
      </c>
      <c r="B140" s="26" t="s">
        <v>104</v>
      </c>
      <c r="C140" s="26" t="s">
        <v>683</v>
      </c>
      <c r="D140" s="552" t="s">
        <v>577</v>
      </c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552" t="s">
        <v>91</v>
      </c>
      <c r="W140" s="552"/>
      <c r="X140" s="552"/>
      <c r="Y140" s="552"/>
    </row>
    <row r="141" spans="1:25" s="512" customFormat="1" ht="11.1" customHeight="1" x14ac:dyDescent="0.15">
      <c r="A141" s="556">
        <v>35156</v>
      </c>
      <c r="B141" s="26" t="s">
        <v>104</v>
      </c>
      <c r="C141" s="26" t="s">
        <v>684</v>
      </c>
      <c r="D141" s="552" t="s">
        <v>685</v>
      </c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552" t="s">
        <v>91</v>
      </c>
      <c r="W141" s="552"/>
      <c r="X141" s="552"/>
      <c r="Y141" s="552"/>
    </row>
    <row r="142" spans="1:25" s="512" customFormat="1" ht="11.1" customHeight="1" x14ac:dyDescent="0.15">
      <c r="A142" s="556">
        <v>35521</v>
      </c>
      <c r="B142" s="26" t="s">
        <v>105</v>
      </c>
      <c r="C142" s="26" t="s">
        <v>671</v>
      </c>
      <c r="D142" s="552" t="s">
        <v>246</v>
      </c>
      <c r="E142" s="37">
        <v>41666</v>
      </c>
      <c r="F142" s="37">
        <v>41666</v>
      </c>
      <c r="G142" s="37">
        <v>14578</v>
      </c>
      <c r="H142" s="37">
        <v>13881</v>
      </c>
      <c r="I142" s="37"/>
      <c r="J142" s="37"/>
      <c r="K142" s="37">
        <v>12005</v>
      </c>
      <c r="L142" s="37"/>
      <c r="M142" s="37">
        <v>1876</v>
      </c>
      <c r="N142" s="37"/>
      <c r="O142" s="37"/>
      <c r="P142" s="37"/>
      <c r="Q142" s="37"/>
      <c r="R142" s="37"/>
      <c r="S142" s="37"/>
      <c r="T142" s="37"/>
      <c r="U142" s="37"/>
      <c r="V142" s="552" t="s">
        <v>91</v>
      </c>
      <c r="W142" s="552"/>
      <c r="X142" s="552"/>
      <c r="Y142" s="552"/>
    </row>
    <row r="143" spans="1:25" s="512" customFormat="1" ht="11.1" customHeight="1" x14ac:dyDescent="0.15">
      <c r="A143" s="556">
        <v>35521</v>
      </c>
      <c r="B143" s="26" t="s">
        <v>105</v>
      </c>
      <c r="C143" s="26" t="s">
        <v>672</v>
      </c>
      <c r="D143" s="552" t="s">
        <v>456</v>
      </c>
      <c r="E143" s="37">
        <v>35170</v>
      </c>
      <c r="F143" s="37">
        <v>35170</v>
      </c>
      <c r="G143" s="37">
        <v>8081</v>
      </c>
      <c r="H143" s="37">
        <v>8081</v>
      </c>
      <c r="I143" s="37"/>
      <c r="J143" s="37"/>
      <c r="K143" s="37">
        <v>6811</v>
      </c>
      <c r="L143" s="37"/>
      <c r="M143" s="37">
        <v>1270</v>
      </c>
      <c r="N143" s="37"/>
      <c r="O143" s="37"/>
      <c r="P143" s="37"/>
      <c r="Q143" s="37"/>
      <c r="R143" s="37"/>
      <c r="S143" s="37"/>
      <c r="T143" s="37"/>
      <c r="U143" s="37"/>
      <c r="V143" s="552" t="s">
        <v>91</v>
      </c>
      <c r="W143" s="552"/>
      <c r="X143" s="552"/>
      <c r="Y143" s="552"/>
    </row>
    <row r="144" spans="1:25" s="512" customFormat="1" ht="11.1" customHeight="1" x14ac:dyDescent="0.15">
      <c r="A144" s="556">
        <v>35521</v>
      </c>
      <c r="B144" s="26" t="s">
        <v>105</v>
      </c>
      <c r="C144" s="26" t="s">
        <v>673</v>
      </c>
      <c r="D144" s="552" t="s">
        <v>674</v>
      </c>
      <c r="E144" s="37">
        <v>14188</v>
      </c>
      <c r="F144" s="37">
        <v>14188</v>
      </c>
      <c r="G144" s="37">
        <v>4297</v>
      </c>
      <c r="H144" s="37">
        <v>4297</v>
      </c>
      <c r="I144" s="37"/>
      <c r="J144" s="37"/>
      <c r="K144" s="37">
        <v>3554</v>
      </c>
      <c r="L144" s="37"/>
      <c r="M144" s="37">
        <v>743</v>
      </c>
      <c r="N144" s="37"/>
      <c r="O144" s="37"/>
      <c r="P144" s="37"/>
      <c r="Q144" s="37"/>
      <c r="R144" s="37"/>
      <c r="S144" s="37"/>
      <c r="T144" s="37"/>
      <c r="U144" s="37"/>
      <c r="V144" s="552" t="s">
        <v>91</v>
      </c>
      <c r="W144" s="552"/>
      <c r="X144" s="552"/>
      <c r="Y144" s="552"/>
    </row>
    <row r="145" spans="1:25" s="512" customFormat="1" ht="11.1" customHeight="1" x14ac:dyDescent="0.15">
      <c r="A145" s="556">
        <v>35521</v>
      </c>
      <c r="B145" s="26" t="s">
        <v>105</v>
      </c>
      <c r="C145" s="26" t="s">
        <v>675</v>
      </c>
      <c r="D145" s="552" t="s">
        <v>676</v>
      </c>
      <c r="E145" s="37">
        <v>2129</v>
      </c>
      <c r="F145" s="37">
        <v>2118</v>
      </c>
      <c r="G145" s="37">
        <v>418</v>
      </c>
      <c r="H145" s="37">
        <v>418</v>
      </c>
      <c r="I145" s="37"/>
      <c r="J145" s="37"/>
      <c r="K145" s="37">
        <v>316</v>
      </c>
      <c r="L145" s="37"/>
      <c r="M145" s="37">
        <v>102</v>
      </c>
      <c r="N145" s="37"/>
      <c r="O145" s="37"/>
      <c r="P145" s="37"/>
      <c r="Q145" s="37"/>
      <c r="R145" s="37"/>
      <c r="S145" s="37"/>
      <c r="T145" s="37"/>
      <c r="U145" s="37"/>
      <c r="V145" s="552" t="s">
        <v>91</v>
      </c>
      <c r="W145" s="552"/>
      <c r="X145" s="552"/>
      <c r="Y145" s="552"/>
    </row>
    <row r="146" spans="1:25" s="512" customFormat="1" ht="11.1" customHeight="1" x14ac:dyDescent="0.15">
      <c r="A146" s="556">
        <v>35521</v>
      </c>
      <c r="B146" s="26" t="s">
        <v>105</v>
      </c>
      <c r="C146" s="26" t="s">
        <v>677</v>
      </c>
      <c r="D146" s="552" t="s">
        <v>678</v>
      </c>
      <c r="E146" s="37">
        <v>22499</v>
      </c>
      <c r="F146" s="37">
        <v>22499</v>
      </c>
      <c r="G146" s="37">
        <v>9008</v>
      </c>
      <c r="H146" s="37">
        <v>9008</v>
      </c>
      <c r="I146" s="37"/>
      <c r="J146" s="37"/>
      <c r="K146" s="37">
        <v>7881</v>
      </c>
      <c r="L146" s="37"/>
      <c r="M146" s="37">
        <v>1127</v>
      </c>
      <c r="N146" s="37"/>
      <c r="O146" s="37"/>
      <c r="P146" s="37"/>
      <c r="Q146" s="37"/>
      <c r="R146" s="37"/>
      <c r="S146" s="37"/>
      <c r="T146" s="37"/>
      <c r="U146" s="37"/>
      <c r="V146" s="552" t="s">
        <v>91</v>
      </c>
      <c r="W146" s="552"/>
      <c r="X146" s="552"/>
      <c r="Y146" s="552"/>
    </row>
    <row r="147" spans="1:25" s="512" customFormat="1" ht="11.1" customHeight="1" x14ac:dyDescent="0.15">
      <c r="A147" s="556">
        <v>35521</v>
      </c>
      <c r="B147" s="26" t="s">
        <v>105</v>
      </c>
      <c r="C147" s="26" t="s">
        <v>679</v>
      </c>
      <c r="D147" s="552" t="s">
        <v>680</v>
      </c>
      <c r="E147" s="37">
        <v>13596</v>
      </c>
      <c r="F147" s="37">
        <v>13596</v>
      </c>
      <c r="G147" s="37">
        <v>5712</v>
      </c>
      <c r="H147" s="37">
        <v>4664</v>
      </c>
      <c r="I147" s="37"/>
      <c r="J147" s="37"/>
      <c r="K147" s="37">
        <v>3747</v>
      </c>
      <c r="L147" s="37"/>
      <c r="M147" s="37">
        <v>917</v>
      </c>
      <c r="N147" s="37"/>
      <c r="O147" s="37"/>
      <c r="P147" s="37"/>
      <c r="Q147" s="37"/>
      <c r="R147" s="37"/>
      <c r="S147" s="37"/>
      <c r="T147" s="37"/>
      <c r="U147" s="37"/>
      <c r="V147" s="552" t="s">
        <v>91</v>
      </c>
      <c r="W147" s="552"/>
      <c r="X147" s="552"/>
      <c r="Y147" s="552"/>
    </row>
    <row r="148" spans="1:25" s="512" customFormat="1" ht="11.1" customHeight="1" x14ac:dyDescent="0.15">
      <c r="A148" s="556">
        <v>35521</v>
      </c>
      <c r="B148" s="26" t="s">
        <v>105</v>
      </c>
      <c r="C148" s="26" t="s">
        <v>681</v>
      </c>
      <c r="D148" s="552" t="s">
        <v>682</v>
      </c>
      <c r="E148" s="37">
        <v>38636</v>
      </c>
      <c r="F148" s="37">
        <v>38636</v>
      </c>
      <c r="G148" s="37">
        <v>15045</v>
      </c>
      <c r="H148" s="37">
        <v>15045</v>
      </c>
      <c r="I148" s="37"/>
      <c r="J148" s="37"/>
      <c r="K148" s="37">
        <v>13430</v>
      </c>
      <c r="L148" s="37"/>
      <c r="M148" s="37">
        <v>1615</v>
      </c>
      <c r="N148" s="37"/>
      <c r="O148" s="37"/>
      <c r="P148" s="37"/>
      <c r="Q148" s="37"/>
      <c r="R148" s="37"/>
      <c r="S148" s="37"/>
      <c r="T148" s="37"/>
      <c r="U148" s="37"/>
      <c r="V148" s="552" t="s">
        <v>91</v>
      </c>
      <c r="W148" s="552"/>
      <c r="X148" s="552"/>
      <c r="Y148" s="552"/>
    </row>
    <row r="149" spans="1:25" s="512" customFormat="1" ht="11.1" customHeight="1" x14ac:dyDescent="0.15">
      <c r="A149" s="556">
        <v>35521</v>
      </c>
      <c r="B149" s="26" t="s">
        <v>105</v>
      </c>
      <c r="C149" s="26" t="s">
        <v>683</v>
      </c>
      <c r="D149" s="552" t="s">
        <v>577</v>
      </c>
      <c r="E149" s="37">
        <v>11240</v>
      </c>
      <c r="F149" s="37">
        <v>11240</v>
      </c>
      <c r="G149" s="37">
        <v>2596</v>
      </c>
      <c r="H149" s="37">
        <v>2249</v>
      </c>
      <c r="I149" s="37"/>
      <c r="J149" s="37"/>
      <c r="K149" s="37">
        <v>1764</v>
      </c>
      <c r="L149" s="37"/>
      <c r="M149" s="37">
        <v>485</v>
      </c>
      <c r="N149" s="37"/>
      <c r="O149" s="37"/>
      <c r="P149" s="37"/>
      <c r="Q149" s="37"/>
      <c r="R149" s="37"/>
      <c r="S149" s="37"/>
      <c r="T149" s="37"/>
      <c r="U149" s="37"/>
      <c r="V149" s="552" t="s">
        <v>91</v>
      </c>
      <c r="W149" s="552"/>
      <c r="X149" s="552"/>
      <c r="Y149" s="552"/>
    </row>
    <row r="150" spans="1:25" s="512" customFormat="1" ht="11.1" customHeight="1" x14ac:dyDescent="0.15">
      <c r="A150" s="556">
        <v>35521</v>
      </c>
      <c r="B150" s="26" t="s">
        <v>105</v>
      </c>
      <c r="C150" s="26" t="s">
        <v>684</v>
      </c>
      <c r="D150" s="552" t="s">
        <v>685</v>
      </c>
      <c r="E150" s="37">
        <v>18829</v>
      </c>
      <c r="F150" s="37">
        <v>18829</v>
      </c>
      <c r="G150" s="37">
        <v>2790</v>
      </c>
      <c r="H150" s="37">
        <v>2790</v>
      </c>
      <c r="I150" s="37"/>
      <c r="J150" s="37"/>
      <c r="K150" s="37">
        <v>2222</v>
      </c>
      <c r="L150" s="37"/>
      <c r="M150" s="37">
        <v>568</v>
      </c>
      <c r="N150" s="37"/>
      <c r="O150" s="37"/>
      <c r="P150" s="37"/>
      <c r="Q150" s="37"/>
      <c r="R150" s="37"/>
      <c r="S150" s="37"/>
      <c r="T150" s="37"/>
      <c r="U150" s="37"/>
      <c r="V150" s="552" t="s">
        <v>91</v>
      </c>
      <c r="W150" s="552"/>
      <c r="X150" s="552"/>
      <c r="Y150" s="552"/>
    </row>
    <row r="151" spans="1:25" s="512" customFormat="1" ht="11.1" customHeight="1" x14ac:dyDescent="0.15">
      <c r="A151" s="556">
        <v>35886</v>
      </c>
      <c r="B151" s="26" t="s">
        <v>20</v>
      </c>
      <c r="C151" s="26" t="s">
        <v>671</v>
      </c>
      <c r="D151" s="552" t="s">
        <v>246</v>
      </c>
      <c r="E151" s="37">
        <v>41655</v>
      </c>
      <c r="F151" s="37">
        <v>41655</v>
      </c>
      <c r="G151" s="37">
        <v>13849</v>
      </c>
      <c r="H151" s="37">
        <v>14756</v>
      </c>
      <c r="I151" s="37">
        <v>0</v>
      </c>
      <c r="J151" s="37">
        <v>251</v>
      </c>
      <c r="K151" s="37">
        <v>12743</v>
      </c>
      <c r="L151" s="37">
        <v>0</v>
      </c>
      <c r="M151" s="37">
        <v>2013</v>
      </c>
      <c r="N151" s="37">
        <v>0</v>
      </c>
      <c r="O151" s="37">
        <v>14756</v>
      </c>
      <c r="P151" s="37">
        <v>100</v>
      </c>
      <c r="Q151" s="37">
        <v>783</v>
      </c>
      <c r="R151" s="37">
        <v>6.8901179449590195</v>
      </c>
      <c r="S151" s="37">
        <v>1899</v>
      </c>
      <c r="T151" s="37">
        <v>1207</v>
      </c>
      <c r="U151" s="37">
        <v>3106</v>
      </c>
      <c r="V151" s="552"/>
      <c r="W151" s="552"/>
      <c r="X151" s="552"/>
      <c r="Y151" s="552"/>
    </row>
    <row r="152" spans="1:25" s="512" customFormat="1" ht="11.1" customHeight="1" x14ac:dyDescent="0.15">
      <c r="A152" s="556">
        <v>35886</v>
      </c>
      <c r="B152" s="26" t="s">
        <v>20</v>
      </c>
      <c r="C152" s="26" t="s">
        <v>672</v>
      </c>
      <c r="D152" s="552" t="s">
        <v>456</v>
      </c>
      <c r="E152" s="37">
        <v>35021</v>
      </c>
      <c r="F152" s="37">
        <v>35021</v>
      </c>
      <c r="G152" s="37">
        <v>7971</v>
      </c>
      <c r="H152" s="37">
        <v>9015</v>
      </c>
      <c r="I152" s="37">
        <v>0</v>
      </c>
      <c r="J152" s="37">
        <v>644</v>
      </c>
      <c r="K152" s="37">
        <v>7633</v>
      </c>
      <c r="L152" s="37">
        <v>0</v>
      </c>
      <c r="M152" s="37">
        <v>1382</v>
      </c>
      <c r="N152" s="37">
        <v>0</v>
      </c>
      <c r="O152" s="37">
        <v>9015</v>
      </c>
      <c r="P152" s="37">
        <v>100</v>
      </c>
      <c r="Q152" s="37">
        <v>537</v>
      </c>
      <c r="R152" s="37">
        <v>12.226938606481003</v>
      </c>
      <c r="S152" s="37">
        <v>1082</v>
      </c>
      <c r="T152" s="37">
        <v>831</v>
      </c>
      <c r="U152" s="37">
        <v>1913</v>
      </c>
      <c r="V152" s="552"/>
      <c r="W152" s="552"/>
      <c r="X152" s="552"/>
      <c r="Y152" s="552"/>
    </row>
    <row r="153" spans="1:25" s="512" customFormat="1" ht="11.1" customHeight="1" x14ac:dyDescent="0.15">
      <c r="A153" s="556">
        <v>35886</v>
      </c>
      <c r="B153" s="26" t="s">
        <v>20</v>
      </c>
      <c r="C153" s="26" t="s">
        <v>673</v>
      </c>
      <c r="D153" s="552" t="s">
        <v>674</v>
      </c>
      <c r="E153" s="37">
        <v>14165</v>
      </c>
      <c r="F153" s="37">
        <v>14165</v>
      </c>
      <c r="G153" s="37">
        <v>3895</v>
      </c>
      <c r="H153" s="37">
        <v>4165</v>
      </c>
      <c r="I153" s="37">
        <v>0</v>
      </c>
      <c r="J153" s="37">
        <v>63</v>
      </c>
      <c r="K153" s="37">
        <v>3402</v>
      </c>
      <c r="L153" s="37">
        <v>0</v>
      </c>
      <c r="M153" s="37">
        <v>763</v>
      </c>
      <c r="N153" s="37">
        <v>0</v>
      </c>
      <c r="O153" s="37">
        <v>4165</v>
      </c>
      <c r="P153" s="37">
        <v>100</v>
      </c>
      <c r="Q153" s="37">
        <v>302</v>
      </c>
      <c r="R153" s="37">
        <v>8.6329233680227055</v>
      </c>
      <c r="S153" s="37">
        <v>413</v>
      </c>
      <c r="T153" s="37">
        <v>451</v>
      </c>
      <c r="U153" s="37">
        <v>864</v>
      </c>
      <c r="V153" s="552"/>
      <c r="W153" s="552"/>
      <c r="X153" s="552"/>
      <c r="Y153" s="552"/>
    </row>
    <row r="154" spans="1:25" s="512" customFormat="1" ht="11.1" customHeight="1" x14ac:dyDescent="0.15">
      <c r="A154" s="556">
        <v>35886</v>
      </c>
      <c r="B154" s="26" t="s">
        <v>20</v>
      </c>
      <c r="C154" s="26" t="s">
        <v>675</v>
      </c>
      <c r="D154" s="552" t="s">
        <v>676</v>
      </c>
      <c r="E154" s="37">
        <v>2143</v>
      </c>
      <c r="F154" s="37">
        <v>2143</v>
      </c>
      <c r="G154" s="37">
        <v>429</v>
      </c>
      <c r="H154" s="37">
        <v>477</v>
      </c>
      <c r="I154" s="37">
        <v>0</v>
      </c>
      <c r="J154" s="37">
        <v>0</v>
      </c>
      <c r="K154" s="37">
        <v>373</v>
      </c>
      <c r="L154" s="37">
        <v>0</v>
      </c>
      <c r="M154" s="37">
        <v>104</v>
      </c>
      <c r="N154" s="37">
        <v>0</v>
      </c>
      <c r="O154" s="37">
        <v>477</v>
      </c>
      <c r="P154" s="37">
        <v>100</v>
      </c>
      <c r="Q154" s="37">
        <v>42</v>
      </c>
      <c r="R154" s="37">
        <v>8.8050314465408803</v>
      </c>
      <c r="S154" s="37">
        <v>56</v>
      </c>
      <c r="T154" s="37">
        <v>62</v>
      </c>
      <c r="U154" s="37">
        <v>118</v>
      </c>
      <c r="V154" s="552"/>
      <c r="W154" s="552"/>
      <c r="X154" s="552"/>
      <c r="Y154" s="552"/>
    </row>
    <row r="155" spans="1:25" s="512" customFormat="1" ht="11.1" customHeight="1" x14ac:dyDescent="0.15">
      <c r="A155" s="556">
        <v>35886</v>
      </c>
      <c r="B155" s="26" t="s">
        <v>20</v>
      </c>
      <c r="C155" s="26" t="s">
        <v>677</v>
      </c>
      <c r="D155" s="552" t="s">
        <v>678</v>
      </c>
      <c r="E155" s="37">
        <v>22518</v>
      </c>
      <c r="F155" s="37">
        <v>22518</v>
      </c>
      <c r="G155" s="37">
        <v>8453</v>
      </c>
      <c r="H155" s="37">
        <v>9433</v>
      </c>
      <c r="I155" s="37">
        <v>0</v>
      </c>
      <c r="J155" s="37">
        <v>0</v>
      </c>
      <c r="K155" s="37">
        <v>8227</v>
      </c>
      <c r="L155" s="37">
        <v>0</v>
      </c>
      <c r="M155" s="37">
        <v>1206</v>
      </c>
      <c r="N155" s="37">
        <v>0</v>
      </c>
      <c r="O155" s="37">
        <v>9433</v>
      </c>
      <c r="P155" s="37">
        <v>100</v>
      </c>
      <c r="Q155" s="37">
        <v>464</v>
      </c>
      <c r="R155" s="37">
        <v>4.9189017279762535</v>
      </c>
      <c r="S155" s="37">
        <v>789</v>
      </c>
      <c r="T155" s="37">
        <v>723</v>
      </c>
      <c r="U155" s="37">
        <v>1512</v>
      </c>
      <c r="V155" s="552"/>
      <c r="W155" s="552"/>
      <c r="X155" s="552"/>
      <c r="Y155" s="552"/>
    </row>
    <row r="156" spans="1:25" s="512" customFormat="1" ht="11.1" customHeight="1" x14ac:dyDescent="0.15">
      <c r="A156" s="556">
        <v>35886</v>
      </c>
      <c r="B156" s="26" t="s">
        <v>20</v>
      </c>
      <c r="C156" s="26" t="s">
        <v>679</v>
      </c>
      <c r="D156" s="552" t="s">
        <v>680</v>
      </c>
      <c r="E156" s="37">
        <v>13517</v>
      </c>
      <c r="F156" s="37">
        <v>13517</v>
      </c>
      <c r="G156" s="37">
        <v>4333</v>
      </c>
      <c r="H156" s="37">
        <v>4840</v>
      </c>
      <c r="I156" s="37">
        <v>0</v>
      </c>
      <c r="J156" s="37">
        <v>0</v>
      </c>
      <c r="K156" s="37">
        <v>3965</v>
      </c>
      <c r="L156" s="37">
        <v>0</v>
      </c>
      <c r="M156" s="37">
        <v>875</v>
      </c>
      <c r="N156" s="37">
        <v>0</v>
      </c>
      <c r="O156" s="37">
        <v>4840</v>
      </c>
      <c r="P156" s="37">
        <v>100</v>
      </c>
      <c r="Q156" s="37">
        <v>338</v>
      </c>
      <c r="R156" s="37">
        <v>6.9834710743801658</v>
      </c>
      <c r="S156" s="37">
        <v>481</v>
      </c>
      <c r="T156" s="37">
        <v>526</v>
      </c>
      <c r="U156" s="37">
        <v>1007</v>
      </c>
      <c r="V156" s="552"/>
      <c r="W156" s="552"/>
      <c r="X156" s="552"/>
      <c r="Y156" s="552"/>
    </row>
    <row r="157" spans="1:25" s="512" customFormat="1" ht="11.1" customHeight="1" x14ac:dyDescent="0.15">
      <c r="A157" s="556">
        <v>35886</v>
      </c>
      <c r="B157" s="26" t="s">
        <v>20</v>
      </c>
      <c r="C157" s="26" t="s">
        <v>681</v>
      </c>
      <c r="D157" s="552" t="s">
        <v>682</v>
      </c>
      <c r="E157" s="37">
        <v>38795</v>
      </c>
      <c r="F157" s="37">
        <v>38795</v>
      </c>
      <c r="G157" s="37">
        <v>12299</v>
      </c>
      <c r="H157" s="37">
        <v>15852</v>
      </c>
      <c r="I157" s="37">
        <v>146</v>
      </c>
      <c r="J157" s="37">
        <v>733</v>
      </c>
      <c r="K157" s="37">
        <v>13532</v>
      </c>
      <c r="L157" s="37">
        <v>0</v>
      </c>
      <c r="M157" s="37">
        <v>1713</v>
      </c>
      <c r="N157" s="37">
        <v>461</v>
      </c>
      <c r="O157" s="37">
        <v>15706</v>
      </c>
      <c r="P157" s="37">
        <v>100</v>
      </c>
      <c r="Q157" s="37">
        <v>647</v>
      </c>
      <c r="R157" s="37">
        <v>11.198978040026764</v>
      </c>
      <c r="S157" s="37">
        <v>1298</v>
      </c>
      <c r="T157" s="37">
        <v>1038</v>
      </c>
      <c r="U157" s="37">
        <v>2336</v>
      </c>
      <c r="V157" s="552"/>
      <c r="W157" s="552"/>
      <c r="X157" s="552"/>
      <c r="Y157" s="552"/>
    </row>
    <row r="158" spans="1:25" s="512" customFormat="1" ht="11.1" customHeight="1" x14ac:dyDescent="0.15">
      <c r="A158" s="556">
        <v>35886</v>
      </c>
      <c r="B158" s="26" t="s">
        <v>20</v>
      </c>
      <c r="C158" s="26" t="s">
        <v>683</v>
      </c>
      <c r="D158" s="552" t="s">
        <v>577</v>
      </c>
      <c r="E158" s="37">
        <v>11262</v>
      </c>
      <c r="F158" s="37">
        <v>11262</v>
      </c>
      <c r="G158" s="37">
        <v>2353</v>
      </c>
      <c r="H158" s="37">
        <v>2493</v>
      </c>
      <c r="I158" s="37">
        <v>0</v>
      </c>
      <c r="J158" s="37">
        <v>0</v>
      </c>
      <c r="K158" s="37">
        <v>1931</v>
      </c>
      <c r="L158" s="37">
        <v>0</v>
      </c>
      <c r="M158" s="37">
        <v>562</v>
      </c>
      <c r="N158" s="37">
        <v>0</v>
      </c>
      <c r="O158" s="37">
        <v>2493</v>
      </c>
      <c r="P158" s="37">
        <v>100</v>
      </c>
      <c r="Q158" s="37">
        <v>249</v>
      </c>
      <c r="R158" s="37">
        <v>9.9879663056558368</v>
      </c>
      <c r="S158" s="37">
        <v>234</v>
      </c>
      <c r="T158" s="37">
        <v>328</v>
      </c>
      <c r="U158" s="37">
        <v>562</v>
      </c>
      <c r="V158" s="552"/>
      <c r="W158" s="552"/>
      <c r="X158" s="552"/>
      <c r="Y158" s="552"/>
    </row>
    <row r="159" spans="1:25" s="512" customFormat="1" ht="11.1" customHeight="1" x14ac:dyDescent="0.15">
      <c r="A159" s="556">
        <v>35886</v>
      </c>
      <c r="B159" s="26" t="s">
        <v>20</v>
      </c>
      <c r="C159" s="26" t="s">
        <v>684</v>
      </c>
      <c r="D159" s="552" t="s">
        <v>685</v>
      </c>
      <c r="E159" s="37">
        <v>18715</v>
      </c>
      <c r="F159" s="37">
        <v>18715</v>
      </c>
      <c r="G159" s="37">
        <v>2875</v>
      </c>
      <c r="H159" s="37">
        <v>3072</v>
      </c>
      <c r="I159" s="37">
        <v>0</v>
      </c>
      <c r="J159" s="37">
        <v>0</v>
      </c>
      <c r="K159" s="37">
        <v>2441</v>
      </c>
      <c r="L159" s="37">
        <v>0</v>
      </c>
      <c r="M159" s="37">
        <v>631</v>
      </c>
      <c r="N159" s="37">
        <v>0</v>
      </c>
      <c r="O159" s="37">
        <v>3072</v>
      </c>
      <c r="P159" s="37">
        <v>100</v>
      </c>
      <c r="Q159" s="37">
        <v>253</v>
      </c>
      <c r="R159" s="37">
        <v>8.2356770833333321</v>
      </c>
      <c r="S159" s="37">
        <v>346</v>
      </c>
      <c r="T159" s="37">
        <v>372</v>
      </c>
      <c r="U159" s="37">
        <v>718</v>
      </c>
      <c r="V159" s="552"/>
      <c r="W159" s="552"/>
      <c r="X159" s="552"/>
      <c r="Y159" s="552"/>
    </row>
    <row r="160" spans="1:25" s="512" customFormat="1" ht="11.1" customHeight="1" x14ac:dyDescent="0.15">
      <c r="A160" s="556">
        <v>36251</v>
      </c>
      <c r="B160" s="26" t="s">
        <v>21</v>
      </c>
      <c r="C160" s="26" t="s">
        <v>671</v>
      </c>
      <c r="D160" s="552" t="s">
        <v>246</v>
      </c>
      <c r="E160" s="37">
        <v>41466</v>
      </c>
      <c r="F160" s="37">
        <v>41466</v>
      </c>
      <c r="G160" s="37">
        <v>13940</v>
      </c>
      <c r="H160" s="37">
        <v>14887</v>
      </c>
      <c r="I160" s="37">
        <v>0</v>
      </c>
      <c r="J160" s="37">
        <v>213</v>
      </c>
      <c r="K160" s="37">
        <v>12825</v>
      </c>
      <c r="L160" s="37">
        <v>0</v>
      </c>
      <c r="M160" s="37">
        <v>2062</v>
      </c>
      <c r="N160" s="37">
        <v>0</v>
      </c>
      <c r="O160" s="37">
        <v>14887</v>
      </c>
      <c r="P160" s="37">
        <v>100</v>
      </c>
      <c r="Q160" s="37">
        <v>785</v>
      </c>
      <c r="R160" s="37">
        <v>6.6092715231788084</v>
      </c>
      <c r="S160" s="37">
        <v>2034</v>
      </c>
      <c r="T160" s="37">
        <v>1250</v>
      </c>
      <c r="U160" s="37">
        <v>3284</v>
      </c>
      <c r="V160" s="552"/>
      <c r="W160" s="552"/>
      <c r="X160" s="552"/>
      <c r="Y160" s="552"/>
    </row>
    <row r="161" spans="1:25" s="512" customFormat="1" ht="11.1" customHeight="1" x14ac:dyDescent="0.15">
      <c r="A161" s="556">
        <v>36251</v>
      </c>
      <c r="B161" s="26" t="s">
        <v>21</v>
      </c>
      <c r="C161" s="26" t="s">
        <v>672</v>
      </c>
      <c r="D161" s="552" t="s">
        <v>456</v>
      </c>
      <c r="E161" s="37">
        <v>34803</v>
      </c>
      <c r="F161" s="37">
        <v>34803</v>
      </c>
      <c r="G161" s="37">
        <v>8275</v>
      </c>
      <c r="H161" s="37">
        <v>9261</v>
      </c>
      <c r="I161" s="37">
        <v>0</v>
      </c>
      <c r="J161" s="37">
        <v>684</v>
      </c>
      <c r="K161" s="37">
        <v>7863</v>
      </c>
      <c r="L161" s="37">
        <v>0</v>
      </c>
      <c r="M161" s="37">
        <v>1398</v>
      </c>
      <c r="N161" s="37">
        <v>0</v>
      </c>
      <c r="O161" s="37">
        <v>9261</v>
      </c>
      <c r="P161" s="37">
        <v>100</v>
      </c>
      <c r="Q161" s="37">
        <v>528</v>
      </c>
      <c r="R161" s="37">
        <v>12.187028657616892</v>
      </c>
      <c r="S161" s="37">
        <v>1057</v>
      </c>
      <c r="T161" s="37">
        <v>847</v>
      </c>
      <c r="U161" s="37">
        <v>1904</v>
      </c>
      <c r="V161" s="552"/>
      <c r="W161" s="552"/>
      <c r="X161" s="552"/>
      <c r="Y161" s="552"/>
    </row>
    <row r="162" spans="1:25" s="512" customFormat="1" ht="11.1" customHeight="1" x14ac:dyDescent="0.15">
      <c r="A162" s="556">
        <v>36251</v>
      </c>
      <c r="B162" s="26" t="s">
        <v>21</v>
      </c>
      <c r="C162" s="26" t="s">
        <v>673</v>
      </c>
      <c r="D162" s="552" t="s">
        <v>674</v>
      </c>
      <c r="E162" s="37">
        <v>14130</v>
      </c>
      <c r="F162" s="37">
        <v>14130</v>
      </c>
      <c r="G162" s="37">
        <v>4088</v>
      </c>
      <c r="H162" s="37">
        <v>4350</v>
      </c>
      <c r="I162" s="37">
        <v>0</v>
      </c>
      <c r="J162" s="37">
        <v>81</v>
      </c>
      <c r="K162" s="37">
        <v>3602</v>
      </c>
      <c r="L162" s="37">
        <v>0</v>
      </c>
      <c r="M162" s="37">
        <v>748</v>
      </c>
      <c r="N162" s="37">
        <v>0</v>
      </c>
      <c r="O162" s="37">
        <v>4350</v>
      </c>
      <c r="P162" s="37">
        <v>100</v>
      </c>
      <c r="Q162" s="37">
        <v>292</v>
      </c>
      <c r="R162" s="37">
        <v>8.4179643421349581</v>
      </c>
      <c r="S162" s="37">
        <v>451</v>
      </c>
      <c r="T162" s="37">
        <v>446</v>
      </c>
      <c r="U162" s="37">
        <v>897</v>
      </c>
      <c r="V162" s="552"/>
      <c r="W162" s="552"/>
      <c r="X162" s="552"/>
      <c r="Y162" s="552"/>
    </row>
    <row r="163" spans="1:25" s="512" customFormat="1" ht="11.1" customHeight="1" x14ac:dyDescent="0.15">
      <c r="A163" s="556">
        <v>36251</v>
      </c>
      <c r="B163" s="26" t="s">
        <v>21</v>
      </c>
      <c r="C163" s="26" t="s">
        <v>675</v>
      </c>
      <c r="D163" s="552" t="s">
        <v>676</v>
      </c>
      <c r="E163" s="37">
        <v>2124</v>
      </c>
      <c r="F163" s="37">
        <v>2124</v>
      </c>
      <c r="G163" s="37">
        <v>464</v>
      </c>
      <c r="H163" s="37">
        <v>511</v>
      </c>
      <c r="I163" s="37">
        <v>0</v>
      </c>
      <c r="J163" s="37">
        <v>0</v>
      </c>
      <c r="K163" s="37">
        <v>393</v>
      </c>
      <c r="L163" s="37">
        <v>0</v>
      </c>
      <c r="M163" s="37">
        <v>118</v>
      </c>
      <c r="N163" s="37">
        <v>0</v>
      </c>
      <c r="O163" s="37">
        <v>511</v>
      </c>
      <c r="P163" s="37">
        <v>100</v>
      </c>
      <c r="Q163" s="37">
        <v>47</v>
      </c>
      <c r="R163" s="37">
        <v>9.1976516634050878</v>
      </c>
      <c r="S163" s="37">
        <v>62</v>
      </c>
      <c r="T163" s="37">
        <v>70</v>
      </c>
      <c r="U163" s="37">
        <v>132</v>
      </c>
      <c r="V163" s="552"/>
      <c r="W163" s="552"/>
      <c r="X163" s="552"/>
      <c r="Y163" s="552"/>
    </row>
    <row r="164" spans="1:25" s="512" customFormat="1" ht="11.1" customHeight="1" x14ac:dyDescent="0.15">
      <c r="A164" s="556">
        <v>36251</v>
      </c>
      <c r="B164" s="26" t="s">
        <v>21</v>
      </c>
      <c r="C164" s="26" t="s">
        <v>677</v>
      </c>
      <c r="D164" s="552" t="s">
        <v>678</v>
      </c>
      <c r="E164" s="37">
        <v>22690</v>
      </c>
      <c r="F164" s="37">
        <v>22690</v>
      </c>
      <c r="G164" s="37">
        <v>8663</v>
      </c>
      <c r="H164" s="37">
        <v>9667</v>
      </c>
      <c r="I164" s="37">
        <v>0</v>
      </c>
      <c r="J164" s="37">
        <v>462</v>
      </c>
      <c r="K164" s="37">
        <v>8414</v>
      </c>
      <c r="L164" s="37">
        <v>0</v>
      </c>
      <c r="M164" s="37">
        <v>1253</v>
      </c>
      <c r="N164" s="37">
        <v>0</v>
      </c>
      <c r="O164" s="37">
        <v>9667</v>
      </c>
      <c r="P164" s="37">
        <v>100</v>
      </c>
      <c r="Q164" s="37">
        <v>469</v>
      </c>
      <c r="R164" s="37">
        <v>9.1914305459571519</v>
      </c>
      <c r="S164" s="37">
        <v>777</v>
      </c>
      <c r="T164" s="37">
        <v>757</v>
      </c>
      <c r="U164" s="37">
        <v>1534</v>
      </c>
      <c r="V164" s="552"/>
      <c r="W164" s="552"/>
      <c r="X164" s="552"/>
      <c r="Y164" s="552"/>
    </row>
    <row r="165" spans="1:25" s="512" customFormat="1" ht="11.1" customHeight="1" x14ac:dyDescent="0.15">
      <c r="A165" s="556">
        <v>36251</v>
      </c>
      <c r="B165" s="26" t="s">
        <v>21</v>
      </c>
      <c r="C165" s="26" t="s">
        <v>679</v>
      </c>
      <c r="D165" s="552" t="s">
        <v>680</v>
      </c>
      <c r="E165" s="37">
        <v>13431</v>
      </c>
      <c r="F165" s="37">
        <v>13431</v>
      </c>
      <c r="G165" s="37">
        <v>4434</v>
      </c>
      <c r="H165" s="37">
        <v>4938</v>
      </c>
      <c r="I165" s="37">
        <v>0</v>
      </c>
      <c r="J165" s="37">
        <v>0</v>
      </c>
      <c r="K165" s="37">
        <v>4090</v>
      </c>
      <c r="L165" s="37">
        <v>0</v>
      </c>
      <c r="M165" s="37">
        <v>848</v>
      </c>
      <c r="N165" s="37">
        <v>0</v>
      </c>
      <c r="O165" s="37">
        <v>4938</v>
      </c>
      <c r="P165" s="37">
        <v>100</v>
      </c>
      <c r="Q165" s="37">
        <v>329</v>
      </c>
      <c r="R165" s="37">
        <v>6.6626164439044153</v>
      </c>
      <c r="S165" s="37">
        <v>512</v>
      </c>
      <c r="T165" s="37">
        <v>509</v>
      </c>
      <c r="U165" s="37">
        <v>1021</v>
      </c>
      <c r="V165" s="552"/>
      <c r="W165" s="552"/>
      <c r="X165" s="552"/>
      <c r="Y165" s="552"/>
    </row>
    <row r="166" spans="1:25" s="512" customFormat="1" ht="11.1" customHeight="1" x14ac:dyDescent="0.15">
      <c r="A166" s="556">
        <v>36251</v>
      </c>
      <c r="B166" s="26" t="s">
        <v>21</v>
      </c>
      <c r="C166" s="26" t="s">
        <v>681</v>
      </c>
      <c r="D166" s="552" t="s">
        <v>682</v>
      </c>
      <c r="E166" s="37">
        <v>39076</v>
      </c>
      <c r="F166" s="37">
        <v>39076</v>
      </c>
      <c r="G166" s="37">
        <v>12491</v>
      </c>
      <c r="H166" s="37">
        <v>15956</v>
      </c>
      <c r="I166" s="37">
        <v>139</v>
      </c>
      <c r="J166" s="37">
        <v>927</v>
      </c>
      <c r="K166" s="37">
        <v>13351</v>
      </c>
      <c r="L166" s="37">
        <v>0</v>
      </c>
      <c r="M166" s="37">
        <v>1727</v>
      </c>
      <c r="N166" s="37">
        <v>539</v>
      </c>
      <c r="O166" s="37">
        <v>15617</v>
      </c>
      <c r="P166" s="37">
        <v>100</v>
      </c>
      <c r="Q166" s="37">
        <v>630</v>
      </c>
      <c r="R166" s="37">
        <v>12.669245647969053</v>
      </c>
      <c r="S166" s="37">
        <v>1252</v>
      </c>
      <c r="T166" s="37">
        <v>1061</v>
      </c>
      <c r="U166" s="37">
        <v>2313</v>
      </c>
      <c r="V166" s="552"/>
      <c r="W166" s="552"/>
      <c r="X166" s="552"/>
      <c r="Y166" s="552"/>
    </row>
    <row r="167" spans="1:25" s="512" customFormat="1" ht="11.1" customHeight="1" x14ac:dyDescent="0.15">
      <c r="A167" s="556">
        <v>36251</v>
      </c>
      <c r="B167" s="26" t="s">
        <v>21</v>
      </c>
      <c r="C167" s="26" t="s">
        <v>683</v>
      </c>
      <c r="D167" s="552" t="s">
        <v>577</v>
      </c>
      <c r="E167" s="37">
        <v>11284</v>
      </c>
      <c r="F167" s="37">
        <v>11284</v>
      </c>
      <c r="G167" s="37">
        <v>2451</v>
      </c>
      <c r="H167" s="37">
        <v>2600</v>
      </c>
      <c r="I167" s="37">
        <v>0</v>
      </c>
      <c r="J167" s="37">
        <v>0</v>
      </c>
      <c r="K167" s="37">
        <v>2048</v>
      </c>
      <c r="L167" s="37">
        <v>0</v>
      </c>
      <c r="M167" s="37">
        <v>552</v>
      </c>
      <c r="N167" s="37">
        <v>0</v>
      </c>
      <c r="O167" s="37">
        <v>2600</v>
      </c>
      <c r="P167" s="37">
        <v>100</v>
      </c>
      <c r="Q167" s="37">
        <v>218</v>
      </c>
      <c r="R167" s="37">
        <v>8.384615384615385</v>
      </c>
      <c r="S167" s="37">
        <v>256</v>
      </c>
      <c r="T167" s="37">
        <v>326</v>
      </c>
      <c r="U167" s="37">
        <v>582</v>
      </c>
      <c r="V167" s="552"/>
      <c r="W167" s="552"/>
      <c r="X167" s="552"/>
      <c r="Y167" s="552"/>
    </row>
    <row r="168" spans="1:25" s="512" customFormat="1" ht="11.1" customHeight="1" x14ac:dyDescent="0.15">
      <c r="A168" s="556">
        <v>36251</v>
      </c>
      <c r="B168" s="26" t="s">
        <v>21</v>
      </c>
      <c r="C168" s="26" t="s">
        <v>684</v>
      </c>
      <c r="D168" s="552" t="s">
        <v>685</v>
      </c>
      <c r="E168" s="37">
        <v>18523</v>
      </c>
      <c r="F168" s="37">
        <v>18523</v>
      </c>
      <c r="G168" s="37">
        <v>3239</v>
      </c>
      <c r="H168" s="37">
        <v>3444</v>
      </c>
      <c r="I168" s="37">
        <v>0</v>
      </c>
      <c r="J168" s="37">
        <v>0</v>
      </c>
      <c r="K168" s="37">
        <v>2808</v>
      </c>
      <c r="L168" s="37">
        <v>0</v>
      </c>
      <c r="M168" s="37">
        <v>636</v>
      </c>
      <c r="N168" s="37">
        <v>0</v>
      </c>
      <c r="O168" s="37">
        <v>3444</v>
      </c>
      <c r="P168" s="37">
        <v>100</v>
      </c>
      <c r="Q168" s="37">
        <v>248</v>
      </c>
      <c r="R168" s="37">
        <v>7.2009291521486647</v>
      </c>
      <c r="S168" s="37">
        <v>378</v>
      </c>
      <c r="T168" s="37">
        <v>378</v>
      </c>
      <c r="U168" s="37">
        <v>756</v>
      </c>
      <c r="V168" s="552"/>
      <c r="W168" s="552"/>
      <c r="X168" s="552"/>
      <c r="Y168" s="552"/>
    </row>
    <row r="169" spans="1:25" s="512" customFormat="1" ht="11.1" customHeight="1" x14ac:dyDescent="0.15">
      <c r="A169" s="556">
        <v>36617</v>
      </c>
      <c r="B169" s="26" t="s">
        <v>22</v>
      </c>
      <c r="C169" s="26" t="s">
        <v>671</v>
      </c>
      <c r="D169" s="552" t="s">
        <v>246</v>
      </c>
      <c r="E169" s="37">
        <v>41180</v>
      </c>
      <c r="F169" s="37">
        <v>41180</v>
      </c>
      <c r="G169" s="37">
        <v>13860</v>
      </c>
      <c r="H169" s="37">
        <v>14893</v>
      </c>
      <c r="I169" s="37">
        <v>0</v>
      </c>
      <c r="J169" s="37">
        <v>289</v>
      </c>
      <c r="K169" s="37">
        <v>12844</v>
      </c>
      <c r="L169" s="37">
        <v>0</v>
      </c>
      <c r="M169" s="37">
        <v>2049</v>
      </c>
      <c r="N169" s="37">
        <v>0</v>
      </c>
      <c r="O169" s="37">
        <v>14893</v>
      </c>
      <c r="P169" s="37">
        <v>100</v>
      </c>
      <c r="Q169" s="37">
        <v>847</v>
      </c>
      <c r="R169" s="37">
        <v>7.4825451192201298</v>
      </c>
      <c r="S169" s="37">
        <v>0</v>
      </c>
      <c r="T169" s="37">
        <v>1725</v>
      </c>
      <c r="U169" s="37">
        <v>1725</v>
      </c>
      <c r="V169" s="552"/>
      <c r="W169" s="552"/>
      <c r="X169" s="552"/>
      <c r="Y169" s="552"/>
    </row>
    <row r="170" spans="1:25" s="512" customFormat="1" ht="11.1" customHeight="1" x14ac:dyDescent="0.15">
      <c r="A170" s="556">
        <v>36617</v>
      </c>
      <c r="B170" s="26" t="s">
        <v>22</v>
      </c>
      <c r="C170" s="26" t="s">
        <v>672</v>
      </c>
      <c r="D170" s="552" t="s">
        <v>456</v>
      </c>
      <c r="E170" s="37">
        <v>34632</v>
      </c>
      <c r="F170" s="37">
        <v>34632</v>
      </c>
      <c r="G170" s="37">
        <v>8378</v>
      </c>
      <c r="H170" s="37">
        <v>9322</v>
      </c>
      <c r="I170" s="37">
        <v>0</v>
      </c>
      <c r="J170" s="37">
        <v>723</v>
      </c>
      <c r="K170" s="37">
        <v>7861</v>
      </c>
      <c r="L170" s="37">
        <v>0</v>
      </c>
      <c r="M170" s="37">
        <v>1461</v>
      </c>
      <c r="N170" s="37">
        <v>0</v>
      </c>
      <c r="O170" s="37">
        <v>9322</v>
      </c>
      <c r="P170" s="37">
        <v>100</v>
      </c>
      <c r="Q170" s="37">
        <v>605</v>
      </c>
      <c r="R170" s="37">
        <v>13.220507715281235</v>
      </c>
      <c r="S170" s="37">
        <v>0</v>
      </c>
      <c r="T170" s="37">
        <v>1098</v>
      </c>
      <c r="U170" s="37">
        <v>1098</v>
      </c>
      <c r="V170" s="552"/>
      <c r="W170" s="552"/>
      <c r="X170" s="552"/>
      <c r="Y170" s="552"/>
    </row>
    <row r="171" spans="1:25" s="512" customFormat="1" ht="11.1" customHeight="1" x14ac:dyDescent="0.15">
      <c r="A171" s="556">
        <v>36617</v>
      </c>
      <c r="B171" s="26" t="s">
        <v>22</v>
      </c>
      <c r="C171" s="26" t="s">
        <v>673</v>
      </c>
      <c r="D171" s="552" t="s">
        <v>674</v>
      </c>
      <c r="E171" s="37">
        <v>14041</v>
      </c>
      <c r="F171" s="37">
        <v>14041</v>
      </c>
      <c r="G171" s="37">
        <v>4111</v>
      </c>
      <c r="H171" s="37">
        <v>4442</v>
      </c>
      <c r="I171" s="37">
        <v>0</v>
      </c>
      <c r="J171" s="37">
        <v>0</v>
      </c>
      <c r="K171" s="37">
        <v>3284</v>
      </c>
      <c r="L171" s="37">
        <v>0</v>
      </c>
      <c r="M171" s="37">
        <v>805</v>
      </c>
      <c r="N171" s="37">
        <v>353</v>
      </c>
      <c r="O171" s="37">
        <v>4442</v>
      </c>
      <c r="P171" s="37">
        <v>100</v>
      </c>
      <c r="Q171" s="37">
        <v>340</v>
      </c>
      <c r="R171" s="37">
        <v>15.601080594326881</v>
      </c>
      <c r="S171" s="37">
        <v>0</v>
      </c>
      <c r="T171" s="37">
        <v>403</v>
      </c>
      <c r="U171" s="37">
        <v>403</v>
      </c>
      <c r="V171" s="552"/>
      <c r="W171" s="552"/>
      <c r="X171" s="552"/>
      <c r="Y171" s="552"/>
    </row>
    <row r="172" spans="1:25" s="512" customFormat="1" ht="11.1" customHeight="1" x14ac:dyDescent="0.15">
      <c r="A172" s="556">
        <v>36617</v>
      </c>
      <c r="B172" s="26" t="s">
        <v>22</v>
      </c>
      <c r="C172" s="26" t="s">
        <v>675</v>
      </c>
      <c r="D172" s="552" t="s">
        <v>676</v>
      </c>
      <c r="E172" s="37">
        <v>2090</v>
      </c>
      <c r="F172" s="37">
        <v>2090</v>
      </c>
      <c r="G172" s="37">
        <v>434</v>
      </c>
      <c r="H172" s="37">
        <v>481</v>
      </c>
      <c r="I172" s="37">
        <v>0</v>
      </c>
      <c r="J172" s="37">
        <v>0</v>
      </c>
      <c r="K172" s="37">
        <v>369</v>
      </c>
      <c r="L172" s="37">
        <v>0</v>
      </c>
      <c r="M172" s="37">
        <v>112</v>
      </c>
      <c r="N172" s="37">
        <v>0</v>
      </c>
      <c r="O172" s="37">
        <v>481</v>
      </c>
      <c r="P172" s="37">
        <v>100</v>
      </c>
      <c r="Q172" s="37">
        <v>47</v>
      </c>
      <c r="R172" s="37">
        <v>9.7713097713097721</v>
      </c>
      <c r="S172" s="37">
        <v>0</v>
      </c>
      <c r="T172" s="37">
        <v>50</v>
      </c>
      <c r="U172" s="37">
        <v>50</v>
      </c>
      <c r="V172" s="552"/>
      <c r="W172" s="552"/>
      <c r="X172" s="552"/>
      <c r="Y172" s="552"/>
    </row>
    <row r="173" spans="1:25" s="512" customFormat="1" ht="11.1" customHeight="1" x14ac:dyDescent="0.15">
      <c r="A173" s="556">
        <v>36617</v>
      </c>
      <c r="B173" s="26" t="s">
        <v>22</v>
      </c>
      <c r="C173" s="26" t="s">
        <v>677</v>
      </c>
      <c r="D173" s="552" t="s">
        <v>678</v>
      </c>
      <c r="E173" s="37">
        <v>22875</v>
      </c>
      <c r="F173" s="37">
        <v>22875</v>
      </c>
      <c r="G173" s="37">
        <v>8793</v>
      </c>
      <c r="H173" s="37">
        <v>9694</v>
      </c>
      <c r="I173" s="37">
        <v>0</v>
      </c>
      <c r="J173" s="37">
        <v>531</v>
      </c>
      <c r="K173" s="37">
        <v>8127</v>
      </c>
      <c r="L173" s="37">
        <v>0</v>
      </c>
      <c r="M173" s="37">
        <v>1381</v>
      </c>
      <c r="N173" s="37">
        <v>186</v>
      </c>
      <c r="O173" s="37">
        <v>9694</v>
      </c>
      <c r="P173" s="37">
        <v>100</v>
      </c>
      <c r="Q173" s="37">
        <v>577</v>
      </c>
      <c r="R173" s="37">
        <v>12.655256723716382</v>
      </c>
      <c r="S173" s="37">
        <v>0</v>
      </c>
      <c r="T173" s="37">
        <v>744</v>
      </c>
      <c r="U173" s="37">
        <v>744</v>
      </c>
      <c r="V173" s="552"/>
      <c r="W173" s="552"/>
      <c r="X173" s="552"/>
      <c r="Y173" s="552"/>
    </row>
    <row r="174" spans="1:25" s="512" customFormat="1" ht="11.1" customHeight="1" x14ac:dyDescent="0.15">
      <c r="A174" s="556">
        <v>36617</v>
      </c>
      <c r="B174" s="26" t="s">
        <v>22</v>
      </c>
      <c r="C174" s="26" t="s">
        <v>679</v>
      </c>
      <c r="D174" s="552" t="s">
        <v>680</v>
      </c>
      <c r="E174" s="37">
        <v>13376</v>
      </c>
      <c r="F174" s="37">
        <v>13376</v>
      </c>
      <c r="G174" s="37">
        <v>4421</v>
      </c>
      <c r="H174" s="37">
        <v>4897</v>
      </c>
      <c r="I174" s="37">
        <v>0</v>
      </c>
      <c r="J174" s="37">
        <v>0</v>
      </c>
      <c r="K174" s="37">
        <v>4021</v>
      </c>
      <c r="L174" s="37">
        <v>0</v>
      </c>
      <c r="M174" s="37">
        <v>876</v>
      </c>
      <c r="N174" s="37">
        <v>0</v>
      </c>
      <c r="O174" s="37">
        <v>4897</v>
      </c>
      <c r="P174" s="37">
        <v>100</v>
      </c>
      <c r="Q174" s="37">
        <v>375</v>
      </c>
      <c r="R174" s="37">
        <v>7.6577496426383505</v>
      </c>
      <c r="S174" s="37">
        <v>0</v>
      </c>
      <c r="T174" s="37">
        <v>493</v>
      </c>
      <c r="U174" s="37">
        <v>493</v>
      </c>
      <c r="V174" s="552"/>
      <c r="W174" s="552"/>
      <c r="X174" s="552"/>
      <c r="Y174" s="552"/>
    </row>
    <row r="175" spans="1:25" s="512" customFormat="1" ht="11.1" customHeight="1" x14ac:dyDescent="0.15">
      <c r="A175" s="556">
        <v>36617</v>
      </c>
      <c r="B175" s="26" t="s">
        <v>22</v>
      </c>
      <c r="C175" s="26" t="s">
        <v>681</v>
      </c>
      <c r="D175" s="552" t="s">
        <v>682</v>
      </c>
      <c r="E175" s="37">
        <v>39216</v>
      </c>
      <c r="F175" s="37">
        <v>39216</v>
      </c>
      <c r="G175" s="37">
        <v>12541</v>
      </c>
      <c r="H175" s="37">
        <v>14982</v>
      </c>
      <c r="I175" s="37">
        <v>155</v>
      </c>
      <c r="J175" s="37">
        <v>952</v>
      </c>
      <c r="K175" s="37">
        <v>12537</v>
      </c>
      <c r="L175" s="37">
        <v>0</v>
      </c>
      <c r="M175" s="37">
        <v>1771</v>
      </c>
      <c r="N175" s="37">
        <v>519</v>
      </c>
      <c r="O175" s="37">
        <v>14827</v>
      </c>
      <c r="P175" s="37">
        <v>100</v>
      </c>
      <c r="Q175" s="37">
        <v>708</v>
      </c>
      <c r="R175" s="37">
        <v>13.80949363077508</v>
      </c>
      <c r="S175" s="37">
        <v>0</v>
      </c>
      <c r="T175" s="37">
        <v>1147</v>
      </c>
      <c r="U175" s="37">
        <v>1147</v>
      </c>
      <c r="V175" s="552"/>
      <c r="W175" s="552"/>
      <c r="X175" s="552"/>
      <c r="Y175" s="552"/>
    </row>
    <row r="176" spans="1:25" s="512" customFormat="1" ht="11.1" customHeight="1" x14ac:dyDescent="0.15">
      <c r="A176" s="556">
        <v>36617</v>
      </c>
      <c r="B176" s="26" t="s">
        <v>22</v>
      </c>
      <c r="C176" s="26" t="s">
        <v>683</v>
      </c>
      <c r="D176" s="552" t="s">
        <v>577</v>
      </c>
      <c r="E176" s="37">
        <v>11236</v>
      </c>
      <c r="F176" s="37">
        <v>11236</v>
      </c>
      <c r="G176" s="37">
        <v>2376</v>
      </c>
      <c r="H176" s="37">
        <v>2536</v>
      </c>
      <c r="I176" s="37">
        <v>0</v>
      </c>
      <c r="J176" s="37">
        <v>0</v>
      </c>
      <c r="K176" s="37">
        <v>1992</v>
      </c>
      <c r="L176" s="37">
        <v>0</v>
      </c>
      <c r="M176" s="37">
        <v>544</v>
      </c>
      <c r="N176" s="37">
        <v>81</v>
      </c>
      <c r="O176" s="37">
        <v>2617</v>
      </c>
      <c r="P176" s="37">
        <v>100</v>
      </c>
      <c r="Q176" s="37">
        <v>236</v>
      </c>
      <c r="R176" s="37">
        <v>12.11310661062285</v>
      </c>
      <c r="S176" s="37">
        <v>0</v>
      </c>
      <c r="T176" s="37">
        <v>244</v>
      </c>
      <c r="U176" s="37">
        <v>244</v>
      </c>
      <c r="V176" s="552"/>
      <c r="W176" s="552"/>
      <c r="X176" s="552"/>
      <c r="Y176" s="552"/>
    </row>
    <row r="177" spans="1:25" s="512" customFormat="1" ht="11.1" customHeight="1" x14ac:dyDescent="0.15">
      <c r="A177" s="556">
        <v>36617</v>
      </c>
      <c r="B177" s="26" t="s">
        <v>22</v>
      </c>
      <c r="C177" s="26" t="s">
        <v>684</v>
      </c>
      <c r="D177" s="552" t="s">
        <v>685</v>
      </c>
      <c r="E177" s="37">
        <v>18273</v>
      </c>
      <c r="F177" s="37">
        <v>18273</v>
      </c>
      <c r="G177" s="37">
        <v>3296</v>
      </c>
      <c r="H177" s="37">
        <v>3508</v>
      </c>
      <c r="I177" s="37">
        <v>0</v>
      </c>
      <c r="J177" s="37">
        <v>0</v>
      </c>
      <c r="K177" s="37">
        <v>2851</v>
      </c>
      <c r="L177" s="37">
        <v>0</v>
      </c>
      <c r="M177" s="37">
        <v>657</v>
      </c>
      <c r="N177" s="37">
        <v>0</v>
      </c>
      <c r="O177" s="37">
        <v>3508</v>
      </c>
      <c r="P177" s="37">
        <v>100</v>
      </c>
      <c r="Q177" s="37">
        <v>280</v>
      </c>
      <c r="R177" s="37">
        <v>7.9817559863169896</v>
      </c>
      <c r="S177" s="37">
        <v>0</v>
      </c>
      <c r="T177" s="37">
        <v>398</v>
      </c>
      <c r="U177" s="37">
        <v>398</v>
      </c>
      <c r="V177" s="552"/>
      <c r="W177" s="552"/>
      <c r="X177" s="552"/>
      <c r="Y177" s="552"/>
    </row>
    <row r="178" spans="1:25" s="512" customFormat="1" ht="11.1" customHeight="1" x14ac:dyDescent="0.15">
      <c r="A178" s="556">
        <v>36982</v>
      </c>
      <c r="B178" s="26" t="s">
        <v>23</v>
      </c>
      <c r="C178" s="26" t="s">
        <v>671</v>
      </c>
      <c r="D178" s="552" t="s">
        <v>246</v>
      </c>
      <c r="E178" s="37">
        <v>41069</v>
      </c>
      <c r="F178" s="37">
        <v>41069</v>
      </c>
      <c r="G178" s="37">
        <v>14686</v>
      </c>
      <c r="H178" s="37">
        <v>15598</v>
      </c>
      <c r="I178" s="37">
        <v>0</v>
      </c>
      <c r="J178" s="37">
        <v>308</v>
      </c>
      <c r="K178" s="37">
        <v>13192</v>
      </c>
      <c r="L178" s="37">
        <v>0</v>
      </c>
      <c r="M178" s="37">
        <v>2406</v>
      </c>
      <c r="N178" s="37">
        <v>0</v>
      </c>
      <c r="O178" s="37">
        <v>15598</v>
      </c>
      <c r="P178" s="37">
        <v>100</v>
      </c>
      <c r="Q178" s="37">
        <v>1297</v>
      </c>
      <c r="R178" s="37">
        <v>10.09053187476424</v>
      </c>
      <c r="S178" s="37">
        <v>1831</v>
      </c>
      <c r="T178" s="37">
        <v>1081</v>
      </c>
      <c r="U178" s="37">
        <v>2912</v>
      </c>
      <c r="V178" s="552"/>
      <c r="W178" s="552"/>
      <c r="X178" s="552"/>
      <c r="Y178" s="552"/>
    </row>
    <row r="179" spans="1:25" s="512" customFormat="1" ht="11.1" customHeight="1" x14ac:dyDescent="0.15">
      <c r="A179" s="556">
        <v>36982</v>
      </c>
      <c r="B179" s="26" t="s">
        <v>23</v>
      </c>
      <c r="C179" s="26" t="s">
        <v>672</v>
      </c>
      <c r="D179" s="552" t="s">
        <v>456</v>
      </c>
      <c r="E179" s="37">
        <v>34284</v>
      </c>
      <c r="F179" s="37">
        <v>34284</v>
      </c>
      <c r="G179" s="37">
        <v>9249</v>
      </c>
      <c r="H179" s="37">
        <v>9923</v>
      </c>
      <c r="I179" s="37">
        <v>0</v>
      </c>
      <c r="J179" s="37">
        <v>815</v>
      </c>
      <c r="K179" s="37">
        <v>8211</v>
      </c>
      <c r="L179" s="37">
        <v>0</v>
      </c>
      <c r="M179" s="37">
        <v>1712</v>
      </c>
      <c r="N179" s="37">
        <v>0</v>
      </c>
      <c r="O179" s="37">
        <v>9923</v>
      </c>
      <c r="P179" s="37">
        <v>100</v>
      </c>
      <c r="Q179" s="37">
        <v>993</v>
      </c>
      <c r="R179" s="37">
        <v>16.837399888247344</v>
      </c>
      <c r="S179" s="37">
        <v>1033</v>
      </c>
      <c r="T179" s="37">
        <v>698</v>
      </c>
      <c r="U179" s="37">
        <v>1731</v>
      </c>
      <c r="V179" s="552"/>
      <c r="W179" s="552"/>
      <c r="X179" s="552"/>
      <c r="Y179" s="552"/>
    </row>
    <row r="180" spans="1:25" s="512" customFormat="1" ht="11.1" customHeight="1" x14ac:dyDescent="0.15">
      <c r="A180" s="556">
        <v>36982</v>
      </c>
      <c r="B180" s="26" t="s">
        <v>23</v>
      </c>
      <c r="C180" s="26" t="s">
        <v>673</v>
      </c>
      <c r="D180" s="552" t="s">
        <v>674</v>
      </c>
      <c r="E180" s="37">
        <v>13926</v>
      </c>
      <c r="F180" s="37">
        <v>13926</v>
      </c>
      <c r="G180" s="37">
        <v>4230</v>
      </c>
      <c r="H180" s="37">
        <v>4409</v>
      </c>
      <c r="I180" s="37">
        <v>0</v>
      </c>
      <c r="J180" s="37">
        <v>0</v>
      </c>
      <c r="K180" s="37">
        <v>3285</v>
      </c>
      <c r="L180" s="37">
        <v>0</v>
      </c>
      <c r="M180" s="37">
        <v>706</v>
      </c>
      <c r="N180" s="37">
        <v>418</v>
      </c>
      <c r="O180" s="37">
        <v>4409</v>
      </c>
      <c r="P180" s="37">
        <v>100</v>
      </c>
      <c r="Q180" s="37">
        <v>313</v>
      </c>
      <c r="R180" s="37">
        <v>16.579723293263779</v>
      </c>
      <c r="S180" s="37">
        <v>365</v>
      </c>
      <c r="T180" s="37">
        <v>381</v>
      </c>
      <c r="U180" s="37">
        <v>746</v>
      </c>
      <c r="V180" s="552"/>
      <c r="W180" s="552"/>
      <c r="X180" s="552"/>
      <c r="Y180" s="552"/>
    </row>
    <row r="181" spans="1:25" s="512" customFormat="1" ht="11.1" customHeight="1" x14ac:dyDescent="0.15">
      <c r="A181" s="556">
        <v>36982</v>
      </c>
      <c r="B181" s="26" t="s">
        <v>23</v>
      </c>
      <c r="C181" s="26" t="s">
        <v>675</v>
      </c>
      <c r="D181" s="552" t="s">
        <v>676</v>
      </c>
      <c r="E181" s="37">
        <v>2059</v>
      </c>
      <c r="F181" s="37">
        <v>2059</v>
      </c>
      <c r="G181" s="37">
        <v>500</v>
      </c>
      <c r="H181" s="37">
        <v>535</v>
      </c>
      <c r="I181" s="37">
        <v>0</v>
      </c>
      <c r="J181" s="37">
        <v>0</v>
      </c>
      <c r="K181" s="37">
        <v>390</v>
      </c>
      <c r="L181" s="37">
        <v>0</v>
      </c>
      <c r="M181" s="37">
        <v>145</v>
      </c>
      <c r="N181" s="37">
        <v>0</v>
      </c>
      <c r="O181" s="37">
        <v>535</v>
      </c>
      <c r="P181" s="37">
        <v>100</v>
      </c>
      <c r="Q181" s="37">
        <v>88</v>
      </c>
      <c r="R181" s="37">
        <v>16.448598130841123</v>
      </c>
      <c r="S181" s="37">
        <v>54</v>
      </c>
      <c r="T181" s="37">
        <v>55</v>
      </c>
      <c r="U181" s="37">
        <v>109</v>
      </c>
      <c r="V181" s="552"/>
      <c r="W181" s="552"/>
      <c r="X181" s="552"/>
      <c r="Y181" s="552"/>
    </row>
    <row r="182" spans="1:25" s="512" customFormat="1" ht="11.1" customHeight="1" x14ac:dyDescent="0.15">
      <c r="A182" s="556">
        <v>36982</v>
      </c>
      <c r="B182" s="26" t="s">
        <v>23</v>
      </c>
      <c r="C182" s="26" t="s">
        <v>677</v>
      </c>
      <c r="D182" s="552" t="s">
        <v>678</v>
      </c>
      <c r="E182" s="37">
        <v>22997</v>
      </c>
      <c r="F182" s="37">
        <v>22997</v>
      </c>
      <c r="G182" s="37">
        <v>8638</v>
      </c>
      <c r="H182" s="37">
        <v>9321</v>
      </c>
      <c r="I182" s="37">
        <v>0</v>
      </c>
      <c r="J182" s="37">
        <v>508</v>
      </c>
      <c r="K182" s="37">
        <v>8175</v>
      </c>
      <c r="L182" s="37">
        <v>0</v>
      </c>
      <c r="M182" s="37">
        <v>1402</v>
      </c>
      <c r="N182" s="37">
        <v>0</v>
      </c>
      <c r="O182" s="37">
        <v>9577</v>
      </c>
      <c r="P182" s="37">
        <v>100</v>
      </c>
      <c r="Q182" s="37">
        <v>745</v>
      </c>
      <c r="R182" s="37">
        <v>12.424392662369856</v>
      </c>
      <c r="S182" s="37">
        <v>726</v>
      </c>
      <c r="T182" s="37">
        <v>628</v>
      </c>
      <c r="U182" s="37">
        <v>1354</v>
      </c>
      <c r="V182" s="552"/>
      <c r="W182" s="552"/>
      <c r="X182" s="552"/>
      <c r="Y182" s="552"/>
    </row>
    <row r="183" spans="1:25" s="512" customFormat="1" ht="11.1" customHeight="1" x14ac:dyDescent="0.15">
      <c r="A183" s="556">
        <v>36982</v>
      </c>
      <c r="B183" s="26" t="s">
        <v>23</v>
      </c>
      <c r="C183" s="26" t="s">
        <v>679</v>
      </c>
      <c r="D183" s="552" t="s">
        <v>680</v>
      </c>
      <c r="E183" s="37">
        <v>13320</v>
      </c>
      <c r="F183" s="37">
        <v>13320</v>
      </c>
      <c r="G183" s="37">
        <v>4797</v>
      </c>
      <c r="H183" s="37">
        <v>5182</v>
      </c>
      <c r="I183" s="37">
        <v>0</v>
      </c>
      <c r="J183" s="37">
        <v>0</v>
      </c>
      <c r="K183" s="37">
        <v>4382</v>
      </c>
      <c r="L183" s="37">
        <v>0</v>
      </c>
      <c r="M183" s="37">
        <v>800</v>
      </c>
      <c r="N183" s="37">
        <v>0</v>
      </c>
      <c r="O183" s="37">
        <v>5182</v>
      </c>
      <c r="P183" s="37">
        <v>100</v>
      </c>
      <c r="Q183" s="37">
        <v>351</v>
      </c>
      <c r="R183" s="37">
        <v>6.7734465457352373</v>
      </c>
      <c r="S183" s="37">
        <v>487</v>
      </c>
      <c r="T183" s="37">
        <v>439</v>
      </c>
      <c r="U183" s="37">
        <v>926</v>
      </c>
      <c r="V183" s="552"/>
      <c r="W183" s="552"/>
      <c r="X183" s="552"/>
      <c r="Y183" s="552"/>
    </row>
    <row r="184" spans="1:25" s="512" customFormat="1" ht="11.1" customHeight="1" x14ac:dyDescent="0.15">
      <c r="A184" s="556">
        <v>36982</v>
      </c>
      <c r="B184" s="26" t="s">
        <v>23</v>
      </c>
      <c r="C184" s="26" t="s">
        <v>681</v>
      </c>
      <c r="D184" s="552" t="s">
        <v>682</v>
      </c>
      <c r="E184" s="37">
        <v>39354</v>
      </c>
      <c r="F184" s="37">
        <v>39354</v>
      </c>
      <c r="G184" s="37">
        <v>13134</v>
      </c>
      <c r="H184" s="37">
        <v>14816</v>
      </c>
      <c r="I184" s="37">
        <v>163</v>
      </c>
      <c r="J184" s="37">
        <v>927</v>
      </c>
      <c r="K184" s="37">
        <v>12351</v>
      </c>
      <c r="L184" s="37">
        <v>0</v>
      </c>
      <c r="M184" s="37">
        <v>2301</v>
      </c>
      <c r="N184" s="37">
        <v>0</v>
      </c>
      <c r="O184" s="37">
        <v>14652</v>
      </c>
      <c r="P184" s="37">
        <v>100</v>
      </c>
      <c r="Q184" s="37">
        <v>1322</v>
      </c>
      <c r="R184" s="37">
        <v>14.436099878040952</v>
      </c>
      <c r="S184" s="37">
        <v>1098</v>
      </c>
      <c r="T184" s="37">
        <v>938</v>
      </c>
      <c r="U184" s="37">
        <v>2036</v>
      </c>
      <c r="V184" s="552"/>
      <c r="W184" s="552"/>
      <c r="X184" s="552"/>
      <c r="Y184" s="552"/>
    </row>
    <row r="185" spans="1:25" s="512" customFormat="1" ht="11.1" customHeight="1" x14ac:dyDescent="0.15">
      <c r="A185" s="556">
        <v>36982</v>
      </c>
      <c r="B185" s="26" t="s">
        <v>23</v>
      </c>
      <c r="C185" s="26" t="s">
        <v>683</v>
      </c>
      <c r="D185" s="552" t="s">
        <v>577</v>
      </c>
      <c r="E185" s="37">
        <v>11188</v>
      </c>
      <c r="F185" s="37">
        <v>11188</v>
      </c>
      <c r="G185" s="37">
        <v>2554</v>
      </c>
      <c r="H185" s="37">
        <v>2646</v>
      </c>
      <c r="I185" s="37">
        <v>0</v>
      </c>
      <c r="J185" s="37">
        <v>0</v>
      </c>
      <c r="K185" s="37">
        <v>2033</v>
      </c>
      <c r="L185" s="37">
        <v>0</v>
      </c>
      <c r="M185" s="37">
        <v>613</v>
      </c>
      <c r="N185" s="37">
        <v>0</v>
      </c>
      <c r="O185" s="37">
        <v>2646</v>
      </c>
      <c r="P185" s="37">
        <v>100</v>
      </c>
      <c r="Q185" s="37">
        <v>325</v>
      </c>
      <c r="R185" s="37">
        <v>12.282690854119425</v>
      </c>
      <c r="S185" s="37">
        <v>226</v>
      </c>
      <c r="T185" s="37">
        <v>279</v>
      </c>
      <c r="U185" s="37">
        <v>505</v>
      </c>
      <c r="V185" s="552"/>
      <c r="W185" s="552"/>
      <c r="X185" s="552"/>
      <c r="Y185" s="552"/>
    </row>
    <row r="186" spans="1:25" s="512" customFormat="1" ht="11.1" customHeight="1" x14ac:dyDescent="0.15">
      <c r="A186" s="556">
        <v>36982</v>
      </c>
      <c r="B186" s="26" t="s">
        <v>23</v>
      </c>
      <c r="C186" s="26" t="s">
        <v>684</v>
      </c>
      <c r="D186" s="552" t="s">
        <v>685</v>
      </c>
      <c r="E186" s="37">
        <v>18051</v>
      </c>
      <c r="F186" s="37">
        <v>18051</v>
      </c>
      <c r="G186" s="37">
        <v>3689</v>
      </c>
      <c r="H186" s="37">
        <v>3791</v>
      </c>
      <c r="I186" s="37">
        <v>0</v>
      </c>
      <c r="J186" s="37">
        <v>0</v>
      </c>
      <c r="K186" s="37">
        <v>2913</v>
      </c>
      <c r="L186" s="37">
        <v>0</v>
      </c>
      <c r="M186" s="37">
        <v>599</v>
      </c>
      <c r="N186" s="37">
        <v>279</v>
      </c>
      <c r="O186" s="37">
        <v>3791</v>
      </c>
      <c r="P186" s="37">
        <v>100</v>
      </c>
      <c r="Q186" s="37">
        <v>265</v>
      </c>
      <c r="R186" s="37">
        <v>14.349775784753364</v>
      </c>
      <c r="S186" s="37">
        <v>366</v>
      </c>
      <c r="T186" s="37">
        <v>325</v>
      </c>
      <c r="U186" s="37">
        <v>691</v>
      </c>
      <c r="V186" s="552"/>
      <c r="W186" s="552"/>
      <c r="X186" s="552"/>
      <c r="Y186" s="552"/>
    </row>
    <row r="187" spans="1:25" s="512" customFormat="1" ht="11.1" customHeight="1" x14ac:dyDescent="0.15">
      <c r="A187" s="556">
        <v>37347</v>
      </c>
      <c r="B187" s="26" t="s">
        <v>24</v>
      </c>
      <c r="C187" s="26" t="s">
        <v>671</v>
      </c>
      <c r="D187" s="552" t="s">
        <v>246</v>
      </c>
      <c r="E187" s="37">
        <v>40759</v>
      </c>
      <c r="F187" s="37">
        <v>40759</v>
      </c>
      <c r="G187" s="37">
        <v>13066</v>
      </c>
      <c r="H187" s="37">
        <v>13661</v>
      </c>
      <c r="I187" s="37">
        <v>0</v>
      </c>
      <c r="J187" s="37">
        <v>257</v>
      </c>
      <c r="K187" s="37">
        <v>10868</v>
      </c>
      <c r="L187" s="37">
        <v>0</v>
      </c>
      <c r="M187" s="37">
        <v>2793</v>
      </c>
      <c r="N187" s="37">
        <v>0</v>
      </c>
      <c r="O187" s="37">
        <v>13661</v>
      </c>
      <c r="P187" s="37">
        <v>100</v>
      </c>
      <c r="Q187" s="37">
        <v>2197</v>
      </c>
      <c r="R187" s="37">
        <v>17.631843655697658</v>
      </c>
      <c r="S187" s="37">
        <v>1127</v>
      </c>
      <c r="T187" s="37">
        <v>569</v>
      </c>
      <c r="U187" s="37">
        <v>1696</v>
      </c>
      <c r="V187" s="552"/>
      <c r="W187" s="552"/>
      <c r="X187" s="552"/>
      <c r="Y187" s="552"/>
    </row>
    <row r="188" spans="1:25" s="512" customFormat="1" ht="11.1" customHeight="1" x14ac:dyDescent="0.15">
      <c r="A188" s="556">
        <v>37347</v>
      </c>
      <c r="B188" s="26" t="s">
        <v>24</v>
      </c>
      <c r="C188" s="26" t="s">
        <v>672</v>
      </c>
      <c r="D188" s="552" t="s">
        <v>456</v>
      </c>
      <c r="E188" s="37">
        <v>34180</v>
      </c>
      <c r="F188" s="37">
        <v>34180</v>
      </c>
      <c r="G188" s="37">
        <v>9140</v>
      </c>
      <c r="H188" s="37">
        <v>9776</v>
      </c>
      <c r="I188" s="37">
        <v>0</v>
      </c>
      <c r="J188" s="37">
        <v>688</v>
      </c>
      <c r="K188" s="37">
        <v>7671</v>
      </c>
      <c r="L188" s="37">
        <v>0</v>
      </c>
      <c r="M188" s="37">
        <v>2105</v>
      </c>
      <c r="N188" s="37">
        <v>0</v>
      </c>
      <c r="O188" s="37">
        <v>9776</v>
      </c>
      <c r="P188" s="37">
        <v>100</v>
      </c>
      <c r="Q188" s="37">
        <v>1627</v>
      </c>
      <c r="R188" s="37">
        <v>22.123470948012233</v>
      </c>
      <c r="S188" s="37">
        <v>1762</v>
      </c>
      <c r="T188" s="37">
        <v>456</v>
      </c>
      <c r="U188" s="37">
        <v>2218</v>
      </c>
      <c r="V188" s="552"/>
      <c r="W188" s="552"/>
      <c r="X188" s="552"/>
      <c r="Y188" s="552"/>
    </row>
    <row r="189" spans="1:25" s="512" customFormat="1" ht="11.1" customHeight="1" x14ac:dyDescent="0.15">
      <c r="A189" s="556">
        <v>37347</v>
      </c>
      <c r="B189" s="26" t="s">
        <v>24</v>
      </c>
      <c r="C189" s="26" t="s">
        <v>673</v>
      </c>
      <c r="D189" s="552" t="s">
        <v>674</v>
      </c>
      <c r="E189" s="37">
        <v>13880</v>
      </c>
      <c r="F189" s="37">
        <v>13880</v>
      </c>
      <c r="G189" s="37">
        <v>4418</v>
      </c>
      <c r="H189" s="37">
        <v>4576</v>
      </c>
      <c r="I189" s="37">
        <v>0</v>
      </c>
      <c r="J189" s="37">
        <v>0</v>
      </c>
      <c r="K189" s="37">
        <v>3337</v>
      </c>
      <c r="L189" s="37">
        <v>0</v>
      </c>
      <c r="M189" s="37">
        <v>1239</v>
      </c>
      <c r="N189" s="37">
        <v>0</v>
      </c>
      <c r="O189" s="37">
        <v>4576</v>
      </c>
      <c r="P189" s="37">
        <v>100</v>
      </c>
      <c r="Q189" s="37">
        <v>1044</v>
      </c>
      <c r="R189" s="37">
        <v>22.814685314685317</v>
      </c>
      <c r="S189" s="37">
        <v>214</v>
      </c>
      <c r="T189" s="37">
        <v>185</v>
      </c>
      <c r="U189" s="37">
        <v>399</v>
      </c>
      <c r="V189" s="552"/>
      <c r="W189" s="552"/>
      <c r="X189" s="552"/>
      <c r="Y189" s="552"/>
    </row>
    <row r="190" spans="1:25" s="512" customFormat="1" ht="11.1" customHeight="1" x14ac:dyDescent="0.15">
      <c r="A190" s="556">
        <v>37347</v>
      </c>
      <c r="B190" s="26" t="s">
        <v>24</v>
      </c>
      <c r="C190" s="26" t="s">
        <v>675</v>
      </c>
      <c r="D190" s="552" t="s">
        <v>676</v>
      </c>
      <c r="E190" s="37">
        <v>2036</v>
      </c>
      <c r="F190" s="37">
        <v>2036</v>
      </c>
      <c r="G190" s="37">
        <v>448</v>
      </c>
      <c r="H190" s="37">
        <v>482</v>
      </c>
      <c r="I190" s="37">
        <v>0</v>
      </c>
      <c r="J190" s="37">
        <v>0</v>
      </c>
      <c r="K190" s="37">
        <v>342</v>
      </c>
      <c r="L190" s="37">
        <v>0</v>
      </c>
      <c r="M190" s="37">
        <v>140</v>
      </c>
      <c r="N190" s="37">
        <v>0</v>
      </c>
      <c r="O190" s="37">
        <v>482</v>
      </c>
      <c r="P190" s="37">
        <v>100</v>
      </c>
      <c r="Q190" s="37">
        <v>112</v>
      </c>
      <c r="R190" s="37">
        <v>23.236514522821576</v>
      </c>
      <c r="S190" s="37">
        <v>35</v>
      </c>
      <c r="T190" s="37">
        <v>27</v>
      </c>
      <c r="U190" s="37">
        <v>62</v>
      </c>
      <c r="V190" s="552"/>
      <c r="W190" s="552"/>
      <c r="X190" s="552"/>
      <c r="Y190" s="552"/>
    </row>
    <row r="191" spans="1:25" s="512" customFormat="1" ht="11.1" customHeight="1" x14ac:dyDescent="0.15">
      <c r="A191" s="556">
        <v>37347</v>
      </c>
      <c r="B191" s="26" t="s">
        <v>24</v>
      </c>
      <c r="C191" s="26" t="s">
        <v>677</v>
      </c>
      <c r="D191" s="552" t="s">
        <v>678</v>
      </c>
      <c r="E191" s="37">
        <v>23158</v>
      </c>
      <c r="F191" s="37">
        <v>23158</v>
      </c>
      <c r="G191" s="37">
        <v>8383</v>
      </c>
      <c r="H191" s="37">
        <v>8836</v>
      </c>
      <c r="I191" s="37">
        <v>0</v>
      </c>
      <c r="J191" s="37">
        <v>528</v>
      </c>
      <c r="K191" s="37">
        <v>7075</v>
      </c>
      <c r="L191" s="37">
        <v>0</v>
      </c>
      <c r="M191" s="37">
        <v>1761</v>
      </c>
      <c r="N191" s="37">
        <v>0</v>
      </c>
      <c r="O191" s="37">
        <v>8836</v>
      </c>
      <c r="P191" s="37">
        <v>100</v>
      </c>
      <c r="Q191" s="37">
        <v>1377</v>
      </c>
      <c r="R191" s="37">
        <v>20.3438701409654</v>
      </c>
      <c r="S191" s="37">
        <v>620</v>
      </c>
      <c r="T191" s="37">
        <v>362</v>
      </c>
      <c r="U191" s="37">
        <v>982</v>
      </c>
      <c r="V191" s="552"/>
      <c r="W191" s="552"/>
      <c r="X191" s="552"/>
      <c r="Y191" s="552"/>
    </row>
    <row r="192" spans="1:25" s="512" customFormat="1" ht="11.1" customHeight="1" x14ac:dyDescent="0.15">
      <c r="A192" s="556">
        <v>37347</v>
      </c>
      <c r="B192" s="26" t="s">
        <v>24</v>
      </c>
      <c r="C192" s="26" t="s">
        <v>679</v>
      </c>
      <c r="D192" s="552" t="s">
        <v>680</v>
      </c>
      <c r="E192" s="37">
        <v>13199</v>
      </c>
      <c r="F192" s="37">
        <v>13199</v>
      </c>
      <c r="G192" s="37">
        <v>4524</v>
      </c>
      <c r="H192" s="37">
        <v>4785</v>
      </c>
      <c r="I192" s="37">
        <v>0</v>
      </c>
      <c r="J192" s="37">
        <v>0</v>
      </c>
      <c r="K192" s="37">
        <v>3718</v>
      </c>
      <c r="L192" s="37">
        <v>0</v>
      </c>
      <c r="M192" s="37">
        <v>1067</v>
      </c>
      <c r="N192" s="37">
        <v>0</v>
      </c>
      <c r="O192" s="37">
        <v>4785</v>
      </c>
      <c r="P192" s="37">
        <v>100</v>
      </c>
      <c r="Q192" s="37">
        <v>852</v>
      </c>
      <c r="R192" s="37">
        <v>17.805642633228842</v>
      </c>
      <c r="S192" s="37">
        <v>239</v>
      </c>
      <c r="T192" s="37">
        <v>205</v>
      </c>
      <c r="U192" s="37">
        <v>444</v>
      </c>
      <c r="V192" s="552"/>
      <c r="W192" s="552"/>
      <c r="X192" s="552"/>
      <c r="Y192" s="552"/>
    </row>
    <row r="193" spans="1:25" s="512" customFormat="1" ht="11.1" customHeight="1" x14ac:dyDescent="0.15">
      <c r="A193" s="556">
        <v>37347</v>
      </c>
      <c r="B193" s="26" t="s">
        <v>24</v>
      </c>
      <c r="C193" s="26" t="s">
        <v>681</v>
      </c>
      <c r="D193" s="552" t="s">
        <v>682</v>
      </c>
      <c r="E193" s="37">
        <v>39490</v>
      </c>
      <c r="F193" s="37">
        <v>39490</v>
      </c>
      <c r="G193" s="37">
        <v>13303</v>
      </c>
      <c r="H193" s="37">
        <v>14908</v>
      </c>
      <c r="I193" s="37">
        <v>164</v>
      </c>
      <c r="J193" s="37">
        <v>857</v>
      </c>
      <c r="K193" s="37">
        <v>12325</v>
      </c>
      <c r="L193" s="37">
        <v>0</v>
      </c>
      <c r="M193" s="37">
        <v>2419</v>
      </c>
      <c r="N193" s="37">
        <v>0</v>
      </c>
      <c r="O193" s="37">
        <v>14744</v>
      </c>
      <c r="P193" s="37">
        <v>100</v>
      </c>
      <c r="Q193" s="37">
        <v>1810</v>
      </c>
      <c r="R193" s="37">
        <v>17.095058009101979</v>
      </c>
      <c r="S193" s="37">
        <v>1079</v>
      </c>
      <c r="T193" s="37">
        <v>576</v>
      </c>
      <c r="U193" s="37">
        <v>1655</v>
      </c>
      <c r="V193" s="552"/>
      <c r="W193" s="552"/>
      <c r="X193" s="552"/>
      <c r="Y193" s="552"/>
    </row>
    <row r="194" spans="1:25" s="512" customFormat="1" ht="11.1" customHeight="1" x14ac:dyDescent="0.15">
      <c r="A194" s="556">
        <v>37347</v>
      </c>
      <c r="B194" s="26" t="s">
        <v>24</v>
      </c>
      <c r="C194" s="26" t="s">
        <v>683</v>
      </c>
      <c r="D194" s="552" t="s">
        <v>577</v>
      </c>
      <c r="E194" s="37">
        <v>11047</v>
      </c>
      <c r="F194" s="37">
        <v>11047</v>
      </c>
      <c r="G194" s="37">
        <v>2518</v>
      </c>
      <c r="H194" s="37">
        <v>2598</v>
      </c>
      <c r="I194" s="37">
        <v>0</v>
      </c>
      <c r="J194" s="37">
        <v>0</v>
      </c>
      <c r="K194" s="37">
        <v>2008</v>
      </c>
      <c r="L194" s="37">
        <v>0</v>
      </c>
      <c r="M194" s="37">
        <v>590</v>
      </c>
      <c r="N194" s="37">
        <v>0</v>
      </c>
      <c r="O194" s="37">
        <v>2598</v>
      </c>
      <c r="P194" s="37">
        <v>100</v>
      </c>
      <c r="Q194" s="37">
        <v>469</v>
      </c>
      <c r="R194" s="37">
        <v>18.052347959969207</v>
      </c>
      <c r="S194" s="37">
        <v>129</v>
      </c>
      <c r="T194" s="37">
        <v>114</v>
      </c>
      <c r="U194" s="37">
        <v>243</v>
      </c>
      <c r="V194" s="552"/>
      <c r="W194" s="552"/>
      <c r="X194" s="552"/>
      <c r="Y194" s="552"/>
    </row>
    <row r="195" spans="1:25" s="512" customFormat="1" ht="11.1" customHeight="1" x14ac:dyDescent="0.15">
      <c r="A195" s="556">
        <v>37347</v>
      </c>
      <c r="B195" s="26" t="s">
        <v>24</v>
      </c>
      <c r="C195" s="26" t="s">
        <v>684</v>
      </c>
      <c r="D195" s="552" t="s">
        <v>685</v>
      </c>
      <c r="E195" s="37">
        <v>17842</v>
      </c>
      <c r="F195" s="37">
        <v>17842</v>
      </c>
      <c r="G195" s="37">
        <v>3472</v>
      </c>
      <c r="H195" s="37">
        <v>3626</v>
      </c>
      <c r="I195" s="37">
        <v>0</v>
      </c>
      <c r="J195" s="37">
        <v>0</v>
      </c>
      <c r="K195" s="37">
        <v>2684</v>
      </c>
      <c r="L195" s="37">
        <v>0</v>
      </c>
      <c r="M195" s="37">
        <v>942</v>
      </c>
      <c r="N195" s="37">
        <v>0</v>
      </c>
      <c r="O195" s="37">
        <v>3626</v>
      </c>
      <c r="P195" s="37">
        <v>100</v>
      </c>
      <c r="Q195" s="37">
        <v>772</v>
      </c>
      <c r="R195" s="37">
        <v>21.290678433535575</v>
      </c>
      <c r="S195" s="37">
        <v>617</v>
      </c>
      <c r="T195" s="37">
        <v>161</v>
      </c>
      <c r="U195" s="37">
        <v>778</v>
      </c>
      <c r="V195" s="552"/>
      <c r="W195" s="552"/>
      <c r="X195" s="552"/>
      <c r="Y195" s="552"/>
    </row>
    <row r="196" spans="1:25" s="512" customFormat="1" ht="11.1" customHeight="1" x14ac:dyDescent="0.15">
      <c r="A196" s="556">
        <v>37712</v>
      </c>
      <c r="B196" s="26" t="s">
        <v>25</v>
      </c>
      <c r="C196" s="26" t="s">
        <v>671</v>
      </c>
      <c r="D196" s="552" t="s">
        <v>246</v>
      </c>
      <c r="E196" s="37">
        <v>40432</v>
      </c>
      <c r="F196" s="37">
        <v>40432</v>
      </c>
      <c r="G196" s="37">
        <v>13214</v>
      </c>
      <c r="H196" s="37">
        <v>12757</v>
      </c>
      <c r="I196" s="37">
        <v>0</v>
      </c>
      <c r="J196" s="37">
        <v>237</v>
      </c>
      <c r="K196" s="37">
        <v>9875</v>
      </c>
      <c r="L196" s="37">
        <v>0</v>
      </c>
      <c r="M196" s="37">
        <v>3325</v>
      </c>
      <c r="N196" s="37">
        <v>14</v>
      </c>
      <c r="O196" s="37">
        <v>13214</v>
      </c>
      <c r="P196" s="37">
        <v>100</v>
      </c>
      <c r="Q196" s="37">
        <v>2314</v>
      </c>
      <c r="R196" s="37">
        <v>19.069214184818971</v>
      </c>
      <c r="S196" s="37">
        <v>1293</v>
      </c>
      <c r="T196" s="37">
        <v>523</v>
      </c>
      <c r="U196" s="37">
        <v>1816</v>
      </c>
      <c r="V196" s="552"/>
      <c r="W196" s="552"/>
      <c r="X196" s="552"/>
      <c r="Y196" s="552"/>
    </row>
    <row r="197" spans="1:25" s="512" customFormat="1" ht="11.1" customHeight="1" x14ac:dyDescent="0.15">
      <c r="A197" s="556">
        <v>37712</v>
      </c>
      <c r="B197" s="26" t="s">
        <v>25</v>
      </c>
      <c r="C197" s="26" t="s">
        <v>672</v>
      </c>
      <c r="D197" s="552" t="s">
        <v>456</v>
      </c>
      <c r="E197" s="37">
        <v>34057</v>
      </c>
      <c r="F197" s="37">
        <v>34057</v>
      </c>
      <c r="G197" s="37">
        <v>9462</v>
      </c>
      <c r="H197" s="37">
        <v>8831</v>
      </c>
      <c r="I197" s="37">
        <v>0</v>
      </c>
      <c r="J197" s="37">
        <v>0</v>
      </c>
      <c r="K197" s="37">
        <v>7371</v>
      </c>
      <c r="L197" s="37">
        <v>0</v>
      </c>
      <c r="M197" s="37">
        <v>2082</v>
      </c>
      <c r="N197" s="37">
        <v>9</v>
      </c>
      <c r="O197" s="37">
        <v>9462</v>
      </c>
      <c r="P197" s="37">
        <v>100</v>
      </c>
      <c r="Q197" s="37">
        <v>1711</v>
      </c>
      <c r="R197" s="37">
        <v>18.177975058127245</v>
      </c>
      <c r="S197" s="37">
        <v>965</v>
      </c>
      <c r="T197" s="37">
        <v>371</v>
      </c>
      <c r="U197" s="37">
        <v>1336</v>
      </c>
      <c r="V197" s="552"/>
      <c r="W197" s="552"/>
      <c r="X197" s="552"/>
      <c r="Y197" s="552"/>
    </row>
    <row r="198" spans="1:25" s="512" customFormat="1" ht="11.1" customHeight="1" x14ac:dyDescent="0.15">
      <c r="A198" s="556">
        <v>37712</v>
      </c>
      <c r="B198" s="26" t="s">
        <v>25</v>
      </c>
      <c r="C198" s="26" t="s">
        <v>673</v>
      </c>
      <c r="D198" s="552" t="s">
        <v>674</v>
      </c>
      <c r="E198" s="37">
        <v>13829</v>
      </c>
      <c r="F198" s="37">
        <v>13829</v>
      </c>
      <c r="G198" s="37">
        <v>4780</v>
      </c>
      <c r="H198" s="37">
        <v>4640</v>
      </c>
      <c r="I198" s="37">
        <v>0</v>
      </c>
      <c r="J198" s="37">
        <v>0</v>
      </c>
      <c r="K198" s="37">
        <v>3576</v>
      </c>
      <c r="L198" s="37">
        <v>0</v>
      </c>
      <c r="M198" s="37">
        <v>1200</v>
      </c>
      <c r="N198" s="37">
        <v>4</v>
      </c>
      <c r="O198" s="37">
        <v>4780</v>
      </c>
      <c r="P198" s="37">
        <v>100</v>
      </c>
      <c r="Q198" s="37">
        <v>1034</v>
      </c>
      <c r="R198" s="37">
        <v>21.715481171548117</v>
      </c>
      <c r="S198" s="37">
        <v>468</v>
      </c>
      <c r="T198" s="37">
        <v>166</v>
      </c>
      <c r="U198" s="37">
        <v>634</v>
      </c>
      <c r="V198" s="552"/>
      <c r="W198" s="552"/>
      <c r="X198" s="552"/>
      <c r="Y198" s="552"/>
    </row>
    <row r="199" spans="1:25" s="512" customFormat="1" ht="11.1" customHeight="1" x14ac:dyDescent="0.15">
      <c r="A199" s="556">
        <v>37712</v>
      </c>
      <c r="B199" s="26" t="s">
        <v>25</v>
      </c>
      <c r="C199" s="26" t="s">
        <v>675</v>
      </c>
      <c r="D199" s="552" t="s">
        <v>676</v>
      </c>
      <c r="E199" s="37">
        <v>2002</v>
      </c>
      <c r="F199" s="37">
        <v>2002</v>
      </c>
      <c r="G199" s="37">
        <v>493</v>
      </c>
      <c r="H199" s="37">
        <v>470</v>
      </c>
      <c r="I199" s="37">
        <v>0</v>
      </c>
      <c r="J199" s="37">
        <v>0</v>
      </c>
      <c r="K199" s="37">
        <v>346</v>
      </c>
      <c r="L199" s="37">
        <v>0</v>
      </c>
      <c r="M199" s="37">
        <v>147</v>
      </c>
      <c r="N199" s="37">
        <v>0</v>
      </c>
      <c r="O199" s="37">
        <v>493</v>
      </c>
      <c r="P199" s="37">
        <v>100</v>
      </c>
      <c r="Q199" s="37">
        <v>128</v>
      </c>
      <c r="R199" s="37">
        <v>25.963488843813387</v>
      </c>
      <c r="S199" s="37">
        <v>45</v>
      </c>
      <c r="T199" s="37">
        <v>19</v>
      </c>
      <c r="U199" s="37">
        <v>64</v>
      </c>
      <c r="V199" s="552"/>
      <c r="W199" s="552"/>
      <c r="X199" s="552"/>
      <c r="Y199" s="552"/>
    </row>
    <row r="200" spans="1:25" s="512" customFormat="1" ht="11.1" customHeight="1" x14ac:dyDescent="0.15">
      <c r="A200" s="556">
        <v>37712</v>
      </c>
      <c r="B200" s="26" t="s">
        <v>25</v>
      </c>
      <c r="C200" s="26" t="s">
        <v>677</v>
      </c>
      <c r="D200" s="552" t="s">
        <v>678</v>
      </c>
      <c r="E200" s="37">
        <v>23234</v>
      </c>
      <c r="F200" s="37">
        <v>23234</v>
      </c>
      <c r="G200" s="37">
        <v>8490</v>
      </c>
      <c r="H200" s="37">
        <v>8160</v>
      </c>
      <c r="I200" s="37">
        <v>0</v>
      </c>
      <c r="J200" s="37">
        <v>499</v>
      </c>
      <c r="K200" s="37">
        <v>6971</v>
      </c>
      <c r="L200" s="37">
        <v>0</v>
      </c>
      <c r="M200" s="37">
        <v>1511</v>
      </c>
      <c r="N200" s="37">
        <v>8</v>
      </c>
      <c r="O200" s="37">
        <v>8490</v>
      </c>
      <c r="P200" s="37">
        <v>100</v>
      </c>
      <c r="Q200" s="37">
        <v>1237</v>
      </c>
      <c r="R200" s="37">
        <v>19.401490710868842</v>
      </c>
      <c r="S200" s="37">
        <v>650</v>
      </c>
      <c r="T200" s="37">
        <v>274</v>
      </c>
      <c r="U200" s="37">
        <v>924</v>
      </c>
      <c r="V200" s="552"/>
      <c r="W200" s="552"/>
      <c r="X200" s="552"/>
      <c r="Y200" s="552"/>
    </row>
    <row r="201" spans="1:25" s="512" customFormat="1" ht="11.1" customHeight="1" x14ac:dyDescent="0.15">
      <c r="A201" s="556">
        <v>37712</v>
      </c>
      <c r="B201" s="26" t="s">
        <v>25</v>
      </c>
      <c r="C201" s="26" t="s">
        <v>679</v>
      </c>
      <c r="D201" s="552" t="s">
        <v>680</v>
      </c>
      <c r="E201" s="37">
        <v>13175</v>
      </c>
      <c r="F201" s="37">
        <v>13175</v>
      </c>
      <c r="G201" s="37">
        <v>4168</v>
      </c>
      <c r="H201" s="37">
        <v>4035</v>
      </c>
      <c r="I201" s="37">
        <v>0</v>
      </c>
      <c r="J201" s="37">
        <v>0</v>
      </c>
      <c r="K201" s="37">
        <v>3205</v>
      </c>
      <c r="L201" s="37">
        <v>0</v>
      </c>
      <c r="M201" s="37">
        <v>959</v>
      </c>
      <c r="N201" s="37">
        <v>4</v>
      </c>
      <c r="O201" s="37">
        <v>4168</v>
      </c>
      <c r="P201" s="37">
        <v>100</v>
      </c>
      <c r="Q201" s="37">
        <v>791</v>
      </c>
      <c r="R201" s="37">
        <v>19.073896353166987</v>
      </c>
      <c r="S201" s="37">
        <v>420</v>
      </c>
      <c r="T201" s="37">
        <v>168</v>
      </c>
      <c r="U201" s="37">
        <v>588</v>
      </c>
      <c r="V201" s="552"/>
      <c r="W201" s="552"/>
      <c r="X201" s="552"/>
      <c r="Y201" s="552"/>
    </row>
    <row r="202" spans="1:25" s="512" customFormat="1" ht="11.1" customHeight="1" x14ac:dyDescent="0.15">
      <c r="A202" s="556">
        <v>37712</v>
      </c>
      <c r="B202" s="26" t="s">
        <v>25</v>
      </c>
      <c r="C202" s="26" t="s">
        <v>681</v>
      </c>
      <c r="D202" s="552" t="s">
        <v>682</v>
      </c>
      <c r="E202" s="37">
        <v>39455</v>
      </c>
      <c r="F202" s="37">
        <v>39455</v>
      </c>
      <c r="G202" s="37">
        <v>14505</v>
      </c>
      <c r="H202" s="37">
        <v>12992</v>
      </c>
      <c r="I202" s="37">
        <v>109</v>
      </c>
      <c r="J202" s="37">
        <v>782</v>
      </c>
      <c r="K202" s="37">
        <v>12017</v>
      </c>
      <c r="L202" s="37">
        <v>0</v>
      </c>
      <c r="M202" s="37">
        <v>2366</v>
      </c>
      <c r="N202" s="37">
        <v>13</v>
      </c>
      <c r="O202" s="37">
        <v>14396</v>
      </c>
      <c r="P202" s="37">
        <v>100</v>
      </c>
      <c r="Q202" s="37">
        <v>1881</v>
      </c>
      <c r="R202" s="37">
        <v>17.630781394123073</v>
      </c>
      <c r="S202" s="37">
        <v>1120</v>
      </c>
      <c r="T202" s="37">
        <v>485</v>
      </c>
      <c r="U202" s="37">
        <v>1605</v>
      </c>
      <c r="V202" s="552"/>
      <c r="W202" s="552"/>
      <c r="X202" s="552"/>
      <c r="Y202" s="552"/>
    </row>
    <row r="203" spans="1:25" s="512" customFormat="1" ht="11.1" customHeight="1" x14ac:dyDescent="0.15">
      <c r="A203" s="556">
        <v>37712</v>
      </c>
      <c r="B203" s="26" t="s">
        <v>25</v>
      </c>
      <c r="C203" s="26" t="s">
        <v>683</v>
      </c>
      <c r="D203" s="552" t="s">
        <v>577</v>
      </c>
      <c r="E203" s="37">
        <v>10937</v>
      </c>
      <c r="F203" s="37">
        <v>10937</v>
      </c>
      <c r="G203" s="37">
        <v>2615</v>
      </c>
      <c r="H203" s="37">
        <v>2541</v>
      </c>
      <c r="I203" s="37">
        <v>0</v>
      </c>
      <c r="J203" s="37">
        <v>0</v>
      </c>
      <c r="K203" s="37">
        <v>1994</v>
      </c>
      <c r="L203" s="37">
        <v>0</v>
      </c>
      <c r="M203" s="37">
        <v>619</v>
      </c>
      <c r="N203" s="37">
        <v>2</v>
      </c>
      <c r="O203" s="37">
        <v>2615</v>
      </c>
      <c r="P203" s="37">
        <v>100</v>
      </c>
      <c r="Q203" s="37">
        <v>513</v>
      </c>
      <c r="R203" s="37">
        <v>19.694072657743785</v>
      </c>
      <c r="S203" s="37">
        <v>261</v>
      </c>
      <c r="T203" s="37">
        <v>106</v>
      </c>
      <c r="U203" s="37">
        <v>367</v>
      </c>
      <c r="V203" s="552"/>
      <c r="W203" s="552"/>
      <c r="X203" s="552"/>
      <c r="Y203" s="552"/>
    </row>
    <row r="204" spans="1:25" s="512" customFormat="1" ht="11.1" customHeight="1" x14ac:dyDescent="0.15">
      <c r="A204" s="556">
        <v>37712</v>
      </c>
      <c r="B204" s="26" t="s">
        <v>25</v>
      </c>
      <c r="C204" s="26" t="s">
        <v>684</v>
      </c>
      <c r="D204" s="552" t="s">
        <v>685</v>
      </c>
      <c r="E204" s="37">
        <v>17611</v>
      </c>
      <c r="F204" s="37">
        <v>17611</v>
      </c>
      <c r="G204" s="37">
        <v>3760</v>
      </c>
      <c r="H204" s="37">
        <v>3623</v>
      </c>
      <c r="I204" s="37">
        <v>0</v>
      </c>
      <c r="J204" s="37">
        <v>0</v>
      </c>
      <c r="K204" s="37">
        <v>2808</v>
      </c>
      <c r="L204" s="37">
        <v>0</v>
      </c>
      <c r="M204" s="37">
        <v>948</v>
      </c>
      <c r="N204" s="37">
        <v>4</v>
      </c>
      <c r="O204" s="37">
        <v>3760</v>
      </c>
      <c r="P204" s="37">
        <v>100</v>
      </c>
      <c r="Q204" s="37">
        <v>795</v>
      </c>
      <c r="R204" s="37">
        <v>21.25</v>
      </c>
      <c r="S204" s="37">
        <v>367</v>
      </c>
      <c r="T204" s="37">
        <v>153</v>
      </c>
      <c r="U204" s="37">
        <v>520</v>
      </c>
      <c r="V204" s="552"/>
      <c r="W204" s="552"/>
      <c r="X204" s="552"/>
      <c r="Y204" s="552"/>
    </row>
    <row r="205" spans="1:25" s="512" customFormat="1" ht="11.1" customHeight="1" x14ac:dyDescent="0.15">
      <c r="A205" s="556">
        <v>38078</v>
      </c>
      <c r="B205" s="26" t="s">
        <v>26</v>
      </c>
      <c r="C205" s="26" t="s">
        <v>671</v>
      </c>
      <c r="D205" s="552" t="s">
        <v>246</v>
      </c>
      <c r="E205" s="37">
        <v>40219</v>
      </c>
      <c r="F205" s="37">
        <v>40219</v>
      </c>
      <c r="G205" s="37">
        <v>13264</v>
      </c>
      <c r="H205" s="37">
        <v>12790</v>
      </c>
      <c r="I205" s="37">
        <v>0</v>
      </c>
      <c r="J205" s="37">
        <v>328</v>
      </c>
      <c r="K205" s="37">
        <v>10025</v>
      </c>
      <c r="L205" s="37">
        <v>0</v>
      </c>
      <c r="M205" s="37">
        <v>3226</v>
      </c>
      <c r="N205" s="37">
        <v>13</v>
      </c>
      <c r="O205" s="37">
        <v>13264</v>
      </c>
      <c r="P205" s="37">
        <v>100</v>
      </c>
      <c r="Q205" s="37">
        <v>2166</v>
      </c>
      <c r="R205" s="37">
        <v>18.44467333725721</v>
      </c>
      <c r="S205" s="37">
        <v>1276</v>
      </c>
      <c r="T205" s="37">
        <v>521</v>
      </c>
      <c r="U205" s="37">
        <v>1797</v>
      </c>
      <c r="V205" s="552"/>
      <c r="W205" s="552"/>
      <c r="X205" s="552"/>
      <c r="Y205" s="552"/>
    </row>
    <row r="206" spans="1:25" s="512" customFormat="1" ht="11.1" customHeight="1" x14ac:dyDescent="0.15">
      <c r="A206" s="556">
        <v>38078</v>
      </c>
      <c r="B206" s="26" t="s">
        <v>26</v>
      </c>
      <c r="C206" s="26" t="s">
        <v>672</v>
      </c>
      <c r="D206" s="552" t="s">
        <v>456</v>
      </c>
      <c r="E206" s="37">
        <v>33714</v>
      </c>
      <c r="F206" s="37">
        <v>33714</v>
      </c>
      <c r="G206" s="37">
        <v>9728</v>
      </c>
      <c r="H206" s="37">
        <v>9176</v>
      </c>
      <c r="I206" s="37">
        <v>0</v>
      </c>
      <c r="J206" s="37">
        <v>0</v>
      </c>
      <c r="K206" s="37">
        <v>7594</v>
      </c>
      <c r="L206" s="37">
        <v>0</v>
      </c>
      <c r="M206" s="37">
        <v>2125</v>
      </c>
      <c r="N206" s="37">
        <v>9</v>
      </c>
      <c r="O206" s="37">
        <v>9728</v>
      </c>
      <c r="P206" s="37">
        <v>100</v>
      </c>
      <c r="Q206" s="37">
        <v>1761</v>
      </c>
      <c r="R206" s="37">
        <v>18.194901315789476</v>
      </c>
      <c r="S206" s="37">
        <v>966</v>
      </c>
      <c r="T206" s="37">
        <v>364</v>
      </c>
      <c r="U206" s="37">
        <v>1330</v>
      </c>
      <c r="V206" s="552"/>
      <c r="W206" s="552"/>
      <c r="X206" s="552"/>
      <c r="Y206" s="552"/>
    </row>
    <row r="207" spans="1:25" s="512" customFormat="1" ht="11.1" customHeight="1" x14ac:dyDescent="0.15">
      <c r="A207" s="556">
        <v>38078</v>
      </c>
      <c r="B207" s="26" t="s">
        <v>26</v>
      </c>
      <c r="C207" s="26" t="s">
        <v>673</v>
      </c>
      <c r="D207" s="552" t="s">
        <v>674</v>
      </c>
      <c r="E207" s="37">
        <v>13886</v>
      </c>
      <c r="F207" s="37">
        <v>13886</v>
      </c>
      <c r="G207" s="37">
        <v>4895</v>
      </c>
      <c r="H207" s="37">
        <v>4755</v>
      </c>
      <c r="I207" s="37">
        <v>0</v>
      </c>
      <c r="J207" s="37">
        <v>0</v>
      </c>
      <c r="K207" s="37">
        <v>3671</v>
      </c>
      <c r="L207" s="37">
        <v>0</v>
      </c>
      <c r="M207" s="37">
        <v>1220</v>
      </c>
      <c r="N207" s="37">
        <v>4</v>
      </c>
      <c r="O207" s="37">
        <v>4895</v>
      </c>
      <c r="P207" s="37">
        <v>100</v>
      </c>
      <c r="Q207" s="37">
        <v>1066</v>
      </c>
      <c r="R207" s="37">
        <v>21.859039836567927</v>
      </c>
      <c r="S207" s="37">
        <v>467</v>
      </c>
      <c r="T207" s="37">
        <v>154</v>
      </c>
      <c r="U207" s="37">
        <v>621</v>
      </c>
      <c r="V207" s="552"/>
      <c r="W207" s="552"/>
      <c r="X207" s="552"/>
      <c r="Y207" s="552"/>
    </row>
    <row r="208" spans="1:25" s="512" customFormat="1" ht="11.1" customHeight="1" x14ac:dyDescent="0.15">
      <c r="A208" s="556">
        <v>38078</v>
      </c>
      <c r="B208" s="26" t="s">
        <v>26</v>
      </c>
      <c r="C208" s="26" t="s">
        <v>675</v>
      </c>
      <c r="D208" s="552" t="s">
        <v>676</v>
      </c>
      <c r="E208" s="37">
        <v>1961</v>
      </c>
      <c r="F208" s="37">
        <v>1961</v>
      </c>
      <c r="G208" s="37">
        <v>489</v>
      </c>
      <c r="H208" s="37">
        <v>468</v>
      </c>
      <c r="I208" s="37">
        <v>0</v>
      </c>
      <c r="J208" s="37">
        <v>0</v>
      </c>
      <c r="K208" s="37">
        <v>354</v>
      </c>
      <c r="L208" s="37">
        <v>0</v>
      </c>
      <c r="M208" s="37">
        <v>135</v>
      </c>
      <c r="N208" s="37">
        <v>0</v>
      </c>
      <c r="O208" s="37">
        <v>489</v>
      </c>
      <c r="P208" s="37">
        <v>100</v>
      </c>
      <c r="Q208" s="37">
        <v>119</v>
      </c>
      <c r="R208" s="37">
        <v>24.335378323108383</v>
      </c>
      <c r="S208" s="37">
        <v>45</v>
      </c>
      <c r="T208" s="37">
        <v>16</v>
      </c>
      <c r="U208" s="37">
        <v>61</v>
      </c>
      <c r="V208" s="552"/>
      <c r="W208" s="552"/>
      <c r="X208" s="552"/>
      <c r="Y208" s="552"/>
    </row>
    <row r="209" spans="1:25" s="512" customFormat="1" ht="11.1" customHeight="1" x14ac:dyDescent="0.15">
      <c r="A209" s="556">
        <v>38078</v>
      </c>
      <c r="B209" s="26" t="s">
        <v>26</v>
      </c>
      <c r="C209" s="26" t="s">
        <v>677</v>
      </c>
      <c r="D209" s="552" t="s">
        <v>678</v>
      </c>
      <c r="E209" s="37">
        <v>23259</v>
      </c>
      <c r="F209" s="37">
        <v>23259</v>
      </c>
      <c r="G209" s="37">
        <v>8406</v>
      </c>
      <c r="H209" s="37">
        <v>8077</v>
      </c>
      <c r="I209" s="37">
        <v>0</v>
      </c>
      <c r="J209" s="37">
        <v>475</v>
      </c>
      <c r="K209" s="37">
        <v>6867</v>
      </c>
      <c r="L209" s="37">
        <v>0</v>
      </c>
      <c r="M209" s="37">
        <v>1532</v>
      </c>
      <c r="N209" s="37">
        <v>7</v>
      </c>
      <c r="O209" s="37">
        <v>8406</v>
      </c>
      <c r="P209" s="37">
        <v>100</v>
      </c>
      <c r="Q209" s="37">
        <v>1244</v>
      </c>
      <c r="R209" s="37">
        <v>19.434748339151</v>
      </c>
      <c r="S209" s="37">
        <v>617</v>
      </c>
      <c r="T209" s="37">
        <v>288</v>
      </c>
      <c r="U209" s="37">
        <v>905</v>
      </c>
      <c r="V209" s="552"/>
      <c r="W209" s="552"/>
      <c r="X209" s="552"/>
      <c r="Y209" s="552"/>
    </row>
    <row r="210" spans="1:25" s="512" customFormat="1" ht="11.1" customHeight="1" x14ac:dyDescent="0.15">
      <c r="A210" s="556">
        <v>38078</v>
      </c>
      <c r="B210" s="26" t="s">
        <v>26</v>
      </c>
      <c r="C210" s="26" t="s">
        <v>679</v>
      </c>
      <c r="D210" s="552" t="s">
        <v>680</v>
      </c>
      <c r="E210" s="37">
        <v>13031</v>
      </c>
      <c r="F210" s="37">
        <v>13031</v>
      </c>
      <c r="G210" s="37">
        <v>4134</v>
      </c>
      <c r="H210" s="37">
        <v>3996</v>
      </c>
      <c r="I210" s="37">
        <v>0</v>
      </c>
      <c r="J210" s="37">
        <v>0</v>
      </c>
      <c r="K210" s="37">
        <v>3215</v>
      </c>
      <c r="L210" s="37">
        <v>0</v>
      </c>
      <c r="M210" s="37">
        <v>915</v>
      </c>
      <c r="N210" s="37">
        <v>4</v>
      </c>
      <c r="O210" s="37">
        <v>4134</v>
      </c>
      <c r="P210" s="37">
        <v>100</v>
      </c>
      <c r="Q210" s="37">
        <v>755</v>
      </c>
      <c r="R210" s="37">
        <v>18.359941944847606</v>
      </c>
      <c r="S210" s="37">
        <v>409</v>
      </c>
      <c r="T210" s="37">
        <v>160</v>
      </c>
      <c r="U210" s="37">
        <v>569</v>
      </c>
      <c r="V210" s="552"/>
      <c r="W210" s="552"/>
      <c r="X210" s="552"/>
      <c r="Y210" s="552"/>
    </row>
    <row r="211" spans="1:25" s="512" customFormat="1" ht="11.1" customHeight="1" x14ac:dyDescent="0.15">
      <c r="A211" s="556">
        <v>38078</v>
      </c>
      <c r="B211" s="26" t="s">
        <v>26</v>
      </c>
      <c r="C211" s="26" t="s">
        <v>681</v>
      </c>
      <c r="D211" s="552" t="s">
        <v>682</v>
      </c>
      <c r="E211" s="37">
        <v>39569</v>
      </c>
      <c r="F211" s="37">
        <v>39569</v>
      </c>
      <c r="G211" s="37">
        <v>14143</v>
      </c>
      <c r="H211" s="37">
        <v>12710</v>
      </c>
      <c r="I211" s="37">
        <v>102</v>
      </c>
      <c r="J211" s="37">
        <v>726</v>
      </c>
      <c r="K211" s="37">
        <v>11700</v>
      </c>
      <c r="L211" s="37">
        <v>0</v>
      </c>
      <c r="M211" s="37">
        <v>2329</v>
      </c>
      <c r="N211" s="37">
        <v>12</v>
      </c>
      <c r="O211" s="37">
        <v>14041</v>
      </c>
      <c r="P211" s="37">
        <v>100</v>
      </c>
      <c r="Q211" s="37">
        <v>1844</v>
      </c>
      <c r="R211" s="37">
        <v>17.484932620031152</v>
      </c>
      <c r="S211" s="37">
        <v>1051</v>
      </c>
      <c r="T211" s="37">
        <v>485</v>
      </c>
      <c r="U211" s="37">
        <v>1536</v>
      </c>
      <c r="V211" s="552"/>
      <c r="W211" s="552"/>
      <c r="X211" s="552"/>
      <c r="Y211" s="552"/>
    </row>
    <row r="212" spans="1:25" s="512" customFormat="1" ht="11.1" customHeight="1" x14ac:dyDescent="0.15">
      <c r="A212" s="556">
        <v>38078</v>
      </c>
      <c r="B212" s="26" t="s">
        <v>26</v>
      </c>
      <c r="C212" s="26" t="s">
        <v>683</v>
      </c>
      <c r="D212" s="552" t="s">
        <v>577</v>
      </c>
      <c r="E212" s="37">
        <v>10866</v>
      </c>
      <c r="F212" s="37">
        <v>10866</v>
      </c>
      <c r="G212" s="37">
        <v>2733</v>
      </c>
      <c r="H212" s="37">
        <v>2656</v>
      </c>
      <c r="I212" s="37">
        <v>0</v>
      </c>
      <c r="J212" s="37">
        <v>0</v>
      </c>
      <c r="K212" s="37">
        <v>2096</v>
      </c>
      <c r="L212" s="37">
        <v>0</v>
      </c>
      <c r="M212" s="37">
        <v>635</v>
      </c>
      <c r="N212" s="37">
        <v>2</v>
      </c>
      <c r="O212" s="37">
        <v>2733</v>
      </c>
      <c r="P212" s="37">
        <v>100</v>
      </c>
      <c r="Q212" s="37">
        <v>543</v>
      </c>
      <c r="R212" s="37">
        <v>19.941456275155506</v>
      </c>
      <c r="S212" s="37">
        <v>267</v>
      </c>
      <c r="T212" s="37">
        <v>92</v>
      </c>
      <c r="U212" s="37">
        <v>359</v>
      </c>
      <c r="V212" s="552"/>
      <c r="W212" s="552"/>
      <c r="X212" s="552"/>
      <c r="Y212" s="552"/>
    </row>
    <row r="213" spans="1:25" s="512" customFormat="1" ht="11.1" customHeight="1" x14ac:dyDescent="0.15">
      <c r="A213" s="556">
        <v>38078</v>
      </c>
      <c r="B213" s="26" t="s">
        <v>26</v>
      </c>
      <c r="C213" s="26" t="s">
        <v>684</v>
      </c>
      <c r="D213" s="552" t="s">
        <v>685</v>
      </c>
      <c r="E213" s="37">
        <v>17470</v>
      </c>
      <c r="F213" s="37">
        <v>17470</v>
      </c>
      <c r="G213" s="37">
        <v>3929</v>
      </c>
      <c r="H213" s="37">
        <v>3796</v>
      </c>
      <c r="I213" s="37">
        <v>0</v>
      </c>
      <c r="J213" s="37">
        <v>0</v>
      </c>
      <c r="K213" s="37">
        <v>2978</v>
      </c>
      <c r="L213" s="37">
        <v>0</v>
      </c>
      <c r="M213" s="37">
        <v>947</v>
      </c>
      <c r="N213" s="37">
        <v>4</v>
      </c>
      <c r="O213" s="37">
        <v>3929</v>
      </c>
      <c r="P213" s="37">
        <v>100</v>
      </c>
      <c r="Q213" s="37">
        <v>810</v>
      </c>
      <c r="R213" s="37">
        <v>20.717739882921862</v>
      </c>
      <c r="S213" s="37">
        <v>379</v>
      </c>
      <c r="T213" s="37">
        <v>137</v>
      </c>
      <c r="U213" s="37">
        <v>516</v>
      </c>
      <c r="V213" s="552"/>
      <c r="W213" s="552"/>
      <c r="X213" s="552"/>
      <c r="Y213" s="552"/>
    </row>
    <row r="214" spans="1:25" s="512" customFormat="1" ht="11.1" customHeight="1" x14ac:dyDescent="0.15">
      <c r="A214" s="556">
        <v>38443</v>
      </c>
      <c r="B214" s="26" t="s">
        <v>27</v>
      </c>
      <c r="C214" s="26" t="s">
        <v>671</v>
      </c>
      <c r="D214" s="552" t="s">
        <v>246</v>
      </c>
      <c r="E214" s="37">
        <v>39923</v>
      </c>
      <c r="F214" s="37">
        <v>39923</v>
      </c>
      <c r="G214" s="37">
        <v>14012</v>
      </c>
      <c r="H214" s="37">
        <v>13182</v>
      </c>
      <c r="I214" s="37">
        <v>0</v>
      </c>
      <c r="J214" s="37">
        <v>300</v>
      </c>
      <c r="K214" s="37">
        <v>10542</v>
      </c>
      <c r="L214" s="37">
        <v>0</v>
      </c>
      <c r="M214" s="37">
        <v>2687</v>
      </c>
      <c r="N214" s="37">
        <v>14</v>
      </c>
      <c r="O214" s="37">
        <v>13243</v>
      </c>
      <c r="P214" s="37">
        <v>100</v>
      </c>
      <c r="Q214" s="37">
        <v>2145</v>
      </c>
      <c r="R214" s="37">
        <v>18.156981466440229</v>
      </c>
      <c r="S214" s="37">
        <v>1323</v>
      </c>
      <c r="T214" s="37">
        <v>542</v>
      </c>
      <c r="U214" s="37">
        <v>1865</v>
      </c>
      <c r="V214" s="552"/>
      <c r="W214" s="552"/>
      <c r="X214" s="552"/>
      <c r="Y214" s="552"/>
    </row>
    <row r="215" spans="1:25" s="512" customFormat="1" ht="11.1" customHeight="1" x14ac:dyDescent="0.15">
      <c r="A215" s="556">
        <v>38443</v>
      </c>
      <c r="B215" s="26" t="s">
        <v>27</v>
      </c>
      <c r="C215" s="26" t="s">
        <v>672</v>
      </c>
      <c r="D215" s="552" t="s">
        <v>456</v>
      </c>
      <c r="E215" s="37">
        <v>33389</v>
      </c>
      <c r="F215" s="37">
        <v>33389</v>
      </c>
      <c r="G215" s="37">
        <v>10153</v>
      </c>
      <c r="H215" s="37">
        <v>9619</v>
      </c>
      <c r="I215" s="37">
        <v>0</v>
      </c>
      <c r="J215" s="37">
        <v>0</v>
      </c>
      <c r="K215" s="37">
        <v>7959</v>
      </c>
      <c r="L215" s="37">
        <v>0</v>
      </c>
      <c r="M215" s="37">
        <v>2185</v>
      </c>
      <c r="N215" s="37">
        <v>9</v>
      </c>
      <c r="O215" s="37">
        <v>10153</v>
      </c>
      <c r="P215" s="37">
        <v>100</v>
      </c>
      <c r="Q215" s="37">
        <v>1826</v>
      </c>
      <c r="R215" s="37">
        <v>18.073475819954695</v>
      </c>
      <c r="S215" s="37">
        <v>999</v>
      </c>
      <c r="T215" s="37">
        <v>359</v>
      </c>
      <c r="U215" s="37">
        <v>1358</v>
      </c>
      <c r="V215" s="552"/>
      <c r="W215" s="552"/>
      <c r="X215" s="552"/>
      <c r="Y215" s="552"/>
    </row>
    <row r="216" spans="1:25" s="512" customFormat="1" ht="11.1" customHeight="1" x14ac:dyDescent="0.15">
      <c r="A216" s="556">
        <v>38443</v>
      </c>
      <c r="B216" s="26" t="s">
        <v>27</v>
      </c>
      <c r="C216" s="26" t="s">
        <v>673</v>
      </c>
      <c r="D216" s="552" t="s">
        <v>674</v>
      </c>
      <c r="E216" s="37">
        <v>13706</v>
      </c>
      <c r="F216" s="37">
        <v>13706</v>
      </c>
      <c r="G216" s="37">
        <v>4947</v>
      </c>
      <c r="H216" s="37">
        <v>4262</v>
      </c>
      <c r="I216" s="37">
        <v>0</v>
      </c>
      <c r="J216" s="37">
        <v>573</v>
      </c>
      <c r="K216" s="37">
        <v>3737</v>
      </c>
      <c r="L216" s="37">
        <v>0</v>
      </c>
      <c r="M216" s="37">
        <v>633</v>
      </c>
      <c r="N216" s="37">
        <v>4</v>
      </c>
      <c r="O216" s="37">
        <v>4374</v>
      </c>
      <c r="P216" s="37">
        <v>100</v>
      </c>
      <c r="Q216" s="37">
        <v>479</v>
      </c>
      <c r="R216" s="37">
        <v>21.346270466949665</v>
      </c>
      <c r="S216" s="37">
        <v>469</v>
      </c>
      <c r="T216" s="37">
        <v>154</v>
      </c>
      <c r="U216" s="37">
        <v>623</v>
      </c>
      <c r="V216" s="552"/>
      <c r="W216" s="552"/>
      <c r="X216" s="552"/>
      <c r="Y216" s="552"/>
    </row>
    <row r="217" spans="1:25" s="512" customFormat="1" ht="11.1" customHeight="1" x14ac:dyDescent="0.15">
      <c r="A217" s="556">
        <v>38443</v>
      </c>
      <c r="B217" s="26" t="s">
        <v>27</v>
      </c>
      <c r="C217" s="26" t="s">
        <v>675</v>
      </c>
      <c r="D217" s="552" t="s">
        <v>676</v>
      </c>
      <c r="E217" s="37">
        <v>1946</v>
      </c>
      <c r="F217" s="37">
        <v>1946</v>
      </c>
      <c r="G217" s="37">
        <v>510</v>
      </c>
      <c r="H217" s="37">
        <v>494</v>
      </c>
      <c r="I217" s="37">
        <v>0</v>
      </c>
      <c r="J217" s="37">
        <v>0</v>
      </c>
      <c r="K217" s="37">
        <v>386</v>
      </c>
      <c r="L217" s="37">
        <v>0</v>
      </c>
      <c r="M217" s="37">
        <v>65</v>
      </c>
      <c r="N217" s="37">
        <v>59</v>
      </c>
      <c r="O217" s="37">
        <v>510</v>
      </c>
      <c r="P217" s="37">
        <v>100</v>
      </c>
      <c r="Q217" s="37">
        <v>51</v>
      </c>
      <c r="R217" s="37">
        <v>21.568627450980394</v>
      </c>
      <c r="S217" s="37">
        <v>49</v>
      </c>
      <c r="T217" s="37">
        <v>14</v>
      </c>
      <c r="U217" s="37">
        <v>63</v>
      </c>
      <c r="V217" s="552"/>
      <c r="W217" s="552"/>
      <c r="X217" s="552"/>
      <c r="Y217" s="552"/>
    </row>
    <row r="218" spans="1:25" s="512" customFormat="1" ht="11.1" customHeight="1" x14ac:dyDescent="0.15">
      <c r="A218" s="556">
        <v>38443</v>
      </c>
      <c r="B218" s="26" t="s">
        <v>27</v>
      </c>
      <c r="C218" s="26" t="s">
        <v>677</v>
      </c>
      <c r="D218" s="552" t="s">
        <v>678</v>
      </c>
      <c r="E218" s="37">
        <v>23331</v>
      </c>
      <c r="F218" s="37">
        <v>23331</v>
      </c>
      <c r="G218" s="37">
        <v>8987</v>
      </c>
      <c r="H218" s="37">
        <v>8318</v>
      </c>
      <c r="I218" s="37">
        <v>0</v>
      </c>
      <c r="J218" s="37">
        <v>373</v>
      </c>
      <c r="K218" s="37">
        <v>7096</v>
      </c>
      <c r="L218" s="37">
        <v>0</v>
      </c>
      <c r="M218" s="37">
        <v>1511</v>
      </c>
      <c r="N218" s="37">
        <v>7</v>
      </c>
      <c r="O218" s="37">
        <v>8614</v>
      </c>
      <c r="P218" s="37">
        <v>100</v>
      </c>
      <c r="Q218" s="37">
        <v>537</v>
      </c>
      <c r="R218" s="37">
        <v>10.203627461889395</v>
      </c>
      <c r="S218" s="37">
        <v>648</v>
      </c>
      <c r="T218" s="37">
        <v>265</v>
      </c>
      <c r="U218" s="37">
        <v>913</v>
      </c>
      <c r="V218" s="552"/>
      <c r="W218" s="552"/>
      <c r="X218" s="552"/>
      <c r="Y218" s="552"/>
    </row>
    <row r="219" spans="1:25" s="512" customFormat="1" ht="11.1" customHeight="1" x14ac:dyDescent="0.15">
      <c r="A219" s="556">
        <v>38443</v>
      </c>
      <c r="B219" s="26" t="s">
        <v>27</v>
      </c>
      <c r="C219" s="26" t="s">
        <v>679</v>
      </c>
      <c r="D219" s="552" t="s">
        <v>680</v>
      </c>
      <c r="E219" s="37">
        <v>12940</v>
      </c>
      <c r="F219" s="37">
        <v>12940</v>
      </c>
      <c r="G219" s="37">
        <v>4166</v>
      </c>
      <c r="H219" s="37">
        <v>4031</v>
      </c>
      <c r="I219" s="37">
        <v>0</v>
      </c>
      <c r="J219" s="37">
        <v>0</v>
      </c>
      <c r="K219" s="37">
        <v>3268</v>
      </c>
      <c r="L219" s="37">
        <v>0</v>
      </c>
      <c r="M219" s="37">
        <v>894</v>
      </c>
      <c r="N219" s="37">
        <v>4</v>
      </c>
      <c r="O219" s="37">
        <v>4166</v>
      </c>
      <c r="P219" s="37">
        <v>100</v>
      </c>
      <c r="Q219" s="37">
        <v>731</v>
      </c>
      <c r="R219" s="37">
        <v>17.642822851656266</v>
      </c>
      <c r="S219" s="37">
        <v>410</v>
      </c>
      <c r="T219" s="37">
        <v>163</v>
      </c>
      <c r="U219" s="37">
        <v>573</v>
      </c>
      <c r="V219" s="552"/>
      <c r="W219" s="552"/>
      <c r="X219" s="552"/>
      <c r="Y219" s="552"/>
    </row>
    <row r="220" spans="1:25" s="512" customFormat="1" ht="11.1" customHeight="1" x14ac:dyDescent="0.15">
      <c r="A220" s="556">
        <v>38443</v>
      </c>
      <c r="B220" s="26" t="s">
        <v>27</v>
      </c>
      <c r="C220" s="26" t="s">
        <v>681</v>
      </c>
      <c r="D220" s="552" t="s">
        <v>682</v>
      </c>
      <c r="E220" s="37">
        <v>39416</v>
      </c>
      <c r="F220" s="37">
        <v>39416</v>
      </c>
      <c r="G220" s="37">
        <v>15104</v>
      </c>
      <c r="H220" s="37">
        <v>13147</v>
      </c>
      <c r="I220" s="37">
        <v>0</v>
      </c>
      <c r="J220" s="37">
        <v>697</v>
      </c>
      <c r="K220" s="37">
        <v>11940</v>
      </c>
      <c r="L220" s="37">
        <v>0</v>
      </c>
      <c r="M220" s="37">
        <v>2454</v>
      </c>
      <c r="N220" s="37">
        <v>13</v>
      </c>
      <c r="O220" s="37">
        <v>14407</v>
      </c>
      <c r="P220" s="37">
        <v>100</v>
      </c>
      <c r="Q220" s="37">
        <v>1960</v>
      </c>
      <c r="R220" s="37">
        <v>17.677436440677965</v>
      </c>
      <c r="S220" s="37">
        <v>1090</v>
      </c>
      <c r="T220" s="37">
        <v>494</v>
      </c>
      <c r="U220" s="37">
        <v>1584</v>
      </c>
      <c r="V220" s="552"/>
      <c r="W220" s="552"/>
      <c r="X220" s="552"/>
      <c r="Y220" s="552"/>
    </row>
    <row r="221" spans="1:25" s="512" customFormat="1" ht="11.1" customHeight="1" x14ac:dyDescent="0.15">
      <c r="A221" s="556">
        <v>38443</v>
      </c>
      <c r="B221" s="26" t="s">
        <v>27</v>
      </c>
      <c r="C221" s="26" t="s">
        <v>683</v>
      </c>
      <c r="D221" s="552" t="s">
        <v>577</v>
      </c>
      <c r="E221" s="37">
        <v>10816</v>
      </c>
      <c r="F221" s="37">
        <v>10816</v>
      </c>
      <c r="G221" s="37">
        <v>2860</v>
      </c>
      <c r="H221" s="37">
        <v>2801</v>
      </c>
      <c r="I221" s="37">
        <v>0</v>
      </c>
      <c r="J221" s="37">
        <v>0</v>
      </c>
      <c r="K221" s="37">
        <v>2255</v>
      </c>
      <c r="L221" s="37">
        <v>0</v>
      </c>
      <c r="M221" s="37">
        <v>603</v>
      </c>
      <c r="N221" s="37">
        <v>2</v>
      </c>
      <c r="O221" s="37">
        <v>2860</v>
      </c>
      <c r="P221" s="37">
        <v>100</v>
      </c>
      <c r="Q221" s="37">
        <v>513</v>
      </c>
      <c r="R221" s="37">
        <v>18.006993006993007</v>
      </c>
      <c r="S221" s="37">
        <v>283</v>
      </c>
      <c r="T221" s="37">
        <v>90</v>
      </c>
      <c r="U221" s="37">
        <v>373</v>
      </c>
      <c r="V221" s="552"/>
      <c r="W221" s="552"/>
      <c r="X221" s="552"/>
      <c r="Y221" s="552"/>
    </row>
    <row r="222" spans="1:25" s="512" customFormat="1" ht="11.1" customHeight="1" x14ac:dyDescent="0.15">
      <c r="A222" s="556">
        <v>38443</v>
      </c>
      <c r="B222" s="26" t="s">
        <v>27</v>
      </c>
      <c r="C222" s="26" t="s">
        <v>684</v>
      </c>
      <c r="D222" s="552" t="s">
        <v>685</v>
      </c>
      <c r="E222" s="37">
        <v>17232</v>
      </c>
      <c r="F222" s="37">
        <v>17232</v>
      </c>
      <c r="G222" s="37">
        <v>4133</v>
      </c>
      <c r="H222" s="37">
        <v>4004</v>
      </c>
      <c r="I222" s="37">
        <v>0</v>
      </c>
      <c r="J222" s="37">
        <v>0</v>
      </c>
      <c r="K222" s="37">
        <v>3090</v>
      </c>
      <c r="L222" s="37">
        <v>0</v>
      </c>
      <c r="M222" s="37">
        <v>1039</v>
      </c>
      <c r="N222" s="37">
        <v>4</v>
      </c>
      <c r="O222" s="37">
        <v>4133</v>
      </c>
      <c r="P222" s="37">
        <v>100</v>
      </c>
      <c r="Q222" s="37">
        <v>890</v>
      </c>
      <c r="R222" s="37">
        <v>21.63077667553835</v>
      </c>
      <c r="S222" s="37">
        <v>388</v>
      </c>
      <c r="T222" s="37">
        <v>149</v>
      </c>
      <c r="U222" s="37">
        <v>537</v>
      </c>
      <c r="V222" s="552"/>
      <c r="W222" s="552"/>
      <c r="X222" s="552"/>
      <c r="Y222" s="552"/>
    </row>
    <row r="223" spans="1:25" s="512" customFormat="1" ht="11.1" customHeight="1" x14ac:dyDescent="0.15">
      <c r="A223" s="556">
        <v>38808</v>
      </c>
      <c r="B223" s="26" t="s">
        <v>28</v>
      </c>
      <c r="C223" s="26" t="s">
        <v>671</v>
      </c>
      <c r="D223" s="552" t="s">
        <v>246</v>
      </c>
      <c r="E223" s="37">
        <v>39539</v>
      </c>
      <c r="F223" s="37">
        <v>39539</v>
      </c>
      <c r="G223" s="37">
        <v>13966</v>
      </c>
      <c r="H223" s="37">
        <v>13088</v>
      </c>
      <c r="I223" s="37">
        <v>0</v>
      </c>
      <c r="J223" s="37">
        <v>348</v>
      </c>
      <c r="K223" s="37">
        <v>10404</v>
      </c>
      <c r="L223" s="37">
        <v>0</v>
      </c>
      <c r="M223" s="37">
        <v>3203</v>
      </c>
      <c r="N223" s="37">
        <v>11</v>
      </c>
      <c r="O223" s="37">
        <v>13618</v>
      </c>
      <c r="P223" s="37">
        <v>100</v>
      </c>
      <c r="Q223" s="37">
        <v>2237</v>
      </c>
      <c r="R223" s="37">
        <v>18.587999427180296</v>
      </c>
      <c r="S223" s="37">
        <v>1331</v>
      </c>
      <c r="T223" s="37">
        <v>539</v>
      </c>
      <c r="U223" s="37">
        <v>1870</v>
      </c>
      <c r="V223" s="552"/>
      <c r="W223" s="552"/>
      <c r="X223" s="552"/>
      <c r="Y223" s="552"/>
    </row>
    <row r="224" spans="1:25" s="512" customFormat="1" ht="11.1" customHeight="1" x14ac:dyDescent="0.15">
      <c r="A224" s="556">
        <v>38808</v>
      </c>
      <c r="B224" s="26" t="s">
        <v>28</v>
      </c>
      <c r="C224" s="26" t="s">
        <v>672</v>
      </c>
      <c r="D224" s="552" t="s">
        <v>456</v>
      </c>
      <c r="E224" s="37">
        <v>33170</v>
      </c>
      <c r="F224" s="37">
        <v>33170</v>
      </c>
      <c r="G224" s="37">
        <v>10371</v>
      </c>
      <c r="H224" s="37">
        <v>9870</v>
      </c>
      <c r="I224" s="37">
        <v>0</v>
      </c>
      <c r="J224" s="37">
        <v>0</v>
      </c>
      <c r="K224" s="37">
        <v>8011</v>
      </c>
      <c r="L224" s="37">
        <v>0</v>
      </c>
      <c r="M224" s="37">
        <v>2350</v>
      </c>
      <c r="N224" s="37">
        <v>10</v>
      </c>
      <c r="O224" s="37">
        <v>10371</v>
      </c>
      <c r="P224" s="37">
        <v>100</v>
      </c>
      <c r="Q224" s="37">
        <v>1947</v>
      </c>
      <c r="R224" s="37">
        <v>18.869925754507761</v>
      </c>
      <c r="S224" s="37">
        <v>1025</v>
      </c>
      <c r="T224" s="37">
        <v>403</v>
      </c>
      <c r="U224" s="37">
        <v>1428</v>
      </c>
      <c r="V224" s="552"/>
      <c r="W224" s="552"/>
      <c r="X224" s="552"/>
      <c r="Y224" s="552"/>
    </row>
    <row r="225" spans="1:25" s="512" customFormat="1" ht="11.1" customHeight="1" x14ac:dyDescent="0.15">
      <c r="A225" s="556">
        <v>38808</v>
      </c>
      <c r="B225" s="26" t="s">
        <v>28</v>
      </c>
      <c r="C225" s="26" t="s">
        <v>673</v>
      </c>
      <c r="D225" s="552" t="s">
        <v>674</v>
      </c>
      <c r="E225" s="37">
        <v>13643</v>
      </c>
      <c r="F225" s="37">
        <v>13643</v>
      </c>
      <c r="G225" s="37">
        <v>5201</v>
      </c>
      <c r="H225" s="37">
        <v>4528</v>
      </c>
      <c r="I225" s="37">
        <v>0</v>
      </c>
      <c r="J225" s="37">
        <v>561</v>
      </c>
      <c r="K225" s="37">
        <v>3664</v>
      </c>
      <c r="L225" s="37">
        <v>0</v>
      </c>
      <c r="M225" s="37">
        <v>625</v>
      </c>
      <c r="N225" s="37">
        <v>351</v>
      </c>
      <c r="O225" s="37">
        <v>4640</v>
      </c>
      <c r="P225" s="37">
        <v>100</v>
      </c>
      <c r="Q225" s="37">
        <v>461</v>
      </c>
      <c r="R225" s="37">
        <v>26.398769467410116</v>
      </c>
      <c r="S225" s="37">
        <v>469</v>
      </c>
      <c r="T225" s="37">
        <v>164</v>
      </c>
      <c r="U225" s="37">
        <v>633</v>
      </c>
      <c r="V225" s="552"/>
      <c r="W225" s="552"/>
      <c r="X225" s="552"/>
      <c r="Y225" s="552"/>
    </row>
    <row r="226" spans="1:25" s="512" customFormat="1" ht="11.1" customHeight="1" x14ac:dyDescent="0.15">
      <c r="A226" s="556">
        <v>38808</v>
      </c>
      <c r="B226" s="26" t="s">
        <v>28</v>
      </c>
      <c r="C226" s="26" t="s">
        <v>675</v>
      </c>
      <c r="D226" s="552" t="s">
        <v>676</v>
      </c>
      <c r="E226" s="37">
        <v>1915</v>
      </c>
      <c r="F226" s="37">
        <v>1915</v>
      </c>
      <c r="G226" s="37">
        <v>453</v>
      </c>
      <c r="H226" s="37">
        <v>437</v>
      </c>
      <c r="I226" s="37">
        <v>0</v>
      </c>
      <c r="J226" s="37">
        <v>0</v>
      </c>
      <c r="K226" s="37">
        <v>388</v>
      </c>
      <c r="L226" s="37">
        <v>0</v>
      </c>
      <c r="M226" s="37">
        <v>65</v>
      </c>
      <c r="N226" s="37">
        <v>62</v>
      </c>
      <c r="O226" s="37">
        <v>515</v>
      </c>
      <c r="P226" s="37">
        <v>100</v>
      </c>
      <c r="Q226" s="37">
        <v>46</v>
      </c>
      <c r="R226" s="37">
        <v>20.970873786407768</v>
      </c>
      <c r="S226" s="37">
        <v>49</v>
      </c>
      <c r="T226" s="37">
        <v>19</v>
      </c>
      <c r="U226" s="37">
        <v>68</v>
      </c>
      <c r="V226" s="552"/>
      <c r="W226" s="552"/>
      <c r="X226" s="552"/>
      <c r="Y226" s="552"/>
    </row>
    <row r="227" spans="1:25" s="512" customFormat="1" ht="11.1" customHeight="1" x14ac:dyDescent="0.15">
      <c r="A227" s="556">
        <v>38808</v>
      </c>
      <c r="B227" s="26" t="s">
        <v>28</v>
      </c>
      <c r="C227" s="26" t="s">
        <v>677</v>
      </c>
      <c r="D227" s="552" t="s">
        <v>678</v>
      </c>
      <c r="E227" s="37">
        <v>23454</v>
      </c>
      <c r="F227" s="37">
        <v>23454</v>
      </c>
      <c r="G227" s="37">
        <v>8311</v>
      </c>
      <c r="H227" s="37">
        <v>7640</v>
      </c>
      <c r="I227" s="37">
        <v>0</v>
      </c>
      <c r="J227" s="37">
        <v>373</v>
      </c>
      <c r="K227" s="37">
        <v>7046</v>
      </c>
      <c r="L227" s="37">
        <v>0</v>
      </c>
      <c r="M227" s="37">
        <v>887</v>
      </c>
      <c r="N227" s="37">
        <v>5</v>
      </c>
      <c r="O227" s="37">
        <v>7938</v>
      </c>
      <c r="P227" s="37">
        <v>100</v>
      </c>
      <c r="Q227" s="37">
        <v>589</v>
      </c>
      <c r="R227" s="37">
        <v>11.635182288533269</v>
      </c>
      <c r="S227" s="37">
        <v>658</v>
      </c>
      <c r="T227" s="37">
        <v>298</v>
      </c>
      <c r="U227" s="37">
        <v>956</v>
      </c>
      <c r="V227" s="552"/>
      <c r="W227" s="552"/>
      <c r="X227" s="552"/>
      <c r="Y227" s="552"/>
    </row>
    <row r="228" spans="1:25" s="512" customFormat="1" ht="11.1" customHeight="1" x14ac:dyDescent="0.15">
      <c r="A228" s="556">
        <v>38808</v>
      </c>
      <c r="B228" s="26" t="s">
        <v>28</v>
      </c>
      <c r="C228" s="26" t="s">
        <v>679</v>
      </c>
      <c r="D228" s="552" t="s">
        <v>680</v>
      </c>
      <c r="E228" s="37">
        <v>12797</v>
      </c>
      <c r="F228" s="37">
        <v>12797</v>
      </c>
      <c r="G228" s="37">
        <v>4185</v>
      </c>
      <c r="H228" s="37">
        <v>4059</v>
      </c>
      <c r="I228" s="37">
        <v>0</v>
      </c>
      <c r="J228" s="37">
        <v>0</v>
      </c>
      <c r="K228" s="37">
        <v>3287</v>
      </c>
      <c r="L228" s="37">
        <v>0</v>
      </c>
      <c r="M228" s="37">
        <v>894</v>
      </c>
      <c r="N228" s="37">
        <v>4</v>
      </c>
      <c r="O228" s="37">
        <v>4185</v>
      </c>
      <c r="P228" s="37">
        <v>100</v>
      </c>
      <c r="Q228" s="37">
        <v>721</v>
      </c>
      <c r="R228" s="37">
        <v>17.323775388291519</v>
      </c>
      <c r="S228" s="37">
        <v>420</v>
      </c>
      <c r="T228" s="37">
        <v>173</v>
      </c>
      <c r="U228" s="37">
        <v>593</v>
      </c>
      <c r="V228" s="552"/>
      <c r="W228" s="552"/>
      <c r="X228" s="552"/>
      <c r="Y228" s="552"/>
    </row>
    <row r="229" spans="1:25" s="512" customFormat="1" ht="11.1" customHeight="1" x14ac:dyDescent="0.15">
      <c r="A229" s="556">
        <v>38808</v>
      </c>
      <c r="B229" s="26" t="s">
        <v>28</v>
      </c>
      <c r="C229" s="26" t="s">
        <v>681</v>
      </c>
      <c r="D229" s="552" t="s">
        <v>682</v>
      </c>
      <c r="E229" s="37">
        <v>39381</v>
      </c>
      <c r="F229" s="37">
        <v>39381</v>
      </c>
      <c r="G229" s="37">
        <v>15086</v>
      </c>
      <c r="H229" s="37">
        <v>13135</v>
      </c>
      <c r="I229" s="37">
        <v>0</v>
      </c>
      <c r="J229" s="37">
        <v>691</v>
      </c>
      <c r="K229" s="37">
        <v>11791</v>
      </c>
      <c r="L229" s="37">
        <v>0</v>
      </c>
      <c r="M229" s="37">
        <v>2593</v>
      </c>
      <c r="N229" s="37">
        <v>11</v>
      </c>
      <c r="O229" s="37">
        <v>14395</v>
      </c>
      <c r="P229" s="37">
        <v>100</v>
      </c>
      <c r="Q229" s="37">
        <v>2081</v>
      </c>
      <c r="R229" s="37">
        <v>18.447567280922712</v>
      </c>
      <c r="S229" s="37">
        <v>1101</v>
      </c>
      <c r="T229" s="37">
        <v>512</v>
      </c>
      <c r="U229" s="37">
        <v>1613</v>
      </c>
      <c r="V229" s="552"/>
      <c r="W229" s="552"/>
      <c r="X229" s="552"/>
      <c r="Y229" s="552"/>
    </row>
    <row r="230" spans="1:25" s="512" customFormat="1" ht="11.1" customHeight="1" x14ac:dyDescent="0.15">
      <c r="A230" s="556">
        <v>38808</v>
      </c>
      <c r="B230" s="26" t="s">
        <v>28</v>
      </c>
      <c r="C230" s="26" t="s">
        <v>683</v>
      </c>
      <c r="D230" s="552" t="s">
        <v>577</v>
      </c>
      <c r="E230" s="37">
        <v>10615</v>
      </c>
      <c r="F230" s="37">
        <v>10615</v>
      </c>
      <c r="G230" s="37">
        <v>2883</v>
      </c>
      <c r="H230" s="37">
        <v>2814</v>
      </c>
      <c r="I230" s="37">
        <v>0</v>
      </c>
      <c r="J230" s="37">
        <v>0</v>
      </c>
      <c r="K230" s="37">
        <v>2307</v>
      </c>
      <c r="L230" s="37">
        <v>0</v>
      </c>
      <c r="M230" s="37">
        <v>574</v>
      </c>
      <c r="N230" s="37">
        <v>2</v>
      </c>
      <c r="O230" s="37">
        <v>2883</v>
      </c>
      <c r="P230" s="37">
        <v>100</v>
      </c>
      <c r="Q230" s="37">
        <v>477</v>
      </c>
      <c r="R230" s="37">
        <v>16.614637530350329</v>
      </c>
      <c r="S230" s="37">
        <v>295</v>
      </c>
      <c r="T230" s="37">
        <v>97</v>
      </c>
      <c r="U230" s="37">
        <v>392</v>
      </c>
      <c r="V230" s="552"/>
      <c r="W230" s="552"/>
      <c r="X230" s="552"/>
      <c r="Y230" s="552"/>
    </row>
    <row r="231" spans="1:25" s="512" customFormat="1" ht="11.1" customHeight="1" x14ac:dyDescent="0.15">
      <c r="A231" s="556">
        <v>38808</v>
      </c>
      <c r="B231" s="26" t="s">
        <v>28</v>
      </c>
      <c r="C231" s="26" t="s">
        <v>684</v>
      </c>
      <c r="D231" s="552" t="s">
        <v>685</v>
      </c>
      <c r="E231" s="37">
        <v>16947</v>
      </c>
      <c r="F231" s="37">
        <v>16947</v>
      </c>
      <c r="G231" s="37">
        <v>3973</v>
      </c>
      <c r="H231" s="37">
        <v>3845</v>
      </c>
      <c r="I231" s="37">
        <v>0</v>
      </c>
      <c r="J231" s="37">
        <v>0</v>
      </c>
      <c r="K231" s="37">
        <v>2882</v>
      </c>
      <c r="L231" s="37">
        <v>0</v>
      </c>
      <c r="M231" s="37">
        <v>1087</v>
      </c>
      <c r="N231" s="37">
        <v>4</v>
      </c>
      <c r="O231" s="37">
        <v>3973</v>
      </c>
      <c r="P231" s="37">
        <v>100</v>
      </c>
      <c r="Q231" s="37">
        <v>930</v>
      </c>
      <c r="R231" s="37">
        <v>23.508683614397182</v>
      </c>
      <c r="S231" s="37">
        <v>369</v>
      </c>
      <c r="T231" s="37">
        <v>157</v>
      </c>
      <c r="U231" s="37">
        <v>526</v>
      </c>
      <c r="V231" s="552"/>
      <c r="W231" s="552"/>
      <c r="X231" s="552"/>
      <c r="Y231" s="552"/>
    </row>
    <row r="232" spans="1:25" s="512" customFormat="1" ht="11.1" customHeight="1" x14ac:dyDescent="0.15">
      <c r="A232" s="556">
        <v>39173</v>
      </c>
      <c r="B232" s="26" t="s">
        <v>29</v>
      </c>
      <c r="C232" s="26" t="s">
        <v>671</v>
      </c>
      <c r="D232" s="552" t="s">
        <v>246</v>
      </c>
      <c r="E232" s="37">
        <v>39100</v>
      </c>
      <c r="F232" s="37">
        <v>39100</v>
      </c>
      <c r="G232" s="37">
        <v>13723</v>
      </c>
      <c r="H232" s="37">
        <v>12779</v>
      </c>
      <c r="I232" s="37">
        <v>0</v>
      </c>
      <c r="J232" s="37">
        <v>363</v>
      </c>
      <c r="K232" s="37">
        <v>10204</v>
      </c>
      <c r="L232" s="37">
        <v>0</v>
      </c>
      <c r="M232" s="37">
        <v>3145</v>
      </c>
      <c r="N232" s="37">
        <v>11</v>
      </c>
      <c r="O232" s="37">
        <v>13360</v>
      </c>
      <c r="P232" s="37">
        <v>100</v>
      </c>
      <c r="Q232" s="37">
        <v>2141</v>
      </c>
      <c r="R232" s="37">
        <v>18.326896451213294</v>
      </c>
      <c r="S232" s="37">
        <v>1288</v>
      </c>
      <c r="T232" s="37">
        <v>563</v>
      </c>
      <c r="U232" s="37">
        <v>1851</v>
      </c>
      <c r="V232" s="552"/>
      <c r="W232" s="552"/>
      <c r="X232" s="552"/>
      <c r="Y232" s="552"/>
    </row>
    <row r="233" spans="1:25" s="512" customFormat="1" ht="11.1" customHeight="1" x14ac:dyDescent="0.15">
      <c r="A233" s="556">
        <v>39173</v>
      </c>
      <c r="B233" s="26" t="s">
        <v>29</v>
      </c>
      <c r="C233" s="26" t="s">
        <v>672</v>
      </c>
      <c r="D233" s="552" t="s">
        <v>456</v>
      </c>
      <c r="E233" s="37">
        <v>32827</v>
      </c>
      <c r="F233" s="37">
        <v>32827</v>
      </c>
      <c r="G233" s="37">
        <v>10110</v>
      </c>
      <c r="H233" s="37">
        <v>9596</v>
      </c>
      <c r="I233" s="37">
        <v>0</v>
      </c>
      <c r="J233" s="37">
        <v>0</v>
      </c>
      <c r="K233" s="37">
        <v>7900</v>
      </c>
      <c r="L233" s="37">
        <v>0</v>
      </c>
      <c r="M233" s="37">
        <v>2199</v>
      </c>
      <c r="N233" s="37">
        <v>10.38</v>
      </c>
      <c r="O233" s="37">
        <v>10109.379999999999</v>
      </c>
      <c r="P233" s="37">
        <v>100</v>
      </c>
      <c r="Q233" s="37">
        <v>1809</v>
      </c>
      <c r="R233" s="37">
        <v>17.996949367814842</v>
      </c>
      <c r="S233" s="37">
        <v>997</v>
      </c>
      <c r="T233" s="37">
        <v>390</v>
      </c>
      <c r="U233" s="37">
        <v>1387</v>
      </c>
      <c r="V233" s="552"/>
      <c r="W233" s="552"/>
      <c r="X233" s="552"/>
      <c r="Y233" s="552"/>
    </row>
    <row r="234" spans="1:25" s="512" customFormat="1" ht="11.1" customHeight="1" x14ac:dyDescent="0.15">
      <c r="A234" s="556">
        <v>39173</v>
      </c>
      <c r="B234" s="26" t="s">
        <v>29</v>
      </c>
      <c r="C234" s="26" t="s">
        <v>673</v>
      </c>
      <c r="D234" s="552" t="s">
        <v>674</v>
      </c>
      <c r="E234" s="37">
        <v>13512</v>
      </c>
      <c r="F234" s="37">
        <v>13512</v>
      </c>
      <c r="G234" s="37">
        <v>4615</v>
      </c>
      <c r="H234" s="37">
        <v>4319</v>
      </c>
      <c r="I234" s="37">
        <v>0</v>
      </c>
      <c r="J234" s="37">
        <v>228</v>
      </c>
      <c r="K234" s="37">
        <v>3516</v>
      </c>
      <c r="L234" s="37">
        <v>0</v>
      </c>
      <c r="M234" s="37">
        <v>557</v>
      </c>
      <c r="N234" s="37">
        <v>314</v>
      </c>
      <c r="O234" s="37">
        <v>4387</v>
      </c>
      <c r="P234" s="37">
        <v>100</v>
      </c>
      <c r="Q234" s="37">
        <v>406</v>
      </c>
      <c r="R234" s="37">
        <v>20.541711809317441</v>
      </c>
      <c r="S234" s="37">
        <v>444</v>
      </c>
      <c r="T234" s="37">
        <v>151</v>
      </c>
      <c r="U234" s="37">
        <v>595</v>
      </c>
      <c r="V234" s="552"/>
      <c r="W234" s="552"/>
      <c r="X234" s="552"/>
      <c r="Y234" s="552"/>
    </row>
    <row r="235" spans="1:25" s="512" customFormat="1" ht="11.1" customHeight="1" x14ac:dyDescent="0.15">
      <c r="A235" s="556">
        <v>39173</v>
      </c>
      <c r="B235" s="26" t="s">
        <v>29</v>
      </c>
      <c r="C235" s="26" t="s">
        <v>675</v>
      </c>
      <c r="D235" s="552" t="s">
        <v>676</v>
      </c>
      <c r="E235" s="37">
        <v>1892</v>
      </c>
      <c r="F235" s="37">
        <v>1892</v>
      </c>
      <c r="G235" s="37">
        <v>458</v>
      </c>
      <c r="H235" s="37">
        <v>441</v>
      </c>
      <c r="I235" s="37">
        <v>0</v>
      </c>
      <c r="J235" s="37">
        <v>0</v>
      </c>
      <c r="K235" s="37">
        <v>335</v>
      </c>
      <c r="L235" s="37">
        <v>0</v>
      </c>
      <c r="M235" s="37">
        <v>61</v>
      </c>
      <c r="N235" s="37">
        <v>61</v>
      </c>
      <c r="O235" s="37">
        <v>457</v>
      </c>
      <c r="P235" s="37">
        <v>100</v>
      </c>
      <c r="Q235" s="37">
        <v>43</v>
      </c>
      <c r="R235" s="37">
        <v>22.75711159737418</v>
      </c>
      <c r="S235" s="37">
        <v>42</v>
      </c>
      <c r="T235" s="37">
        <v>18</v>
      </c>
      <c r="U235" s="37">
        <v>60</v>
      </c>
      <c r="V235" s="552"/>
      <c r="W235" s="552"/>
      <c r="X235" s="552"/>
      <c r="Y235" s="552"/>
    </row>
    <row r="236" spans="1:25" s="512" customFormat="1" ht="11.1" customHeight="1" x14ac:dyDescent="0.15">
      <c r="A236" s="556">
        <v>39173</v>
      </c>
      <c r="B236" s="26" t="s">
        <v>29</v>
      </c>
      <c r="C236" s="26" t="s">
        <v>677</v>
      </c>
      <c r="D236" s="552" t="s">
        <v>678</v>
      </c>
      <c r="E236" s="37">
        <v>23643</v>
      </c>
      <c r="F236" s="37">
        <v>23643</v>
      </c>
      <c r="G236" s="37">
        <v>8854</v>
      </c>
      <c r="H236" s="37">
        <v>8195</v>
      </c>
      <c r="I236" s="37">
        <v>0</v>
      </c>
      <c r="J236" s="37">
        <v>347</v>
      </c>
      <c r="K236" s="37">
        <v>6977</v>
      </c>
      <c r="L236" s="37">
        <v>0</v>
      </c>
      <c r="M236" s="37">
        <v>1525</v>
      </c>
      <c r="N236" s="37">
        <v>6</v>
      </c>
      <c r="O236" s="37">
        <v>8508</v>
      </c>
      <c r="P236" s="37">
        <v>100</v>
      </c>
      <c r="Q236" s="37">
        <v>1197</v>
      </c>
      <c r="R236" s="37">
        <v>17.504234895539245</v>
      </c>
      <c r="S236" s="37">
        <v>704</v>
      </c>
      <c r="T236" s="37">
        <v>328</v>
      </c>
      <c r="U236" s="37">
        <v>1032</v>
      </c>
      <c r="V236" s="552"/>
      <c r="W236" s="552"/>
      <c r="X236" s="552"/>
      <c r="Y236" s="552"/>
    </row>
    <row r="237" spans="1:25" s="512" customFormat="1" ht="11.1" customHeight="1" x14ac:dyDescent="0.15">
      <c r="A237" s="556">
        <v>39173</v>
      </c>
      <c r="B237" s="26" t="s">
        <v>29</v>
      </c>
      <c r="C237" s="26" t="s">
        <v>679</v>
      </c>
      <c r="D237" s="552" t="s">
        <v>680</v>
      </c>
      <c r="E237" s="37">
        <v>12645</v>
      </c>
      <c r="F237" s="37">
        <v>12645</v>
      </c>
      <c r="G237" s="37">
        <v>4044</v>
      </c>
      <c r="H237" s="37">
        <v>3869</v>
      </c>
      <c r="I237" s="37">
        <v>0</v>
      </c>
      <c r="J237" s="37">
        <v>25</v>
      </c>
      <c r="K237" s="37">
        <v>3186</v>
      </c>
      <c r="L237" s="37">
        <v>0</v>
      </c>
      <c r="M237" s="37">
        <v>829</v>
      </c>
      <c r="N237" s="37">
        <v>4</v>
      </c>
      <c r="O237" s="37">
        <v>4019</v>
      </c>
      <c r="P237" s="37">
        <v>100</v>
      </c>
      <c r="Q237" s="37">
        <v>655</v>
      </c>
      <c r="R237" s="37">
        <v>16.913946587537094</v>
      </c>
      <c r="S237" s="37">
        <v>402</v>
      </c>
      <c r="T237" s="37">
        <v>174</v>
      </c>
      <c r="U237" s="37">
        <v>576</v>
      </c>
      <c r="V237" s="552"/>
      <c r="W237" s="552"/>
      <c r="X237" s="552"/>
      <c r="Y237" s="552"/>
    </row>
    <row r="238" spans="1:25" s="512" customFormat="1" ht="11.1" customHeight="1" x14ac:dyDescent="0.15">
      <c r="A238" s="556">
        <v>39173</v>
      </c>
      <c r="B238" s="26" t="s">
        <v>29</v>
      </c>
      <c r="C238" s="26" t="s">
        <v>681</v>
      </c>
      <c r="D238" s="552" t="s">
        <v>682</v>
      </c>
      <c r="E238" s="37">
        <v>39149</v>
      </c>
      <c r="F238" s="37">
        <v>39149</v>
      </c>
      <c r="G238" s="37">
        <v>14775</v>
      </c>
      <c r="H238" s="37">
        <v>12857</v>
      </c>
      <c r="I238" s="37">
        <v>0</v>
      </c>
      <c r="J238" s="37">
        <v>659</v>
      </c>
      <c r="K238" s="37">
        <v>11658</v>
      </c>
      <c r="L238" s="37">
        <v>0</v>
      </c>
      <c r="M238" s="37">
        <v>2449</v>
      </c>
      <c r="N238" s="37">
        <v>10</v>
      </c>
      <c r="O238" s="37">
        <v>14117</v>
      </c>
      <c r="P238" s="37">
        <v>100</v>
      </c>
      <c r="Q238" s="37">
        <v>1938</v>
      </c>
      <c r="R238" s="37">
        <v>17.643475906876017</v>
      </c>
      <c r="S238" s="37">
        <v>1177</v>
      </c>
      <c r="T238" s="37">
        <v>511</v>
      </c>
      <c r="U238" s="37">
        <v>1688</v>
      </c>
      <c r="V238" s="552"/>
      <c r="W238" s="552"/>
      <c r="X238" s="552"/>
      <c r="Y238" s="552"/>
    </row>
    <row r="239" spans="1:25" s="512" customFormat="1" ht="11.1" customHeight="1" x14ac:dyDescent="0.15">
      <c r="A239" s="556">
        <v>39173</v>
      </c>
      <c r="B239" s="26" t="s">
        <v>29</v>
      </c>
      <c r="C239" s="26" t="s">
        <v>683</v>
      </c>
      <c r="D239" s="552" t="s">
        <v>577</v>
      </c>
      <c r="E239" s="37">
        <v>10495</v>
      </c>
      <c r="F239" s="37">
        <v>10495</v>
      </c>
      <c r="G239" s="37">
        <v>2816</v>
      </c>
      <c r="H239" s="37">
        <v>2748</v>
      </c>
      <c r="I239" s="37">
        <v>0</v>
      </c>
      <c r="J239" s="37">
        <v>0</v>
      </c>
      <c r="K239" s="37">
        <v>2261</v>
      </c>
      <c r="L239" s="37">
        <v>0</v>
      </c>
      <c r="M239" s="37">
        <v>553</v>
      </c>
      <c r="N239" s="37">
        <v>2</v>
      </c>
      <c r="O239" s="37">
        <v>2816</v>
      </c>
      <c r="P239" s="37">
        <v>100</v>
      </c>
      <c r="Q239" s="37">
        <v>452</v>
      </c>
      <c r="R239" s="37">
        <v>16.12215909090909</v>
      </c>
      <c r="S239" s="37">
        <v>285</v>
      </c>
      <c r="T239" s="37">
        <v>101</v>
      </c>
      <c r="U239" s="37">
        <v>386</v>
      </c>
      <c r="V239" s="552"/>
      <c r="W239" s="552"/>
      <c r="X239" s="552"/>
      <c r="Y239" s="552"/>
    </row>
    <row r="240" spans="1:25" s="512" customFormat="1" ht="11.1" customHeight="1" x14ac:dyDescent="0.15">
      <c r="A240" s="556">
        <v>39173</v>
      </c>
      <c r="B240" s="26" t="s">
        <v>29</v>
      </c>
      <c r="C240" s="26" t="s">
        <v>684</v>
      </c>
      <c r="D240" s="552" t="s">
        <v>685</v>
      </c>
      <c r="E240" s="37">
        <v>16673</v>
      </c>
      <c r="F240" s="37">
        <v>16673</v>
      </c>
      <c r="G240" s="37">
        <v>3878</v>
      </c>
      <c r="H240" s="37">
        <v>3759</v>
      </c>
      <c r="I240" s="37">
        <v>0</v>
      </c>
      <c r="J240" s="37">
        <v>0</v>
      </c>
      <c r="K240" s="37">
        <v>2858</v>
      </c>
      <c r="L240" s="37">
        <v>0</v>
      </c>
      <c r="M240" s="37">
        <v>1017</v>
      </c>
      <c r="N240" s="37">
        <v>3</v>
      </c>
      <c r="O240" s="37">
        <v>3878</v>
      </c>
      <c r="P240" s="37">
        <v>100</v>
      </c>
      <c r="Q240" s="37">
        <v>863</v>
      </c>
      <c r="R240" s="37">
        <v>22.331098504383704</v>
      </c>
      <c r="S240" s="37">
        <v>361</v>
      </c>
      <c r="T240" s="37">
        <v>154</v>
      </c>
      <c r="U240" s="37">
        <v>515</v>
      </c>
      <c r="V240" s="552"/>
      <c r="W240" s="552"/>
      <c r="X240" s="552"/>
      <c r="Y240" s="552"/>
    </row>
    <row r="241" spans="1:25" s="512" customFormat="1" ht="11.1" customHeight="1" x14ac:dyDescent="0.15">
      <c r="A241" s="556">
        <v>39539</v>
      </c>
      <c r="B241" s="26" t="s">
        <v>30</v>
      </c>
      <c r="C241" s="26" t="s">
        <v>671</v>
      </c>
      <c r="D241" s="552" t="s">
        <v>246</v>
      </c>
      <c r="E241" s="37">
        <v>38723</v>
      </c>
      <c r="F241" s="37">
        <v>38723</v>
      </c>
      <c r="G241" s="37">
        <v>13043</v>
      </c>
      <c r="H241" s="37">
        <v>12176</v>
      </c>
      <c r="I241" s="37">
        <v>0</v>
      </c>
      <c r="J241" s="37">
        <v>417</v>
      </c>
      <c r="K241" s="37">
        <v>9832</v>
      </c>
      <c r="L241" s="37">
        <v>0</v>
      </c>
      <c r="M241" s="37">
        <v>2835</v>
      </c>
      <c r="N241" s="37">
        <v>10</v>
      </c>
      <c r="O241" s="37">
        <v>12677</v>
      </c>
      <c r="P241" s="37">
        <v>100</v>
      </c>
      <c r="Q241" s="37">
        <v>1941</v>
      </c>
      <c r="R241" s="37">
        <v>18.084618909424162</v>
      </c>
      <c r="S241" s="37">
        <v>1218</v>
      </c>
      <c r="T241" s="37">
        <v>397</v>
      </c>
      <c r="U241" s="37">
        <v>1615</v>
      </c>
      <c r="V241" s="552"/>
      <c r="W241" s="552"/>
      <c r="X241" s="552"/>
      <c r="Y241" s="552"/>
    </row>
    <row r="242" spans="1:25" s="512" customFormat="1" ht="11.1" customHeight="1" x14ac:dyDescent="0.15">
      <c r="A242" s="556">
        <v>39539</v>
      </c>
      <c r="B242" s="26" t="s">
        <v>30</v>
      </c>
      <c r="C242" s="26" t="s">
        <v>672</v>
      </c>
      <c r="D242" s="552" t="s">
        <v>456</v>
      </c>
      <c r="E242" s="37">
        <v>32569</v>
      </c>
      <c r="F242" s="37">
        <v>32569</v>
      </c>
      <c r="G242" s="37">
        <v>9963</v>
      </c>
      <c r="H242" s="37">
        <v>9483</v>
      </c>
      <c r="I242" s="37">
        <v>0</v>
      </c>
      <c r="J242" s="37">
        <v>0</v>
      </c>
      <c r="K242" s="37">
        <v>7901</v>
      </c>
      <c r="L242" s="37">
        <v>0</v>
      </c>
      <c r="M242" s="37">
        <v>2086</v>
      </c>
      <c r="N242" s="37">
        <v>10</v>
      </c>
      <c r="O242" s="37">
        <v>9997</v>
      </c>
      <c r="P242" s="37">
        <v>100</v>
      </c>
      <c r="Q242" s="37">
        <v>1727</v>
      </c>
      <c r="R242" s="37">
        <v>17.375212563769129</v>
      </c>
      <c r="S242" s="37">
        <v>979</v>
      </c>
      <c r="T242" s="37">
        <v>310</v>
      </c>
      <c r="U242" s="37">
        <v>1289</v>
      </c>
      <c r="V242" s="552"/>
      <c r="W242" s="552"/>
      <c r="X242" s="552"/>
      <c r="Y242" s="552"/>
    </row>
    <row r="243" spans="1:25" s="512" customFormat="1" ht="11.1" customHeight="1" x14ac:dyDescent="0.15">
      <c r="A243" s="556">
        <v>39539</v>
      </c>
      <c r="B243" s="26" t="s">
        <v>30</v>
      </c>
      <c r="C243" s="26" t="s">
        <v>673</v>
      </c>
      <c r="D243" s="552" t="s">
        <v>674</v>
      </c>
      <c r="E243" s="37">
        <v>13440</v>
      </c>
      <c r="F243" s="37">
        <v>13440</v>
      </c>
      <c r="G243" s="37">
        <v>4118</v>
      </c>
      <c r="H243" s="37">
        <v>3844</v>
      </c>
      <c r="I243" s="37">
        <v>0</v>
      </c>
      <c r="J243" s="37">
        <v>213</v>
      </c>
      <c r="K243" s="37">
        <v>3392</v>
      </c>
      <c r="L243" s="37">
        <v>0</v>
      </c>
      <c r="M243" s="37">
        <v>525</v>
      </c>
      <c r="N243" s="37">
        <v>279</v>
      </c>
      <c r="O243" s="37">
        <v>4196</v>
      </c>
      <c r="P243" s="37">
        <v>100</v>
      </c>
      <c r="Q243" s="37">
        <v>384</v>
      </c>
      <c r="R243" s="37">
        <v>19.86845089589476</v>
      </c>
      <c r="S243" s="37">
        <v>420</v>
      </c>
      <c r="T243" s="37">
        <v>122</v>
      </c>
      <c r="U243" s="37">
        <v>542</v>
      </c>
      <c r="V243" s="552"/>
      <c r="W243" s="552"/>
      <c r="X243" s="552"/>
      <c r="Y243" s="552"/>
    </row>
    <row r="244" spans="1:25" s="512" customFormat="1" ht="11.1" customHeight="1" x14ac:dyDescent="0.15">
      <c r="A244" s="556">
        <v>39539</v>
      </c>
      <c r="B244" s="26" t="s">
        <v>30</v>
      </c>
      <c r="C244" s="26" t="s">
        <v>675</v>
      </c>
      <c r="D244" s="552" t="s">
        <v>676</v>
      </c>
      <c r="E244" s="37">
        <v>1849</v>
      </c>
      <c r="F244" s="37">
        <v>1849</v>
      </c>
      <c r="G244" s="37">
        <v>447</v>
      </c>
      <c r="H244" s="37">
        <v>427</v>
      </c>
      <c r="I244" s="37">
        <v>0</v>
      </c>
      <c r="J244" s="37">
        <v>0</v>
      </c>
      <c r="K244" s="37">
        <v>328</v>
      </c>
      <c r="L244" s="37">
        <v>0</v>
      </c>
      <c r="M244" s="37">
        <v>64</v>
      </c>
      <c r="N244" s="37">
        <v>55</v>
      </c>
      <c r="O244" s="37">
        <v>447</v>
      </c>
      <c r="P244" s="37">
        <v>100</v>
      </c>
      <c r="Q244" s="37">
        <v>45</v>
      </c>
      <c r="R244" s="37">
        <v>22.371364653243848</v>
      </c>
      <c r="S244" s="37">
        <v>40</v>
      </c>
      <c r="T244" s="37">
        <v>17</v>
      </c>
      <c r="U244" s="37">
        <v>57</v>
      </c>
      <c r="V244" s="552"/>
      <c r="W244" s="552"/>
      <c r="X244" s="552"/>
      <c r="Y244" s="552"/>
    </row>
    <row r="245" spans="1:25" s="512" customFormat="1" ht="11.1" customHeight="1" x14ac:dyDescent="0.15">
      <c r="A245" s="556">
        <v>39539</v>
      </c>
      <c r="B245" s="26" t="s">
        <v>30</v>
      </c>
      <c r="C245" s="26" t="s">
        <v>677</v>
      </c>
      <c r="D245" s="552" t="s">
        <v>678</v>
      </c>
      <c r="E245" s="37">
        <v>23544</v>
      </c>
      <c r="F245" s="37">
        <v>23544</v>
      </c>
      <c r="G245" s="37">
        <v>8714</v>
      </c>
      <c r="H245" s="37">
        <v>8091</v>
      </c>
      <c r="I245" s="37">
        <v>0</v>
      </c>
      <c r="J245" s="37">
        <v>346</v>
      </c>
      <c r="K245" s="37">
        <v>6985</v>
      </c>
      <c r="L245" s="37">
        <v>0</v>
      </c>
      <c r="M245" s="37">
        <v>1402</v>
      </c>
      <c r="N245" s="37">
        <v>534</v>
      </c>
      <c r="O245" s="37">
        <v>8921</v>
      </c>
      <c r="P245" s="37">
        <v>100</v>
      </c>
      <c r="Q245" s="37">
        <v>1115</v>
      </c>
      <c r="R245" s="37">
        <v>21.528002589834898</v>
      </c>
      <c r="S245" s="37">
        <v>712</v>
      </c>
      <c r="T245" s="37">
        <v>250</v>
      </c>
      <c r="U245" s="37">
        <v>962</v>
      </c>
      <c r="V245" s="552"/>
      <c r="W245" s="552"/>
      <c r="X245" s="552"/>
      <c r="Y245" s="552"/>
    </row>
    <row r="246" spans="1:25" s="512" customFormat="1" ht="11.1" customHeight="1" x14ac:dyDescent="0.15">
      <c r="A246" s="556">
        <v>39539</v>
      </c>
      <c r="B246" s="26" t="s">
        <v>30</v>
      </c>
      <c r="C246" s="26" t="s">
        <v>679</v>
      </c>
      <c r="D246" s="552" t="s">
        <v>680</v>
      </c>
      <c r="E246" s="37">
        <v>12472</v>
      </c>
      <c r="F246" s="37">
        <v>12472</v>
      </c>
      <c r="G246" s="37">
        <v>3872</v>
      </c>
      <c r="H246" s="37">
        <v>3676</v>
      </c>
      <c r="I246" s="37">
        <v>0</v>
      </c>
      <c r="J246" s="37">
        <v>21</v>
      </c>
      <c r="K246" s="37">
        <v>3118</v>
      </c>
      <c r="L246" s="37">
        <v>0</v>
      </c>
      <c r="M246" s="37">
        <v>744</v>
      </c>
      <c r="N246" s="37">
        <v>4</v>
      </c>
      <c r="O246" s="37">
        <v>3866</v>
      </c>
      <c r="P246" s="37">
        <v>100</v>
      </c>
      <c r="Q246" s="37">
        <v>589</v>
      </c>
      <c r="R246" s="37">
        <v>15.796243889889375</v>
      </c>
      <c r="S246" s="37">
        <v>386</v>
      </c>
      <c r="T246" s="37">
        <v>133</v>
      </c>
      <c r="U246" s="37">
        <v>519</v>
      </c>
      <c r="V246" s="552"/>
      <c r="W246" s="552"/>
      <c r="X246" s="552"/>
      <c r="Y246" s="552"/>
    </row>
    <row r="247" spans="1:25" s="512" customFormat="1" ht="11.1" customHeight="1" x14ac:dyDescent="0.15">
      <c r="A247" s="556">
        <v>39539</v>
      </c>
      <c r="B247" s="26" t="s">
        <v>30</v>
      </c>
      <c r="C247" s="26" t="s">
        <v>681</v>
      </c>
      <c r="D247" s="552" t="s">
        <v>682</v>
      </c>
      <c r="E247" s="37">
        <v>38698</v>
      </c>
      <c r="F247" s="37">
        <v>38698</v>
      </c>
      <c r="G247" s="37">
        <v>14153</v>
      </c>
      <c r="H247" s="37">
        <v>12249</v>
      </c>
      <c r="I247" s="37">
        <v>0</v>
      </c>
      <c r="J247" s="37">
        <v>639</v>
      </c>
      <c r="K247" s="37">
        <v>11356</v>
      </c>
      <c r="L247" s="37">
        <v>0</v>
      </c>
      <c r="M247" s="37">
        <v>1338</v>
      </c>
      <c r="N247" s="37">
        <v>10</v>
      </c>
      <c r="O247" s="37">
        <v>12704</v>
      </c>
      <c r="P247" s="37">
        <v>100</v>
      </c>
      <c r="Q247" s="37">
        <v>1725</v>
      </c>
      <c r="R247" s="37">
        <v>17.792100726972944</v>
      </c>
      <c r="S247" s="37">
        <v>1159</v>
      </c>
      <c r="T247" s="37">
        <v>408</v>
      </c>
      <c r="U247" s="37">
        <v>1567</v>
      </c>
      <c r="V247" s="552"/>
      <c r="W247" s="552"/>
      <c r="X247" s="552"/>
      <c r="Y247" s="552"/>
    </row>
    <row r="248" spans="1:25" s="512" customFormat="1" ht="11.1" customHeight="1" x14ac:dyDescent="0.15">
      <c r="A248" s="556">
        <v>39539</v>
      </c>
      <c r="B248" s="26" t="s">
        <v>30</v>
      </c>
      <c r="C248" s="26" t="s">
        <v>683</v>
      </c>
      <c r="D248" s="552" t="s">
        <v>577</v>
      </c>
      <c r="E248" s="37">
        <v>10392</v>
      </c>
      <c r="F248" s="37">
        <v>10392</v>
      </c>
      <c r="G248" s="37">
        <v>2778</v>
      </c>
      <c r="H248" s="37">
        <v>2685</v>
      </c>
      <c r="I248" s="37">
        <v>0</v>
      </c>
      <c r="J248" s="37">
        <v>0</v>
      </c>
      <c r="K248" s="37">
        <v>2266</v>
      </c>
      <c r="L248" s="37">
        <v>0</v>
      </c>
      <c r="M248" s="37">
        <v>515</v>
      </c>
      <c r="N248" s="37">
        <v>2</v>
      </c>
      <c r="O248" s="37">
        <v>2783</v>
      </c>
      <c r="P248" s="37">
        <v>100</v>
      </c>
      <c r="Q248" s="37">
        <v>428</v>
      </c>
      <c r="R248" s="37">
        <v>15.450952209845489</v>
      </c>
      <c r="S248" s="37">
        <v>281</v>
      </c>
      <c r="T248" s="37">
        <v>76</v>
      </c>
      <c r="U248" s="37">
        <v>357</v>
      </c>
      <c r="V248" s="552"/>
      <c r="W248" s="552"/>
      <c r="X248" s="552"/>
      <c r="Y248" s="552"/>
    </row>
    <row r="249" spans="1:25" s="512" customFormat="1" ht="11.1" customHeight="1" x14ac:dyDescent="0.15">
      <c r="A249" s="556">
        <v>39539</v>
      </c>
      <c r="B249" s="26" t="s">
        <v>30</v>
      </c>
      <c r="C249" s="26" t="s">
        <v>684</v>
      </c>
      <c r="D249" s="552" t="s">
        <v>685</v>
      </c>
      <c r="E249" s="37">
        <v>16370</v>
      </c>
      <c r="F249" s="37">
        <v>16370</v>
      </c>
      <c r="G249" s="37">
        <v>3815</v>
      </c>
      <c r="H249" s="37">
        <v>3697</v>
      </c>
      <c r="I249" s="37">
        <v>0</v>
      </c>
      <c r="J249" s="37">
        <v>0</v>
      </c>
      <c r="K249" s="37">
        <v>2851</v>
      </c>
      <c r="L249" s="37">
        <v>0</v>
      </c>
      <c r="M249" s="37">
        <v>976</v>
      </c>
      <c r="N249" s="37">
        <v>364</v>
      </c>
      <c r="O249" s="37">
        <v>4191</v>
      </c>
      <c r="P249" s="37">
        <v>100</v>
      </c>
      <c r="Q249" s="37">
        <v>821</v>
      </c>
      <c r="R249" s="37">
        <v>28.274874731567646</v>
      </c>
      <c r="S249" s="37">
        <v>353</v>
      </c>
      <c r="T249" s="37">
        <v>132</v>
      </c>
      <c r="U249" s="37">
        <v>485</v>
      </c>
      <c r="V249" s="552"/>
      <c r="W249" s="552"/>
      <c r="X249" s="552"/>
      <c r="Y249" s="552"/>
    </row>
    <row r="250" spans="1:25" s="512" customFormat="1" ht="11.1" customHeight="1" x14ac:dyDescent="0.15">
      <c r="A250" s="556">
        <v>39904</v>
      </c>
      <c r="B250" s="26" t="s">
        <v>31</v>
      </c>
      <c r="C250" s="26" t="s">
        <v>671</v>
      </c>
      <c r="D250" s="552" t="s">
        <v>246</v>
      </c>
      <c r="E250" s="37">
        <v>38310</v>
      </c>
      <c r="F250" s="37">
        <v>38310</v>
      </c>
      <c r="G250" s="37">
        <v>12786</v>
      </c>
      <c r="H250" s="37">
        <v>11893</v>
      </c>
      <c r="I250" s="37">
        <v>0</v>
      </c>
      <c r="J250" s="37">
        <v>469</v>
      </c>
      <c r="K250" s="37">
        <v>9654</v>
      </c>
      <c r="L250" s="37">
        <v>0</v>
      </c>
      <c r="M250" s="37">
        <v>2630</v>
      </c>
      <c r="N250" s="37">
        <v>9</v>
      </c>
      <c r="O250" s="37">
        <v>12293</v>
      </c>
      <c r="P250" s="37">
        <v>100</v>
      </c>
      <c r="Q250" s="37">
        <v>1850</v>
      </c>
      <c r="R250" s="37">
        <v>18.241654913023037</v>
      </c>
      <c r="S250" s="37">
        <v>1269</v>
      </c>
      <c r="T250" s="37">
        <v>118</v>
      </c>
      <c r="U250" s="37">
        <v>1387</v>
      </c>
      <c r="V250" s="552"/>
      <c r="W250" s="552"/>
      <c r="X250" s="552"/>
      <c r="Y250" s="552"/>
    </row>
    <row r="251" spans="1:25" s="512" customFormat="1" ht="11.1" customHeight="1" x14ac:dyDescent="0.15">
      <c r="A251" s="556">
        <v>39904</v>
      </c>
      <c r="B251" s="26" t="s">
        <v>31</v>
      </c>
      <c r="C251" s="26" t="s">
        <v>672</v>
      </c>
      <c r="D251" s="552" t="s">
        <v>456</v>
      </c>
      <c r="E251" s="37">
        <v>32242</v>
      </c>
      <c r="F251" s="37">
        <v>32242</v>
      </c>
      <c r="G251" s="37">
        <v>9838</v>
      </c>
      <c r="H251" s="37">
        <v>9337</v>
      </c>
      <c r="I251" s="37">
        <v>0</v>
      </c>
      <c r="J251" s="37">
        <v>0</v>
      </c>
      <c r="K251" s="37">
        <v>7844</v>
      </c>
      <c r="L251" s="37">
        <v>0</v>
      </c>
      <c r="M251" s="37">
        <v>1963</v>
      </c>
      <c r="N251" s="37">
        <v>12.19</v>
      </c>
      <c r="O251" s="37">
        <v>9819.19</v>
      </c>
      <c r="P251" s="37">
        <v>100</v>
      </c>
      <c r="Q251" s="37">
        <v>1650</v>
      </c>
      <c r="R251" s="37">
        <v>16.92797471074498</v>
      </c>
      <c r="S251" s="37">
        <v>1032</v>
      </c>
      <c r="T251" s="37">
        <v>96</v>
      </c>
      <c r="U251" s="37">
        <v>1128</v>
      </c>
      <c r="V251" s="552"/>
      <c r="W251" s="552"/>
      <c r="X251" s="552"/>
      <c r="Y251" s="552"/>
    </row>
    <row r="252" spans="1:25" s="512" customFormat="1" ht="11.1" customHeight="1" x14ac:dyDescent="0.15">
      <c r="A252" s="556">
        <v>39904</v>
      </c>
      <c r="B252" s="26" t="s">
        <v>31</v>
      </c>
      <c r="C252" s="26" t="s">
        <v>673</v>
      </c>
      <c r="D252" s="552" t="s">
        <v>674</v>
      </c>
      <c r="E252" s="37">
        <v>13274</v>
      </c>
      <c r="F252" s="37">
        <v>13274</v>
      </c>
      <c r="G252" s="37">
        <v>4147</v>
      </c>
      <c r="H252" s="37">
        <v>3847</v>
      </c>
      <c r="I252" s="37">
        <v>0</v>
      </c>
      <c r="J252" s="37">
        <v>205</v>
      </c>
      <c r="K252" s="37">
        <v>3426</v>
      </c>
      <c r="L252" s="37">
        <v>0</v>
      </c>
      <c r="M252" s="37">
        <v>506</v>
      </c>
      <c r="N252" s="37">
        <v>270</v>
      </c>
      <c r="O252" s="37">
        <v>4202</v>
      </c>
      <c r="P252" s="37">
        <v>100</v>
      </c>
      <c r="Q252" s="37">
        <v>372</v>
      </c>
      <c r="R252" s="37">
        <v>19.219423644202404</v>
      </c>
      <c r="S252" s="37">
        <v>451</v>
      </c>
      <c r="T252" s="37">
        <v>43</v>
      </c>
      <c r="U252" s="37">
        <v>494</v>
      </c>
      <c r="V252" s="552"/>
      <c r="W252" s="552"/>
      <c r="X252" s="552"/>
      <c r="Y252" s="552"/>
    </row>
    <row r="253" spans="1:25" s="512" customFormat="1" ht="11.1" customHeight="1" x14ac:dyDescent="0.15">
      <c r="A253" s="556">
        <v>39904</v>
      </c>
      <c r="B253" s="26" t="s">
        <v>31</v>
      </c>
      <c r="C253" s="26" t="s">
        <v>675</v>
      </c>
      <c r="D253" s="552" t="s">
        <v>676</v>
      </c>
      <c r="E253" s="37">
        <v>1790</v>
      </c>
      <c r="F253" s="37">
        <v>1790</v>
      </c>
      <c r="G253" s="37">
        <v>401</v>
      </c>
      <c r="H253" s="37">
        <v>379</v>
      </c>
      <c r="I253" s="37">
        <v>0</v>
      </c>
      <c r="J253" s="37">
        <v>0</v>
      </c>
      <c r="K253" s="37">
        <v>339</v>
      </c>
      <c r="L253" s="37">
        <v>0</v>
      </c>
      <c r="M253" s="37">
        <v>61</v>
      </c>
      <c r="N253" s="37">
        <v>55</v>
      </c>
      <c r="O253" s="37">
        <v>455</v>
      </c>
      <c r="P253" s="37">
        <v>100</v>
      </c>
      <c r="Q253" s="37">
        <v>43</v>
      </c>
      <c r="R253" s="37">
        <v>21.53846153846154</v>
      </c>
      <c r="S253" s="37">
        <v>44</v>
      </c>
      <c r="T253" s="37">
        <v>6</v>
      </c>
      <c r="U253" s="37">
        <v>50</v>
      </c>
      <c r="V253" s="552"/>
      <c r="W253" s="552"/>
      <c r="X253" s="552"/>
      <c r="Y253" s="552"/>
    </row>
    <row r="254" spans="1:25" s="512" customFormat="1" ht="11.1" customHeight="1" x14ac:dyDescent="0.15">
      <c r="A254" s="556">
        <v>39904</v>
      </c>
      <c r="B254" s="26" t="s">
        <v>31</v>
      </c>
      <c r="C254" s="26" t="s">
        <v>677</v>
      </c>
      <c r="D254" s="552" t="s">
        <v>678</v>
      </c>
      <c r="E254" s="37">
        <v>23471</v>
      </c>
      <c r="F254" s="37">
        <v>23471</v>
      </c>
      <c r="G254" s="37">
        <v>8380</v>
      </c>
      <c r="H254" s="37">
        <v>7833</v>
      </c>
      <c r="I254" s="37">
        <v>0</v>
      </c>
      <c r="J254" s="37">
        <v>302</v>
      </c>
      <c r="K254" s="37">
        <v>6760</v>
      </c>
      <c r="L254" s="37">
        <v>0</v>
      </c>
      <c r="M254" s="37">
        <v>732</v>
      </c>
      <c r="N254" s="37">
        <v>568</v>
      </c>
      <c r="O254" s="37">
        <v>8060</v>
      </c>
      <c r="P254" s="37">
        <v>100</v>
      </c>
      <c r="Q254" s="37">
        <v>512</v>
      </c>
      <c r="R254" s="37">
        <v>16.527146615642192</v>
      </c>
      <c r="S254" s="37">
        <v>795</v>
      </c>
      <c r="T254" s="37">
        <v>68</v>
      </c>
      <c r="U254" s="37">
        <v>863</v>
      </c>
      <c r="V254" s="552"/>
      <c r="W254" s="552"/>
      <c r="X254" s="552"/>
      <c r="Y254" s="552"/>
    </row>
    <row r="255" spans="1:25" s="512" customFormat="1" ht="11.1" customHeight="1" x14ac:dyDescent="0.15">
      <c r="A255" s="556">
        <v>39904</v>
      </c>
      <c r="B255" s="26" t="s">
        <v>31</v>
      </c>
      <c r="C255" s="26" t="s">
        <v>679</v>
      </c>
      <c r="D255" s="552" t="s">
        <v>680</v>
      </c>
      <c r="E255" s="37">
        <v>12355</v>
      </c>
      <c r="F255" s="37">
        <v>12355</v>
      </c>
      <c r="G255" s="37">
        <v>3730</v>
      </c>
      <c r="H255" s="37">
        <v>3599</v>
      </c>
      <c r="I255" s="37">
        <v>0</v>
      </c>
      <c r="J255" s="37">
        <v>8</v>
      </c>
      <c r="K255" s="37">
        <v>3013</v>
      </c>
      <c r="L255" s="37">
        <v>0</v>
      </c>
      <c r="M255" s="37">
        <v>700</v>
      </c>
      <c r="N255" s="37">
        <v>3</v>
      </c>
      <c r="O255" s="37">
        <v>3716</v>
      </c>
      <c r="P255" s="37">
        <v>100</v>
      </c>
      <c r="Q255" s="37">
        <v>576</v>
      </c>
      <c r="R255" s="37">
        <v>15.762620837808807</v>
      </c>
      <c r="S255" s="37">
        <v>397</v>
      </c>
      <c r="T255" s="37">
        <v>37</v>
      </c>
      <c r="U255" s="37">
        <v>434</v>
      </c>
      <c r="V255" s="552"/>
      <c r="W255" s="552"/>
      <c r="X255" s="552"/>
      <c r="Y255" s="552"/>
    </row>
    <row r="256" spans="1:25" s="512" customFormat="1" ht="11.1" customHeight="1" x14ac:dyDescent="0.15">
      <c r="A256" s="556">
        <v>39904</v>
      </c>
      <c r="B256" s="26" t="s">
        <v>31</v>
      </c>
      <c r="C256" s="26" t="s">
        <v>681</v>
      </c>
      <c r="D256" s="552" t="s">
        <v>682</v>
      </c>
      <c r="E256" s="37">
        <v>38725</v>
      </c>
      <c r="F256" s="37">
        <v>38725</v>
      </c>
      <c r="G256" s="37">
        <v>13681</v>
      </c>
      <c r="H256" s="37">
        <v>11908</v>
      </c>
      <c r="I256" s="37">
        <v>0</v>
      </c>
      <c r="J256" s="37">
        <v>629</v>
      </c>
      <c r="K256" s="37">
        <v>10928</v>
      </c>
      <c r="L256" s="37">
        <v>0</v>
      </c>
      <c r="M256" s="37">
        <v>1228</v>
      </c>
      <c r="N256" s="37">
        <v>0</v>
      </c>
      <c r="O256" s="37">
        <v>12156</v>
      </c>
      <c r="P256" s="37">
        <v>100</v>
      </c>
      <c r="Q256" s="37">
        <v>1687</v>
      </c>
      <c r="R256" s="37">
        <v>18.114978490418459</v>
      </c>
      <c r="S256" s="37">
        <v>1285</v>
      </c>
      <c r="T256" s="37">
        <v>125</v>
      </c>
      <c r="U256" s="37">
        <v>1410</v>
      </c>
      <c r="V256" s="552"/>
      <c r="W256" s="552"/>
      <c r="X256" s="552"/>
      <c r="Y256" s="552"/>
    </row>
    <row r="257" spans="1:25" s="512" customFormat="1" ht="11.1" customHeight="1" x14ac:dyDescent="0.15">
      <c r="A257" s="556">
        <v>39904</v>
      </c>
      <c r="B257" s="26" t="s">
        <v>31</v>
      </c>
      <c r="C257" s="26" t="s">
        <v>683</v>
      </c>
      <c r="D257" s="552" t="s">
        <v>577</v>
      </c>
      <c r="E257" s="37">
        <v>10196</v>
      </c>
      <c r="F257" s="37">
        <v>10196</v>
      </c>
      <c r="G257" s="37">
        <v>2776</v>
      </c>
      <c r="H257" s="37">
        <v>2701</v>
      </c>
      <c r="I257" s="37">
        <v>0</v>
      </c>
      <c r="J257" s="37">
        <v>0</v>
      </c>
      <c r="K257" s="37">
        <v>2272</v>
      </c>
      <c r="L257" s="37">
        <v>0</v>
      </c>
      <c r="M257" s="37">
        <v>490</v>
      </c>
      <c r="N257" s="37">
        <v>2</v>
      </c>
      <c r="O257" s="37">
        <v>2764</v>
      </c>
      <c r="P257" s="37">
        <v>100</v>
      </c>
      <c r="Q257" s="37">
        <v>418</v>
      </c>
      <c r="R257" s="37">
        <v>15.195369030390736</v>
      </c>
      <c r="S257" s="37">
        <v>299</v>
      </c>
      <c r="T257" s="37">
        <v>24</v>
      </c>
      <c r="U257" s="37">
        <v>323</v>
      </c>
      <c r="V257" s="552"/>
      <c r="W257" s="552"/>
      <c r="X257" s="552"/>
      <c r="Y257" s="552"/>
    </row>
    <row r="258" spans="1:25" s="512" customFormat="1" ht="11.1" customHeight="1" x14ac:dyDescent="0.15">
      <c r="A258" s="556">
        <v>39904</v>
      </c>
      <c r="B258" s="26" t="s">
        <v>31</v>
      </c>
      <c r="C258" s="26" t="s">
        <v>684</v>
      </c>
      <c r="D258" s="552" t="s">
        <v>685</v>
      </c>
      <c r="E258" s="37">
        <v>16161</v>
      </c>
      <c r="F258" s="37">
        <v>16161</v>
      </c>
      <c r="G258" s="37">
        <v>3753</v>
      </c>
      <c r="H258" s="37">
        <v>3649</v>
      </c>
      <c r="I258" s="37">
        <v>0</v>
      </c>
      <c r="J258" s="37">
        <v>0</v>
      </c>
      <c r="K258" s="37">
        <v>2828</v>
      </c>
      <c r="L258" s="37">
        <v>0</v>
      </c>
      <c r="M258" s="37">
        <v>916</v>
      </c>
      <c r="N258" s="37">
        <v>3</v>
      </c>
      <c r="O258" s="37">
        <v>3747</v>
      </c>
      <c r="P258" s="37">
        <v>100</v>
      </c>
      <c r="Q258" s="37">
        <v>777</v>
      </c>
      <c r="R258" s="37">
        <v>20.816653322658127</v>
      </c>
      <c r="S258" s="37">
        <v>373</v>
      </c>
      <c r="T258" s="37">
        <v>40</v>
      </c>
      <c r="U258" s="37">
        <v>413</v>
      </c>
      <c r="V258" s="552"/>
      <c r="W258" s="552"/>
      <c r="X258" s="552"/>
      <c r="Y258" s="552"/>
    </row>
    <row r="259" spans="1:25" s="512" customFormat="1" ht="11.1" customHeight="1" x14ac:dyDescent="0.15">
      <c r="A259" s="556">
        <v>40269</v>
      </c>
      <c r="B259" s="26" t="s">
        <v>32</v>
      </c>
      <c r="C259" s="26" t="s">
        <v>671</v>
      </c>
      <c r="D259" s="552" t="s">
        <v>246</v>
      </c>
      <c r="E259" s="37">
        <v>37876</v>
      </c>
      <c r="F259" s="37">
        <v>37876</v>
      </c>
      <c r="G259" s="37">
        <v>12879</v>
      </c>
      <c r="H259" s="37">
        <v>12009</v>
      </c>
      <c r="I259" s="37">
        <v>0</v>
      </c>
      <c r="J259" s="37">
        <v>474</v>
      </c>
      <c r="K259" s="37">
        <v>9786</v>
      </c>
      <c r="L259" s="37">
        <v>0</v>
      </c>
      <c r="M259" s="37">
        <v>2469</v>
      </c>
      <c r="N259" s="37">
        <v>11</v>
      </c>
      <c r="O259" s="37">
        <v>12266</v>
      </c>
      <c r="P259" s="37">
        <v>100</v>
      </c>
      <c r="Q259" s="37">
        <v>1756</v>
      </c>
      <c r="R259" s="37">
        <v>17.590266875981161</v>
      </c>
      <c r="S259" s="37">
        <v>1334</v>
      </c>
      <c r="T259" s="37">
        <v>57</v>
      </c>
      <c r="U259" s="37">
        <v>1391</v>
      </c>
      <c r="V259" s="552"/>
      <c r="W259" s="552"/>
      <c r="X259" s="552"/>
      <c r="Y259" s="552"/>
    </row>
    <row r="260" spans="1:25" s="512" customFormat="1" ht="11.1" customHeight="1" x14ac:dyDescent="0.15">
      <c r="A260" s="556">
        <v>40269</v>
      </c>
      <c r="B260" s="26" t="s">
        <v>32</v>
      </c>
      <c r="C260" s="26" t="s">
        <v>672</v>
      </c>
      <c r="D260" s="552" t="s">
        <v>456</v>
      </c>
      <c r="E260" s="37">
        <v>31827</v>
      </c>
      <c r="F260" s="37">
        <v>31827</v>
      </c>
      <c r="G260" s="37">
        <v>9758</v>
      </c>
      <c r="H260" s="37">
        <v>9256</v>
      </c>
      <c r="I260" s="37">
        <v>0</v>
      </c>
      <c r="J260" s="37">
        <v>0</v>
      </c>
      <c r="K260" s="37">
        <v>7746</v>
      </c>
      <c r="L260" s="37">
        <v>0</v>
      </c>
      <c r="M260" s="37">
        <v>5241</v>
      </c>
      <c r="N260" s="37">
        <v>12</v>
      </c>
      <c r="O260" s="37">
        <v>12999</v>
      </c>
      <c r="P260" s="37">
        <v>100</v>
      </c>
      <c r="Q260" s="37">
        <v>2446</v>
      </c>
      <c r="R260" s="37">
        <v>18.909146857450573</v>
      </c>
      <c r="S260" s="37">
        <v>1056</v>
      </c>
      <c r="T260" s="37">
        <v>44</v>
      </c>
      <c r="U260" s="37">
        <v>1100</v>
      </c>
      <c r="V260" s="552"/>
      <c r="W260" s="552"/>
      <c r="X260" s="552"/>
      <c r="Y260" s="552"/>
    </row>
    <row r="261" spans="1:25" s="512" customFormat="1" ht="11.1" customHeight="1" x14ac:dyDescent="0.15">
      <c r="A261" s="556">
        <v>40269</v>
      </c>
      <c r="B261" s="26" t="s">
        <v>32</v>
      </c>
      <c r="C261" s="26" t="s">
        <v>673</v>
      </c>
      <c r="D261" s="552" t="s">
        <v>674</v>
      </c>
      <c r="E261" s="37">
        <v>13180</v>
      </c>
      <c r="F261" s="37">
        <v>13180</v>
      </c>
      <c r="G261" s="37">
        <v>4093</v>
      </c>
      <c r="H261" s="37">
        <v>3734</v>
      </c>
      <c r="I261" s="37">
        <v>0</v>
      </c>
      <c r="J261" s="37">
        <v>204</v>
      </c>
      <c r="K261" s="37">
        <v>3385</v>
      </c>
      <c r="L261" s="37">
        <v>0</v>
      </c>
      <c r="M261" s="37">
        <v>459</v>
      </c>
      <c r="N261" s="37">
        <v>241</v>
      </c>
      <c r="O261" s="37">
        <v>4085</v>
      </c>
      <c r="P261" s="37">
        <v>100</v>
      </c>
      <c r="Q261" s="37">
        <v>364</v>
      </c>
      <c r="R261" s="37">
        <v>18.862205642340871</v>
      </c>
      <c r="S261" s="37">
        <v>461</v>
      </c>
      <c r="T261" s="37">
        <v>18</v>
      </c>
      <c r="U261" s="37">
        <v>479</v>
      </c>
      <c r="V261" s="552"/>
      <c r="W261" s="552"/>
      <c r="X261" s="552"/>
      <c r="Y261" s="552"/>
    </row>
    <row r="262" spans="1:25" s="512" customFormat="1" ht="11.1" customHeight="1" x14ac:dyDescent="0.15">
      <c r="A262" s="556">
        <v>40269</v>
      </c>
      <c r="B262" s="26" t="s">
        <v>32</v>
      </c>
      <c r="C262" s="26" t="s">
        <v>675</v>
      </c>
      <c r="D262" s="552" t="s">
        <v>676</v>
      </c>
      <c r="E262" s="37">
        <v>1755</v>
      </c>
      <c r="F262" s="37">
        <v>1755</v>
      </c>
      <c r="G262" s="37">
        <v>412</v>
      </c>
      <c r="H262" s="37">
        <v>397</v>
      </c>
      <c r="I262" s="37">
        <v>0</v>
      </c>
      <c r="J262" s="37">
        <v>0</v>
      </c>
      <c r="K262" s="37">
        <v>306</v>
      </c>
      <c r="L262" s="37">
        <v>0</v>
      </c>
      <c r="M262" s="37">
        <v>49</v>
      </c>
      <c r="N262" s="37">
        <v>50</v>
      </c>
      <c r="O262" s="37">
        <v>405</v>
      </c>
      <c r="P262" s="37">
        <v>100</v>
      </c>
      <c r="Q262" s="37">
        <v>40</v>
      </c>
      <c r="R262" s="37">
        <v>22.222222222222221</v>
      </c>
      <c r="S262" s="37">
        <v>42</v>
      </c>
      <c r="T262" s="37">
        <v>1</v>
      </c>
      <c r="U262" s="37">
        <v>43</v>
      </c>
      <c r="V262" s="552"/>
      <c r="W262" s="552"/>
      <c r="X262" s="552"/>
      <c r="Y262" s="552"/>
    </row>
    <row r="263" spans="1:25" s="512" customFormat="1" ht="11.1" customHeight="1" x14ac:dyDescent="0.15">
      <c r="A263" s="556">
        <v>40269</v>
      </c>
      <c r="B263" s="26" t="s">
        <v>32</v>
      </c>
      <c r="C263" s="26" t="s">
        <v>677</v>
      </c>
      <c r="D263" s="552" t="s">
        <v>678</v>
      </c>
      <c r="E263" s="37">
        <v>23464</v>
      </c>
      <c r="F263" s="37">
        <v>23464</v>
      </c>
      <c r="G263" s="37">
        <v>8425</v>
      </c>
      <c r="H263" s="37">
        <v>7799</v>
      </c>
      <c r="I263" s="37">
        <v>0</v>
      </c>
      <c r="J263" s="37">
        <v>353</v>
      </c>
      <c r="K263" s="37">
        <v>6771</v>
      </c>
      <c r="L263" s="37">
        <v>0</v>
      </c>
      <c r="M263" s="37">
        <v>688</v>
      </c>
      <c r="N263" s="37">
        <v>533</v>
      </c>
      <c r="O263" s="37">
        <v>7992</v>
      </c>
      <c r="P263" s="37">
        <v>100</v>
      </c>
      <c r="Q263" s="37">
        <v>510</v>
      </c>
      <c r="R263" s="37">
        <v>16.728579988016776</v>
      </c>
      <c r="S263" s="37">
        <v>825</v>
      </c>
      <c r="T263" s="37">
        <v>30</v>
      </c>
      <c r="U263" s="37">
        <v>855</v>
      </c>
      <c r="V263" s="552"/>
      <c r="W263" s="552"/>
      <c r="X263" s="552"/>
      <c r="Y263" s="552"/>
    </row>
    <row r="264" spans="1:25" s="512" customFormat="1" ht="11.1" customHeight="1" x14ac:dyDescent="0.15">
      <c r="A264" s="556">
        <v>40269</v>
      </c>
      <c r="B264" s="26" t="s">
        <v>32</v>
      </c>
      <c r="C264" s="26" t="s">
        <v>679</v>
      </c>
      <c r="D264" s="552" t="s">
        <v>680</v>
      </c>
      <c r="E264" s="37">
        <v>12167</v>
      </c>
      <c r="F264" s="37">
        <v>12167</v>
      </c>
      <c r="G264" s="37">
        <v>3693</v>
      </c>
      <c r="H264" s="37">
        <v>3582</v>
      </c>
      <c r="I264" s="37">
        <v>0</v>
      </c>
      <c r="J264" s="37">
        <v>0</v>
      </c>
      <c r="K264" s="37">
        <v>2998</v>
      </c>
      <c r="L264" s="37">
        <v>0</v>
      </c>
      <c r="M264" s="37">
        <v>649</v>
      </c>
      <c r="N264" s="37">
        <v>3</v>
      </c>
      <c r="O264" s="37">
        <v>3650</v>
      </c>
      <c r="P264" s="37">
        <v>100</v>
      </c>
      <c r="Q264" s="37">
        <v>543</v>
      </c>
      <c r="R264" s="37">
        <v>14.95890410958904</v>
      </c>
      <c r="S264" s="37">
        <v>408</v>
      </c>
      <c r="T264" s="37">
        <v>16</v>
      </c>
      <c r="U264" s="37">
        <v>424</v>
      </c>
      <c r="V264" s="552"/>
      <c r="W264" s="552"/>
      <c r="X264" s="552"/>
      <c r="Y264" s="552"/>
    </row>
    <row r="265" spans="1:25" s="512" customFormat="1" ht="11.1" customHeight="1" x14ac:dyDescent="0.15">
      <c r="A265" s="556">
        <v>40269</v>
      </c>
      <c r="B265" s="26" t="s">
        <v>32</v>
      </c>
      <c r="C265" s="26" t="s">
        <v>681</v>
      </c>
      <c r="D265" s="552" t="s">
        <v>682</v>
      </c>
      <c r="E265" s="37">
        <v>38464</v>
      </c>
      <c r="F265" s="37">
        <v>38464</v>
      </c>
      <c r="G265" s="37">
        <v>13764</v>
      </c>
      <c r="H265" s="37">
        <v>11928</v>
      </c>
      <c r="I265" s="37">
        <v>0</v>
      </c>
      <c r="J265" s="37">
        <v>594</v>
      </c>
      <c r="K265" s="37">
        <v>11021</v>
      </c>
      <c r="L265" s="37">
        <v>0</v>
      </c>
      <c r="M265" s="37">
        <v>2004</v>
      </c>
      <c r="N265" s="37">
        <v>20</v>
      </c>
      <c r="O265" s="37">
        <v>13045</v>
      </c>
      <c r="P265" s="37">
        <v>100</v>
      </c>
      <c r="Q265" s="37">
        <v>1681</v>
      </c>
      <c r="R265" s="37">
        <v>16.826746828946405</v>
      </c>
      <c r="S265" s="37">
        <v>1343</v>
      </c>
      <c r="T265" s="37">
        <v>53</v>
      </c>
      <c r="U265" s="37">
        <v>1396</v>
      </c>
      <c r="V265" s="552"/>
      <c r="W265" s="552"/>
      <c r="X265" s="552"/>
      <c r="Y265" s="552"/>
    </row>
    <row r="266" spans="1:25" s="512" customFormat="1" ht="11.1" customHeight="1" x14ac:dyDescent="0.15">
      <c r="A266" s="556">
        <v>40269</v>
      </c>
      <c r="B266" s="26" t="s">
        <v>32</v>
      </c>
      <c r="C266" s="26" t="s">
        <v>683</v>
      </c>
      <c r="D266" s="552" t="s">
        <v>577</v>
      </c>
      <c r="E266" s="37">
        <v>10113</v>
      </c>
      <c r="F266" s="37">
        <v>10113</v>
      </c>
      <c r="G266" s="37">
        <v>2674</v>
      </c>
      <c r="H266" s="37">
        <v>2566</v>
      </c>
      <c r="I266" s="37">
        <v>0</v>
      </c>
      <c r="J266" s="37">
        <v>0</v>
      </c>
      <c r="K266" s="37">
        <v>2171</v>
      </c>
      <c r="L266" s="37">
        <v>0</v>
      </c>
      <c r="M266" s="37">
        <v>472</v>
      </c>
      <c r="N266" s="37">
        <v>2</v>
      </c>
      <c r="O266" s="37">
        <v>2645</v>
      </c>
      <c r="P266" s="37">
        <v>100</v>
      </c>
      <c r="Q266" s="37">
        <v>418</v>
      </c>
      <c r="R266" s="37">
        <v>15.879017013232513</v>
      </c>
      <c r="S266" s="37">
        <v>296</v>
      </c>
      <c r="T266" s="37">
        <v>9</v>
      </c>
      <c r="U266" s="37">
        <v>305</v>
      </c>
      <c r="V266" s="552"/>
      <c r="W266" s="552"/>
      <c r="X266" s="552"/>
      <c r="Y266" s="552"/>
    </row>
    <row r="267" spans="1:25" s="512" customFormat="1" ht="11.1" customHeight="1" x14ac:dyDescent="0.15">
      <c r="A267" s="556">
        <v>40269</v>
      </c>
      <c r="B267" s="26" t="s">
        <v>32</v>
      </c>
      <c r="C267" s="26" t="s">
        <v>684</v>
      </c>
      <c r="D267" s="552" t="s">
        <v>685</v>
      </c>
      <c r="E267" s="37">
        <v>15921</v>
      </c>
      <c r="F267" s="37">
        <v>15921</v>
      </c>
      <c r="G267" s="37">
        <v>3262</v>
      </c>
      <c r="H267" s="37">
        <v>3148</v>
      </c>
      <c r="I267" s="37">
        <v>0</v>
      </c>
      <c r="J267" s="37">
        <v>0</v>
      </c>
      <c r="K267" s="37">
        <v>2787</v>
      </c>
      <c r="L267" s="37">
        <v>0</v>
      </c>
      <c r="M267" s="37">
        <v>428</v>
      </c>
      <c r="N267" s="37">
        <v>3</v>
      </c>
      <c r="O267" s="37">
        <v>3218</v>
      </c>
      <c r="P267" s="37">
        <v>100</v>
      </c>
      <c r="Q267" s="37">
        <v>324</v>
      </c>
      <c r="R267" s="37">
        <v>10.161591050341826</v>
      </c>
      <c r="S267" s="37">
        <v>380</v>
      </c>
      <c r="T267" s="37">
        <v>16</v>
      </c>
      <c r="U267" s="37">
        <v>396</v>
      </c>
      <c r="V267" s="552"/>
      <c r="W267" s="552"/>
      <c r="X267" s="552"/>
      <c r="Y267" s="552"/>
    </row>
    <row r="268" spans="1:25" s="512" customFormat="1" ht="11.1" customHeight="1" x14ac:dyDescent="0.15">
      <c r="A268" s="558">
        <v>40634</v>
      </c>
      <c r="B268" s="559" t="s">
        <v>33</v>
      </c>
      <c r="C268" s="559" t="s">
        <v>671</v>
      </c>
      <c r="D268" s="560" t="s">
        <v>246</v>
      </c>
      <c r="E268" s="561">
        <v>37425</v>
      </c>
      <c r="F268" s="561">
        <v>37425</v>
      </c>
      <c r="G268" s="561">
        <v>13585</v>
      </c>
      <c r="H268" s="561">
        <v>12562</v>
      </c>
      <c r="I268" s="561">
        <v>528</v>
      </c>
      <c r="J268" s="561">
        <v>495</v>
      </c>
      <c r="K268" s="561">
        <v>9896</v>
      </c>
      <c r="L268" s="561">
        <v>0</v>
      </c>
      <c r="M268" s="561">
        <v>2890</v>
      </c>
      <c r="N268" s="561">
        <v>14</v>
      </c>
      <c r="O268" s="561">
        <v>12800</v>
      </c>
      <c r="P268" s="561">
        <v>100</v>
      </c>
      <c r="Q268" s="561">
        <v>2232</v>
      </c>
      <c r="R268" s="561">
        <v>20.616773223016171</v>
      </c>
      <c r="S268" s="561">
        <v>1322</v>
      </c>
      <c r="T268" s="561">
        <v>74</v>
      </c>
      <c r="U268" s="561">
        <v>1396</v>
      </c>
      <c r="V268" s="560"/>
      <c r="W268" s="560"/>
      <c r="X268" s="560"/>
      <c r="Y268" s="560"/>
    </row>
    <row r="269" spans="1:25" s="512" customFormat="1" ht="11.1" customHeight="1" x14ac:dyDescent="0.15">
      <c r="A269" s="556">
        <v>40634</v>
      </c>
      <c r="B269" s="26" t="s">
        <v>33</v>
      </c>
      <c r="C269" s="26" t="s">
        <v>672</v>
      </c>
      <c r="D269" s="552" t="s">
        <v>456</v>
      </c>
      <c r="E269" s="37">
        <v>31713</v>
      </c>
      <c r="F269" s="37">
        <v>31713</v>
      </c>
      <c r="G269" s="37">
        <v>10249</v>
      </c>
      <c r="H269" s="37">
        <v>9665</v>
      </c>
      <c r="I269" s="37">
        <v>584</v>
      </c>
      <c r="J269" s="37">
        <v>0</v>
      </c>
      <c r="K269" s="37">
        <v>7879</v>
      </c>
      <c r="L269" s="37">
        <v>0</v>
      </c>
      <c r="M269" s="37">
        <v>5213</v>
      </c>
      <c r="N269" s="37">
        <v>12</v>
      </c>
      <c r="O269" s="37">
        <v>13104</v>
      </c>
      <c r="P269" s="37">
        <v>100</v>
      </c>
      <c r="Q269" s="37">
        <v>2265</v>
      </c>
      <c r="R269" s="37">
        <v>17.376373626373624</v>
      </c>
      <c r="S269" s="37">
        <v>1053</v>
      </c>
      <c r="T269" s="37">
        <v>50</v>
      </c>
      <c r="U269" s="37">
        <v>1103</v>
      </c>
      <c r="V269" s="552"/>
      <c r="W269" s="552"/>
      <c r="X269" s="552"/>
      <c r="Y269" s="552"/>
    </row>
    <row r="270" spans="1:25" s="512" customFormat="1" ht="11.1" customHeight="1" x14ac:dyDescent="0.15">
      <c r="A270" s="556">
        <v>40634</v>
      </c>
      <c r="B270" s="26" t="s">
        <v>33</v>
      </c>
      <c r="C270" s="26" t="s">
        <v>673</v>
      </c>
      <c r="D270" s="552" t="s">
        <v>674</v>
      </c>
      <c r="E270" s="37">
        <v>13096</v>
      </c>
      <c r="F270" s="37">
        <v>13096</v>
      </c>
      <c r="G270" s="37">
        <v>4419</v>
      </c>
      <c r="H270" s="37">
        <v>4019</v>
      </c>
      <c r="I270" s="37">
        <v>174</v>
      </c>
      <c r="J270" s="37">
        <v>226</v>
      </c>
      <c r="K270" s="37">
        <v>3352</v>
      </c>
      <c r="L270" s="37">
        <v>0</v>
      </c>
      <c r="M270" s="37">
        <v>496</v>
      </c>
      <c r="N270" s="37">
        <v>240</v>
      </c>
      <c r="O270" s="37">
        <v>4088</v>
      </c>
      <c r="P270" s="37">
        <v>100</v>
      </c>
      <c r="Q270" s="37">
        <v>394</v>
      </c>
      <c r="R270" s="37">
        <v>19.935095039406583</v>
      </c>
      <c r="S270" s="37">
        <v>447</v>
      </c>
      <c r="T270" s="37">
        <v>27</v>
      </c>
      <c r="U270" s="37">
        <v>474</v>
      </c>
      <c r="V270" s="552"/>
      <c r="W270" s="552"/>
      <c r="X270" s="552"/>
      <c r="Y270" s="552"/>
    </row>
    <row r="271" spans="1:25" s="512" customFormat="1" ht="11.1" customHeight="1" x14ac:dyDescent="0.15">
      <c r="A271" s="556">
        <v>40634</v>
      </c>
      <c r="B271" s="26" t="s">
        <v>33</v>
      </c>
      <c r="C271" s="26" t="s">
        <v>675</v>
      </c>
      <c r="D271" s="552" t="s">
        <v>676</v>
      </c>
      <c r="E271" s="37">
        <v>1703</v>
      </c>
      <c r="F271" s="37">
        <v>1703</v>
      </c>
      <c r="G271" s="37">
        <v>397</v>
      </c>
      <c r="H271" s="37">
        <v>382</v>
      </c>
      <c r="I271" s="37">
        <v>15</v>
      </c>
      <c r="J271" s="37">
        <v>0</v>
      </c>
      <c r="K271" s="37">
        <v>276</v>
      </c>
      <c r="L271" s="37">
        <v>0</v>
      </c>
      <c r="M271" s="37">
        <v>53</v>
      </c>
      <c r="N271" s="37">
        <v>54</v>
      </c>
      <c r="O271" s="37">
        <v>383</v>
      </c>
      <c r="P271" s="37">
        <v>100</v>
      </c>
      <c r="Q271" s="37">
        <v>44</v>
      </c>
      <c r="R271" s="37">
        <v>25.587467362924283</v>
      </c>
      <c r="S271" s="37">
        <v>37</v>
      </c>
      <c r="T271" s="37">
        <v>2</v>
      </c>
      <c r="U271" s="37">
        <v>39</v>
      </c>
      <c r="V271" s="552"/>
      <c r="W271" s="552"/>
      <c r="X271" s="552"/>
      <c r="Y271" s="552"/>
    </row>
    <row r="272" spans="1:25" s="512" customFormat="1" ht="11.1" customHeight="1" x14ac:dyDescent="0.15">
      <c r="A272" s="556">
        <v>40634</v>
      </c>
      <c r="B272" s="26" t="s">
        <v>33</v>
      </c>
      <c r="C272" s="26" t="s">
        <v>677</v>
      </c>
      <c r="D272" s="552" t="s">
        <v>678</v>
      </c>
      <c r="E272" s="37">
        <v>23615</v>
      </c>
      <c r="F272" s="37">
        <v>23615</v>
      </c>
      <c r="G272" s="37">
        <v>8020</v>
      </c>
      <c r="H272" s="37">
        <v>7638</v>
      </c>
      <c r="I272" s="37">
        <v>382</v>
      </c>
      <c r="J272" s="37">
        <v>0</v>
      </c>
      <c r="K272" s="37">
        <v>6928</v>
      </c>
      <c r="L272" s="37">
        <v>0</v>
      </c>
      <c r="M272" s="37">
        <v>909</v>
      </c>
      <c r="N272" s="37">
        <v>9</v>
      </c>
      <c r="O272" s="37">
        <v>7846</v>
      </c>
      <c r="P272" s="37">
        <v>100</v>
      </c>
      <c r="Q272" s="37">
        <v>691</v>
      </c>
      <c r="R272" s="37">
        <v>8.9217435635992874</v>
      </c>
      <c r="S272" s="37">
        <v>936</v>
      </c>
      <c r="T272" s="37">
        <v>49</v>
      </c>
      <c r="U272" s="37">
        <v>985</v>
      </c>
      <c r="V272" s="552"/>
      <c r="W272" s="552"/>
      <c r="X272" s="552"/>
      <c r="Y272" s="552"/>
    </row>
    <row r="273" spans="1:25" s="512" customFormat="1" ht="11.1" customHeight="1" x14ac:dyDescent="0.15">
      <c r="A273" s="556">
        <v>40634</v>
      </c>
      <c r="B273" s="26" t="s">
        <v>33</v>
      </c>
      <c r="C273" s="26" t="s">
        <v>679</v>
      </c>
      <c r="D273" s="552" t="s">
        <v>680</v>
      </c>
      <c r="E273" s="37">
        <v>12043</v>
      </c>
      <c r="F273" s="37">
        <v>12043</v>
      </c>
      <c r="G273" s="37">
        <v>3622</v>
      </c>
      <c r="H273" s="37">
        <v>3467</v>
      </c>
      <c r="I273" s="37">
        <v>155</v>
      </c>
      <c r="J273" s="37">
        <v>0</v>
      </c>
      <c r="K273" s="37">
        <v>3094</v>
      </c>
      <c r="L273" s="37">
        <v>0</v>
      </c>
      <c r="M273" s="37">
        <v>744</v>
      </c>
      <c r="N273" s="37">
        <v>5</v>
      </c>
      <c r="O273" s="37">
        <v>3843</v>
      </c>
      <c r="P273" s="37">
        <v>100</v>
      </c>
      <c r="Q273" s="37">
        <v>622</v>
      </c>
      <c r="R273" s="37">
        <v>16.315378610460577</v>
      </c>
      <c r="S273" s="37">
        <v>413</v>
      </c>
      <c r="T273" s="37">
        <v>23</v>
      </c>
      <c r="U273" s="37">
        <v>436</v>
      </c>
      <c r="V273" s="552"/>
      <c r="W273" s="552"/>
      <c r="X273" s="552"/>
      <c r="Y273" s="552"/>
    </row>
    <row r="274" spans="1:25" s="512" customFormat="1" ht="11.1" customHeight="1" x14ac:dyDescent="0.15">
      <c r="A274" s="556">
        <v>40634</v>
      </c>
      <c r="B274" s="26" t="s">
        <v>33</v>
      </c>
      <c r="C274" s="26" t="s">
        <v>681</v>
      </c>
      <c r="D274" s="552" t="s">
        <v>682</v>
      </c>
      <c r="E274" s="37">
        <v>38527</v>
      </c>
      <c r="F274" s="37">
        <v>38527</v>
      </c>
      <c r="G274" s="37">
        <v>14162</v>
      </c>
      <c r="H274" s="37">
        <v>12185</v>
      </c>
      <c r="I274" s="37">
        <v>1419</v>
      </c>
      <c r="J274" s="37">
        <v>558</v>
      </c>
      <c r="K274" s="37">
        <v>10844</v>
      </c>
      <c r="L274" s="37">
        <v>0</v>
      </c>
      <c r="M274" s="37">
        <v>2391</v>
      </c>
      <c r="N274" s="37">
        <v>13</v>
      </c>
      <c r="O274" s="37">
        <v>13248</v>
      </c>
      <c r="P274" s="37">
        <v>100</v>
      </c>
      <c r="Q274" s="37">
        <v>2107</v>
      </c>
      <c r="R274" s="37">
        <v>19.397363465160076</v>
      </c>
      <c r="S274" s="37">
        <v>1454</v>
      </c>
      <c r="T274" s="37">
        <v>70</v>
      </c>
      <c r="U274" s="37">
        <v>1524</v>
      </c>
      <c r="V274" s="552"/>
      <c r="W274" s="552"/>
      <c r="X274" s="552"/>
      <c r="Y274" s="552"/>
    </row>
    <row r="275" spans="1:25" s="512" customFormat="1" ht="11.1" customHeight="1" x14ac:dyDescent="0.15">
      <c r="A275" s="556">
        <v>40634</v>
      </c>
      <c r="B275" s="26" t="s">
        <v>33</v>
      </c>
      <c r="C275" s="26" t="s">
        <v>683</v>
      </c>
      <c r="D275" s="552" t="s">
        <v>577</v>
      </c>
      <c r="E275" s="37">
        <v>9929</v>
      </c>
      <c r="F275" s="37">
        <v>9929</v>
      </c>
      <c r="G275" s="37">
        <v>2760</v>
      </c>
      <c r="H275" s="37">
        <v>2648</v>
      </c>
      <c r="I275" s="37">
        <v>112</v>
      </c>
      <c r="J275" s="37">
        <v>0</v>
      </c>
      <c r="K275" s="37">
        <v>2187</v>
      </c>
      <c r="L275" s="37">
        <v>0</v>
      </c>
      <c r="M275" s="37">
        <v>502</v>
      </c>
      <c r="N275" s="37">
        <v>3</v>
      </c>
      <c r="O275" s="37">
        <v>2692</v>
      </c>
      <c r="P275" s="37">
        <v>100</v>
      </c>
      <c r="Q275" s="37">
        <v>443</v>
      </c>
      <c r="R275" s="37">
        <v>16.567607726597323</v>
      </c>
      <c r="S275" s="37">
        <v>294</v>
      </c>
      <c r="T275" s="37">
        <v>15</v>
      </c>
      <c r="U275" s="37">
        <v>309</v>
      </c>
      <c r="V275" s="552"/>
      <c r="W275" s="552"/>
      <c r="X275" s="552"/>
      <c r="Y275" s="552"/>
    </row>
    <row r="276" spans="1:25" s="512" customFormat="1" ht="11.1" customHeight="1" x14ac:dyDescent="0.15">
      <c r="A276" s="556">
        <v>40634</v>
      </c>
      <c r="B276" s="26" t="s">
        <v>33</v>
      </c>
      <c r="C276" s="26" t="s">
        <v>684</v>
      </c>
      <c r="D276" s="552" t="s">
        <v>685</v>
      </c>
      <c r="E276" s="37">
        <v>15608</v>
      </c>
      <c r="F276" s="37">
        <v>15608</v>
      </c>
      <c r="G276" s="37">
        <v>3885</v>
      </c>
      <c r="H276" s="37">
        <v>3755</v>
      </c>
      <c r="I276" s="37">
        <v>130</v>
      </c>
      <c r="J276" s="37">
        <v>0</v>
      </c>
      <c r="K276" s="37">
        <v>2800</v>
      </c>
      <c r="L276" s="37">
        <v>0</v>
      </c>
      <c r="M276" s="37">
        <v>1080</v>
      </c>
      <c r="N276" s="37">
        <v>5</v>
      </c>
      <c r="O276" s="37">
        <v>3885</v>
      </c>
      <c r="P276" s="37">
        <v>100</v>
      </c>
      <c r="Q276" s="37">
        <v>366</v>
      </c>
      <c r="R276" s="37">
        <v>9.5495495495495497</v>
      </c>
      <c r="S276" s="37">
        <v>375</v>
      </c>
      <c r="T276" s="37">
        <v>23</v>
      </c>
      <c r="U276" s="37">
        <v>398</v>
      </c>
      <c r="V276" s="552"/>
      <c r="W276" s="552"/>
      <c r="X276" s="552"/>
      <c r="Y276" s="552"/>
    </row>
    <row r="277" spans="1:25" s="512" customFormat="1" ht="11.1" customHeight="1" x14ac:dyDescent="0.15">
      <c r="A277" s="558">
        <v>41000</v>
      </c>
      <c r="B277" s="559" t="s">
        <v>106</v>
      </c>
      <c r="C277" s="559" t="s">
        <v>671</v>
      </c>
      <c r="D277" s="560" t="s">
        <v>246</v>
      </c>
      <c r="E277" s="561">
        <v>37128</v>
      </c>
      <c r="F277" s="561">
        <v>37128</v>
      </c>
      <c r="G277" s="561">
        <v>13159</v>
      </c>
      <c r="H277" s="561">
        <v>12435</v>
      </c>
      <c r="I277" s="561">
        <v>0</v>
      </c>
      <c r="J277" s="561">
        <v>451</v>
      </c>
      <c r="K277" s="561">
        <v>10107</v>
      </c>
      <c r="L277" s="561">
        <v>0</v>
      </c>
      <c r="M277" s="561">
        <v>2513</v>
      </c>
      <c r="N277" s="561">
        <v>10</v>
      </c>
      <c r="O277" s="561">
        <v>12630</v>
      </c>
      <c r="P277" s="561">
        <v>100</v>
      </c>
      <c r="Q277" s="561">
        <v>2101</v>
      </c>
      <c r="R277" s="561">
        <v>19.585658588792906</v>
      </c>
      <c r="S277" s="561">
        <v>1411</v>
      </c>
      <c r="T277" s="561">
        <v>73</v>
      </c>
      <c r="U277" s="561">
        <v>1484</v>
      </c>
      <c r="V277" s="560"/>
      <c r="W277" s="560"/>
      <c r="X277" s="560"/>
      <c r="Y277" s="560"/>
    </row>
    <row r="278" spans="1:25" s="512" customFormat="1" ht="11.1" customHeight="1" x14ac:dyDescent="0.15">
      <c r="A278" s="556">
        <v>41000</v>
      </c>
      <c r="B278" s="26" t="s">
        <v>106</v>
      </c>
      <c r="C278" s="26" t="s">
        <v>672</v>
      </c>
      <c r="D278" s="552" t="s">
        <v>456</v>
      </c>
      <c r="E278" s="37">
        <v>31364</v>
      </c>
      <c r="F278" s="37">
        <v>31364</v>
      </c>
      <c r="G278" s="37">
        <v>10046</v>
      </c>
      <c r="H278" s="37">
        <v>9455</v>
      </c>
      <c r="I278" s="37">
        <v>0</v>
      </c>
      <c r="J278" s="37">
        <v>0</v>
      </c>
      <c r="K278" s="37">
        <v>7633</v>
      </c>
      <c r="L278" s="37">
        <v>0</v>
      </c>
      <c r="M278" s="37">
        <v>2346</v>
      </c>
      <c r="N278" s="37">
        <v>8</v>
      </c>
      <c r="O278" s="37">
        <v>9987</v>
      </c>
      <c r="P278" s="37">
        <v>100</v>
      </c>
      <c r="Q278" s="37">
        <v>2048</v>
      </c>
      <c r="R278" s="37">
        <v>20.586762791629116</v>
      </c>
      <c r="S278" s="37">
        <v>1064</v>
      </c>
      <c r="T278" s="37">
        <v>46</v>
      </c>
      <c r="U278" s="37">
        <v>1110</v>
      </c>
      <c r="V278" s="552"/>
      <c r="W278" s="552"/>
      <c r="X278" s="552"/>
      <c r="Y278" s="552"/>
    </row>
    <row r="279" spans="1:25" s="512" customFormat="1" ht="11.1" customHeight="1" x14ac:dyDescent="0.15">
      <c r="A279" s="556">
        <v>41000</v>
      </c>
      <c r="B279" s="26" t="s">
        <v>106</v>
      </c>
      <c r="C279" s="26" t="s">
        <v>673</v>
      </c>
      <c r="D279" s="552" t="s">
        <v>674</v>
      </c>
      <c r="E279" s="37">
        <v>12948</v>
      </c>
      <c r="F279" s="37">
        <v>12948</v>
      </c>
      <c r="G279" s="37">
        <v>4230</v>
      </c>
      <c r="H279" s="37">
        <v>3801</v>
      </c>
      <c r="I279" s="37">
        <v>0</v>
      </c>
      <c r="J279" s="37">
        <v>258</v>
      </c>
      <c r="K279" s="37">
        <v>3389</v>
      </c>
      <c r="L279" s="37">
        <v>0</v>
      </c>
      <c r="M279" s="37">
        <v>554</v>
      </c>
      <c r="N279" s="37">
        <v>3</v>
      </c>
      <c r="O279" s="37">
        <v>3946</v>
      </c>
      <c r="P279" s="37">
        <v>100</v>
      </c>
      <c r="Q279" s="37">
        <v>425</v>
      </c>
      <c r="R279" s="37">
        <v>16.317792578496672</v>
      </c>
      <c r="S279" s="37">
        <v>473</v>
      </c>
      <c r="T279" s="37">
        <v>22</v>
      </c>
      <c r="U279" s="37">
        <v>495</v>
      </c>
      <c r="V279" s="552"/>
      <c r="W279" s="552"/>
      <c r="X279" s="552"/>
      <c r="Y279" s="552"/>
    </row>
    <row r="280" spans="1:25" s="512" customFormat="1" ht="11.1" customHeight="1" x14ac:dyDescent="0.15">
      <c r="A280" s="556">
        <v>41000</v>
      </c>
      <c r="B280" s="26" t="s">
        <v>106</v>
      </c>
      <c r="C280" s="26" t="s">
        <v>675</v>
      </c>
      <c r="D280" s="552" t="s">
        <v>676</v>
      </c>
      <c r="E280" s="37">
        <v>1670</v>
      </c>
      <c r="F280" s="37">
        <v>1670</v>
      </c>
      <c r="G280" s="37">
        <v>417</v>
      </c>
      <c r="H280" s="37">
        <v>400</v>
      </c>
      <c r="I280" s="37">
        <v>0</v>
      </c>
      <c r="J280" s="37">
        <v>0</v>
      </c>
      <c r="K280" s="37">
        <v>282</v>
      </c>
      <c r="L280" s="37">
        <v>0</v>
      </c>
      <c r="M280" s="37">
        <v>63</v>
      </c>
      <c r="N280" s="37">
        <v>70</v>
      </c>
      <c r="O280" s="37">
        <v>415</v>
      </c>
      <c r="P280" s="37">
        <v>100</v>
      </c>
      <c r="Q280" s="37">
        <v>49</v>
      </c>
      <c r="R280" s="37">
        <v>28.674698795180724</v>
      </c>
      <c r="S280" s="37">
        <v>39</v>
      </c>
      <c r="T280" s="37">
        <v>3</v>
      </c>
      <c r="U280" s="37">
        <v>42</v>
      </c>
      <c r="V280" s="552"/>
      <c r="W280" s="552"/>
      <c r="X280" s="552"/>
      <c r="Y280" s="552"/>
    </row>
    <row r="281" spans="1:25" s="512" customFormat="1" ht="11.1" customHeight="1" x14ac:dyDescent="0.15">
      <c r="A281" s="556">
        <v>41000</v>
      </c>
      <c r="B281" s="26" t="s">
        <v>106</v>
      </c>
      <c r="C281" s="26" t="s">
        <v>677</v>
      </c>
      <c r="D281" s="552" t="s">
        <v>678</v>
      </c>
      <c r="E281" s="37">
        <v>23734</v>
      </c>
      <c r="F281" s="37">
        <v>23734</v>
      </c>
      <c r="G281" s="37">
        <v>8433</v>
      </c>
      <c r="H281" s="37">
        <v>7809</v>
      </c>
      <c r="I281" s="37">
        <v>0</v>
      </c>
      <c r="J281" s="37">
        <v>283</v>
      </c>
      <c r="K281" s="37">
        <v>6711</v>
      </c>
      <c r="L281" s="37">
        <v>0</v>
      </c>
      <c r="M281" s="37">
        <v>1380</v>
      </c>
      <c r="N281" s="37">
        <v>4</v>
      </c>
      <c r="O281" s="37">
        <v>8095</v>
      </c>
      <c r="P281" s="37">
        <v>100</v>
      </c>
      <c r="Q281" s="37">
        <v>1176</v>
      </c>
      <c r="R281" s="37">
        <v>17.462401527810933</v>
      </c>
      <c r="S281" s="37">
        <v>937</v>
      </c>
      <c r="T281" s="37">
        <v>33</v>
      </c>
      <c r="U281" s="37">
        <v>970</v>
      </c>
      <c r="V281" s="552"/>
      <c r="W281" s="552"/>
      <c r="X281" s="552"/>
      <c r="Y281" s="552"/>
    </row>
    <row r="282" spans="1:25" s="512" customFormat="1" ht="11.1" customHeight="1" x14ac:dyDescent="0.15">
      <c r="A282" s="556">
        <v>41000</v>
      </c>
      <c r="B282" s="26" t="s">
        <v>106</v>
      </c>
      <c r="C282" s="26" t="s">
        <v>679</v>
      </c>
      <c r="D282" s="552" t="s">
        <v>680</v>
      </c>
      <c r="E282" s="37">
        <v>11921</v>
      </c>
      <c r="F282" s="37">
        <v>11921</v>
      </c>
      <c r="G282" s="37">
        <v>3772</v>
      </c>
      <c r="H282" s="37">
        <v>3661</v>
      </c>
      <c r="I282" s="37">
        <v>0</v>
      </c>
      <c r="J282" s="37">
        <v>0</v>
      </c>
      <c r="K282" s="37">
        <v>2907</v>
      </c>
      <c r="L282" s="37">
        <v>0</v>
      </c>
      <c r="M282" s="37">
        <v>838</v>
      </c>
      <c r="N282" s="37">
        <v>3</v>
      </c>
      <c r="O282" s="37">
        <v>3748</v>
      </c>
      <c r="P282" s="37">
        <v>100</v>
      </c>
      <c r="Q282" s="37">
        <v>704</v>
      </c>
      <c r="R282" s="37">
        <v>18.863393810032019</v>
      </c>
      <c r="S282" s="37">
        <v>405</v>
      </c>
      <c r="T282" s="37">
        <v>19</v>
      </c>
      <c r="U282" s="37">
        <v>424</v>
      </c>
      <c r="V282" s="552"/>
      <c r="W282" s="552"/>
      <c r="X282" s="552"/>
      <c r="Y282" s="552"/>
    </row>
    <row r="283" spans="1:25" s="512" customFormat="1" ht="11.1" customHeight="1" x14ac:dyDescent="0.15">
      <c r="A283" s="556">
        <v>41000</v>
      </c>
      <c r="B283" s="26" t="s">
        <v>106</v>
      </c>
      <c r="C283" s="26" t="s">
        <v>681</v>
      </c>
      <c r="D283" s="552" t="s">
        <v>682</v>
      </c>
      <c r="E283" s="37">
        <v>38684</v>
      </c>
      <c r="F283" s="37">
        <v>38684</v>
      </c>
      <c r="G283" s="37">
        <v>13812</v>
      </c>
      <c r="H283" s="37">
        <v>12021</v>
      </c>
      <c r="I283" s="37">
        <v>0</v>
      </c>
      <c r="J283" s="37">
        <v>509</v>
      </c>
      <c r="K283" s="37">
        <v>10570</v>
      </c>
      <c r="L283" s="37">
        <v>0</v>
      </c>
      <c r="M283" s="37">
        <v>2618</v>
      </c>
      <c r="N283" s="37">
        <v>0</v>
      </c>
      <c r="O283" s="37">
        <v>13188</v>
      </c>
      <c r="P283" s="37">
        <v>100</v>
      </c>
      <c r="Q283" s="37">
        <v>2264</v>
      </c>
      <c r="R283" s="37">
        <v>20.245309191793822</v>
      </c>
      <c r="S283" s="37">
        <v>1477</v>
      </c>
      <c r="T283" s="37">
        <v>57</v>
      </c>
      <c r="U283" s="37">
        <v>1534</v>
      </c>
      <c r="V283" s="552"/>
      <c r="W283" s="552"/>
      <c r="X283" s="552"/>
      <c r="Y283" s="552"/>
    </row>
    <row r="284" spans="1:25" s="512" customFormat="1" ht="11.1" customHeight="1" x14ac:dyDescent="0.15">
      <c r="A284" s="556">
        <v>41000</v>
      </c>
      <c r="B284" s="26" t="s">
        <v>106</v>
      </c>
      <c r="C284" s="26" t="s">
        <v>683</v>
      </c>
      <c r="D284" s="552" t="s">
        <v>577</v>
      </c>
      <c r="E284" s="37">
        <v>9804</v>
      </c>
      <c r="F284" s="37">
        <v>9804</v>
      </c>
      <c r="G284" s="37">
        <v>2801</v>
      </c>
      <c r="H284" s="37">
        <v>2679</v>
      </c>
      <c r="I284" s="37">
        <v>0</v>
      </c>
      <c r="J284" s="37">
        <v>0</v>
      </c>
      <c r="K284" s="37">
        <v>2214</v>
      </c>
      <c r="L284" s="37">
        <v>0</v>
      </c>
      <c r="M284" s="37">
        <v>565</v>
      </c>
      <c r="N284" s="37">
        <v>2</v>
      </c>
      <c r="O284" s="37">
        <v>2781</v>
      </c>
      <c r="P284" s="37">
        <v>100</v>
      </c>
      <c r="Q284" s="37">
        <v>484</v>
      </c>
      <c r="R284" s="37">
        <v>17.475728155339805</v>
      </c>
      <c r="S284" s="37">
        <v>309</v>
      </c>
      <c r="T284" s="37">
        <v>12</v>
      </c>
      <c r="U284" s="37">
        <v>321</v>
      </c>
      <c r="V284" s="552"/>
      <c r="W284" s="552"/>
      <c r="X284" s="552"/>
      <c r="Y284" s="552"/>
    </row>
    <row r="285" spans="1:25" s="512" customFormat="1" ht="11.1" customHeight="1" x14ac:dyDescent="0.15">
      <c r="A285" s="556">
        <v>41000</v>
      </c>
      <c r="B285" s="26" t="s">
        <v>106</v>
      </c>
      <c r="C285" s="26" t="s">
        <v>684</v>
      </c>
      <c r="D285" s="552" t="s">
        <v>685</v>
      </c>
      <c r="E285" s="37">
        <v>15353</v>
      </c>
      <c r="F285" s="37">
        <v>15353</v>
      </c>
      <c r="G285" s="37">
        <v>3835</v>
      </c>
      <c r="H285" s="37">
        <v>3716</v>
      </c>
      <c r="I285" s="37">
        <v>0</v>
      </c>
      <c r="J285" s="37">
        <v>0</v>
      </c>
      <c r="K285" s="37">
        <v>2750</v>
      </c>
      <c r="L285" s="37">
        <v>0</v>
      </c>
      <c r="M285" s="37">
        <v>539</v>
      </c>
      <c r="N285" s="37">
        <v>523</v>
      </c>
      <c r="O285" s="37">
        <v>3812</v>
      </c>
      <c r="P285" s="37">
        <v>100</v>
      </c>
      <c r="Q285" s="37">
        <v>399</v>
      </c>
      <c r="R285" s="37">
        <v>24.186778593913953</v>
      </c>
      <c r="S285" s="37">
        <v>383</v>
      </c>
      <c r="T285" s="37">
        <v>20</v>
      </c>
      <c r="U285" s="37">
        <v>403</v>
      </c>
      <c r="V285" s="552"/>
      <c r="W285" s="552"/>
      <c r="X285" s="552"/>
      <c r="Y285" s="552"/>
    </row>
    <row r="286" spans="1:25" s="512" customFormat="1" ht="11.1" customHeight="1" x14ac:dyDescent="0.15">
      <c r="A286" s="558">
        <v>41365</v>
      </c>
      <c r="B286" s="559" t="s">
        <v>107</v>
      </c>
      <c r="C286" s="559" t="s">
        <v>671</v>
      </c>
      <c r="D286" s="560" t="s">
        <v>246</v>
      </c>
      <c r="E286" s="561">
        <v>36708</v>
      </c>
      <c r="F286" s="561">
        <v>36708</v>
      </c>
      <c r="G286" s="561">
        <v>12608</v>
      </c>
      <c r="H286" s="561">
        <v>11634</v>
      </c>
      <c r="I286" s="561">
        <v>0</v>
      </c>
      <c r="J286" s="561">
        <v>470</v>
      </c>
      <c r="K286" s="561">
        <v>9504</v>
      </c>
      <c r="L286" s="561">
        <v>0</v>
      </c>
      <c r="M286" s="561">
        <v>2623</v>
      </c>
      <c r="N286" s="561">
        <v>11</v>
      </c>
      <c r="O286" s="561">
        <v>12138</v>
      </c>
      <c r="P286" s="561">
        <v>100</v>
      </c>
      <c r="Q286" s="561">
        <v>0</v>
      </c>
      <c r="R286" s="561">
        <v>3.8150380710659895</v>
      </c>
      <c r="S286" s="561">
        <v>1251</v>
      </c>
      <c r="T286" s="561">
        <v>41</v>
      </c>
      <c r="U286" s="561">
        <v>1292</v>
      </c>
      <c r="V286" s="560"/>
      <c r="W286" s="560"/>
      <c r="X286" s="560"/>
      <c r="Y286" s="560"/>
    </row>
    <row r="287" spans="1:25" s="512" customFormat="1" ht="11.1" customHeight="1" x14ac:dyDescent="0.15">
      <c r="A287" s="556">
        <v>41365</v>
      </c>
      <c r="B287" s="26" t="s">
        <v>107</v>
      </c>
      <c r="C287" s="26" t="s">
        <v>672</v>
      </c>
      <c r="D287" s="552" t="s">
        <v>456</v>
      </c>
      <c r="E287" s="37">
        <v>30976</v>
      </c>
      <c r="F287" s="37">
        <v>30976</v>
      </c>
      <c r="G287" s="37">
        <v>9894</v>
      </c>
      <c r="H287" s="37">
        <v>9275</v>
      </c>
      <c r="I287" s="37">
        <v>0</v>
      </c>
      <c r="J287" s="37">
        <v>0</v>
      </c>
      <c r="K287" s="37">
        <v>7678</v>
      </c>
      <c r="L287" s="37">
        <v>0</v>
      </c>
      <c r="M287" s="37">
        <v>2200</v>
      </c>
      <c r="N287" s="37">
        <v>10</v>
      </c>
      <c r="O287" s="37">
        <v>9888</v>
      </c>
      <c r="P287" s="37">
        <v>100</v>
      </c>
      <c r="Q287" s="37">
        <v>0</v>
      </c>
      <c r="R287" s="37">
        <v>0.10113268608414239</v>
      </c>
      <c r="S287" s="37">
        <v>1011</v>
      </c>
      <c r="T287" s="37">
        <v>30</v>
      </c>
      <c r="U287" s="37">
        <v>1041</v>
      </c>
      <c r="V287" s="552"/>
      <c r="W287" s="552"/>
      <c r="X287" s="552"/>
      <c r="Y287" s="552"/>
    </row>
    <row r="288" spans="1:25" s="512" customFormat="1" ht="11.1" customHeight="1" x14ac:dyDescent="0.15">
      <c r="A288" s="556">
        <v>41365</v>
      </c>
      <c r="B288" s="26" t="s">
        <v>107</v>
      </c>
      <c r="C288" s="26" t="s">
        <v>673</v>
      </c>
      <c r="D288" s="552" t="s">
        <v>674</v>
      </c>
      <c r="E288" s="37">
        <v>12948</v>
      </c>
      <c r="F288" s="37">
        <v>12948</v>
      </c>
      <c r="G288" s="37">
        <v>4301</v>
      </c>
      <c r="H288" s="37">
        <v>3937</v>
      </c>
      <c r="I288" s="37">
        <v>0</v>
      </c>
      <c r="J288" s="37">
        <v>219</v>
      </c>
      <c r="K288" s="37">
        <v>3285</v>
      </c>
      <c r="L288" s="37">
        <v>0</v>
      </c>
      <c r="M288" s="37">
        <v>536</v>
      </c>
      <c r="N288" s="37">
        <v>262</v>
      </c>
      <c r="O288" s="37">
        <v>4083</v>
      </c>
      <c r="P288" s="37">
        <v>100</v>
      </c>
      <c r="Q288" s="37">
        <v>0</v>
      </c>
      <c r="R288" s="37">
        <v>11.180846118084611</v>
      </c>
      <c r="S288" s="37">
        <v>432</v>
      </c>
      <c r="T288" s="37">
        <v>15</v>
      </c>
      <c r="U288" s="37">
        <v>447</v>
      </c>
      <c r="V288" s="552"/>
      <c r="W288" s="552"/>
      <c r="X288" s="552"/>
      <c r="Y288" s="552"/>
    </row>
    <row r="289" spans="1:25" s="512" customFormat="1" ht="11.1" customHeight="1" x14ac:dyDescent="0.15">
      <c r="A289" s="556">
        <v>41365</v>
      </c>
      <c r="B289" s="26" t="s">
        <v>107</v>
      </c>
      <c r="C289" s="26" t="s">
        <v>675</v>
      </c>
      <c r="D289" s="552" t="s">
        <v>676</v>
      </c>
      <c r="E289" s="37">
        <v>1588</v>
      </c>
      <c r="F289" s="37">
        <v>1588</v>
      </c>
      <c r="G289" s="37">
        <v>418</v>
      </c>
      <c r="H289" s="37">
        <v>405</v>
      </c>
      <c r="I289" s="37">
        <v>0</v>
      </c>
      <c r="J289" s="37">
        <v>0</v>
      </c>
      <c r="K289" s="37">
        <v>320</v>
      </c>
      <c r="L289" s="37">
        <v>0</v>
      </c>
      <c r="M289" s="37">
        <v>55</v>
      </c>
      <c r="N289" s="37">
        <v>43</v>
      </c>
      <c r="O289" s="37">
        <v>418</v>
      </c>
      <c r="P289" s="37">
        <v>100</v>
      </c>
      <c r="Q289" s="37">
        <v>0</v>
      </c>
      <c r="R289" s="37">
        <v>10.287081339712918</v>
      </c>
      <c r="S289" s="37">
        <v>42</v>
      </c>
      <c r="T289" s="37">
        <v>2</v>
      </c>
      <c r="U289" s="37">
        <v>44</v>
      </c>
      <c r="V289" s="552"/>
      <c r="W289" s="552"/>
      <c r="X289" s="552"/>
      <c r="Y289" s="552"/>
    </row>
    <row r="290" spans="1:25" s="512" customFormat="1" ht="11.1" customHeight="1" x14ac:dyDescent="0.15">
      <c r="A290" s="556">
        <v>41365</v>
      </c>
      <c r="B290" s="26" t="s">
        <v>107</v>
      </c>
      <c r="C290" s="26" t="s">
        <v>677</v>
      </c>
      <c r="D290" s="552" t="s">
        <v>678</v>
      </c>
      <c r="E290" s="37">
        <v>23724</v>
      </c>
      <c r="F290" s="37">
        <v>23724</v>
      </c>
      <c r="G290" s="37">
        <v>8127</v>
      </c>
      <c r="H290" s="37">
        <v>7519</v>
      </c>
      <c r="I290" s="37">
        <v>0</v>
      </c>
      <c r="J290" s="37">
        <v>283</v>
      </c>
      <c r="K290" s="37">
        <v>6430</v>
      </c>
      <c r="L290" s="37">
        <v>0</v>
      </c>
      <c r="M290" s="37">
        <v>1410</v>
      </c>
      <c r="N290" s="37">
        <v>6</v>
      </c>
      <c r="O290" s="37">
        <v>7846</v>
      </c>
      <c r="P290" s="37">
        <v>100</v>
      </c>
      <c r="Q290" s="37">
        <v>0</v>
      </c>
      <c r="R290" s="37">
        <v>3.5551728379874525</v>
      </c>
      <c r="S290" s="37">
        <v>876</v>
      </c>
      <c r="T290" s="37">
        <v>25</v>
      </c>
      <c r="U290" s="37">
        <v>901</v>
      </c>
      <c r="V290" s="552"/>
      <c r="W290" s="552"/>
      <c r="X290" s="552"/>
      <c r="Y290" s="552"/>
    </row>
    <row r="291" spans="1:25" s="512" customFormat="1" ht="11.1" customHeight="1" x14ac:dyDescent="0.15">
      <c r="A291" s="556">
        <v>41365</v>
      </c>
      <c r="B291" s="26" t="s">
        <v>107</v>
      </c>
      <c r="C291" s="26" t="s">
        <v>679</v>
      </c>
      <c r="D291" s="552" t="s">
        <v>680</v>
      </c>
      <c r="E291" s="37">
        <v>11749</v>
      </c>
      <c r="F291" s="37">
        <v>11749</v>
      </c>
      <c r="G291" s="37">
        <v>3557</v>
      </c>
      <c r="H291" s="37">
        <v>3435</v>
      </c>
      <c r="I291" s="37">
        <v>0</v>
      </c>
      <c r="J291" s="37">
        <v>0</v>
      </c>
      <c r="K291" s="37">
        <v>2786</v>
      </c>
      <c r="L291" s="37">
        <v>0</v>
      </c>
      <c r="M291" s="37">
        <v>765</v>
      </c>
      <c r="N291" s="37">
        <v>4</v>
      </c>
      <c r="O291" s="37">
        <v>3555</v>
      </c>
      <c r="P291" s="37">
        <v>100</v>
      </c>
      <c r="Q291" s="37">
        <v>0</v>
      </c>
      <c r="R291" s="37">
        <v>0.11251758087201125</v>
      </c>
      <c r="S291" s="37">
        <v>367</v>
      </c>
      <c r="T291" s="37">
        <v>14</v>
      </c>
      <c r="U291" s="37">
        <v>381</v>
      </c>
      <c r="V291" s="552"/>
      <c r="W291" s="552"/>
      <c r="X291" s="552"/>
      <c r="Y291" s="552"/>
    </row>
    <row r="292" spans="1:25" s="512" customFormat="1" ht="11.1" customHeight="1" x14ac:dyDescent="0.15">
      <c r="A292" s="556">
        <v>41365</v>
      </c>
      <c r="B292" s="26" t="s">
        <v>107</v>
      </c>
      <c r="C292" s="26" t="s">
        <v>681</v>
      </c>
      <c r="D292" s="552" t="s">
        <v>682</v>
      </c>
      <c r="E292" s="37">
        <v>38658</v>
      </c>
      <c r="F292" s="37">
        <v>38658</v>
      </c>
      <c r="G292" s="37">
        <v>13541</v>
      </c>
      <c r="H292" s="37">
        <v>11688</v>
      </c>
      <c r="I292" s="37">
        <v>0</v>
      </c>
      <c r="J292" s="37">
        <v>512</v>
      </c>
      <c r="K292" s="37">
        <v>10435</v>
      </c>
      <c r="L292" s="37">
        <v>0</v>
      </c>
      <c r="M292" s="37">
        <v>2585</v>
      </c>
      <c r="N292" s="37">
        <v>11</v>
      </c>
      <c r="O292" s="37">
        <v>13031</v>
      </c>
      <c r="P292" s="37">
        <v>100</v>
      </c>
      <c r="Q292" s="37">
        <v>0</v>
      </c>
      <c r="R292" s="37">
        <v>3.8617736099830173</v>
      </c>
      <c r="S292" s="37">
        <v>1422</v>
      </c>
      <c r="T292" s="37">
        <v>44</v>
      </c>
      <c r="U292" s="37">
        <v>1466</v>
      </c>
      <c r="V292" s="552"/>
      <c r="W292" s="552"/>
      <c r="X292" s="552"/>
      <c r="Y292" s="552"/>
    </row>
    <row r="293" spans="1:25" s="512" customFormat="1" ht="11.1" customHeight="1" x14ac:dyDescent="0.15">
      <c r="A293" s="556">
        <v>41365</v>
      </c>
      <c r="B293" s="26" t="s">
        <v>107</v>
      </c>
      <c r="C293" s="26" t="s">
        <v>683</v>
      </c>
      <c r="D293" s="552" t="s">
        <v>577</v>
      </c>
      <c r="E293" s="37">
        <v>9636</v>
      </c>
      <c r="F293" s="37">
        <v>9636</v>
      </c>
      <c r="G293" s="37">
        <v>2621</v>
      </c>
      <c r="H293" s="37">
        <v>2521</v>
      </c>
      <c r="I293" s="37">
        <v>0</v>
      </c>
      <c r="J293" s="37">
        <v>0</v>
      </c>
      <c r="K293" s="37">
        <v>2120</v>
      </c>
      <c r="L293" s="37">
        <v>0</v>
      </c>
      <c r="M293" s="37">
        <v>497</v>
      </c>
      <c r="N293" s="37">
        <v>2</v>
      </c>
      <c r="O293" s="37">
        <v>2619</v>
      </c>
      <c r="P293" s="37">
        <v>100</v>
      </c>
      <c r="Q293" s="37">
        <v>0</v>
      </c>
      <c r="R293" s="37">
        <v>7.6365024818633068E-2</v>
      </c>
      <c r="S293" s="37">
        <v>279</v>
      </c>
      <c r="T293" s="37">
        <v>7</v>
      </c>
      <c r="U293" s="37">
        <v>286</v>
      </c>
      <c r="V293" s="552"/>
      <c r="W293" s="552"/>
      <c r="X293" s="552"/>
      <c r="Y293" s="552"/>
    </row>
    <row r="294" spans="1:25" s="512" customFormat="1" ht="11.1" customHeight="1" x14ac:dyDescent="0.15">
      <c r="A294" s="556">
        <v>41365</v>
      </c>
      <c r="B294" s="26" t="s">
        <v>107</v>
      </c>
      <c r="C294" s="26" t="s">
        <v>684</v>
      </c>
      <c r="D294" s="552" t="s">
        <v>685</v>
      </c>
      <c r="E294" s="37">
        <v>15147</v>
      </c>
      <c r="F294" s="37">
        <v>15147</v>
      </c>
      <c r="G294" s="37">
        <v>3695</v>
      </c>
      <c r="H294" s="37">
        <v>3529</v>
      </c>
      <c r="I294" s="37">
        <v>0</v>
      </c>
      <c r="J294" s="37">
        <v>0</v>
      </c>
      <c r="K294" s="37">
        <v>2668</v>
      </c>
      <c r="L294" s="37">
        <v>0</v>
      </c>
      <c r="M294" s="37">
        <v>516</v>
      </c>
      <c r="N294" s="37">
        <v>509</v>
      </c>
      <c r="O294" s="37">
        <v>3693</v>
      </c>
      <c r="P294" s="37">
        <v>100</v>
      </c>
      <c r="Q294" s="37">
        <v>0</v>
      </c>
      <c r="R294" s="37">
        <v>13.782832385594368</v>
      </c>
      <c r="S294" s="37">
        <v>351</v>
      </c>
      <c r="T294" s="37">
        <v>14</v>
      </c>
      <c r="U294" s="37">
        <v>365</v>
      </c>
      <c r="V294" s="552"/>
      <c r="W294" s="552"/>
      <c r="X294" s="552"/>
      <c r="Y294" s="552"/>
    </row>
    <row r="295" spans="1:25" s="512" customFormat="1" ht="11.1" customHeight="1" x14ac:dyDescent="0.15">
      <c r="A295" s="558">
        <v>41730</v>
      </c>
      <c r="B295" s="559" t="s">
        <v>34</v>
      </c>
      <c r="C295" s="559" t="s">
        <v>671</v>
      </c>
      <c r="D295" s="560" t="s">
        <v>246</v>
      </c>
      <c r="E295" s="561">
        <v>36199</v>
      </c>
      <c r="F295" s="561">
        <v>36199</v>
      </c>
      <c r="G295" s="561">
        <v>12323</v>
      </c>
      <c r="H295" s="561">
        <v>11569</v>
      </c>
      <c r="I295" s="561">
        <v>0</v>
      </c>
      <c r="J295" s="561">
        <v>355</v>
      </c>
      <c r="K295" s="561">
        <v>9389</v>
      </c>
      <c r="L295" s="561">
        <v>0</v>
      </c>
      <c r="M295" s="561">
        <v>2578</v>
      </c>
      <c r="N295" s="561">
        <v>9</v>
      </c>
      <c r="O295" s="561">
        <v>11976</v>
      </c>
      <c r="P295" s="561">
        <v>100</v>
      </c>
      <c r="Q295" s="561">
        <v>0</v>
      </c>
      <c r="R295" s="561">
        <v>2.9519098207769039</v>
      </c>
      <c r="S295" s="561">
        <v>1531</v>
      </c>
      <c r="T295" s="561">
        <v>38</v>
      </c>
      <c r="U295" s="561">
        <v>1569</v>
      </c>
      <c r="V295" s="560"/>
      <c r="W295" s="560"/>
      <c r="X295" s="560"/>
      <c r="Y295" s="560"/>
    </row>
    <row r="296" spans="1:25" s="512" customFormat="1" ht="11.1" customHeight="1" x14ac:dyDescent="0.15">
      <c r="A296" s="556">
        <v>41730</v>
      </c>
      <c r="B296" s="26" t="s">
        <v>34</v>
      </c>
      <c r="C296" s="26" t="s">
        <v>672</v>
      </c>
      <c r="D296" s="552" t="s">
        <v>456</v>
      </c>
      <c r="E296" s="37">
        <v>30847</v>
      </c>
      <c r="F296" s="37">
        <v>30847</v>
      </c>
      <c r="G296" s="37">
        <v>9805</v>
      </c>
      <c r="H296" s="37">
        <v>9276</v>
      </c>
      <c r="I296" s="37">
        <v>0</v>
      </c>
      <c r="J296" s="37">
        <v>0</v>
      </c>
      <c r="K296" s="37">
        <v>7652</v>
      </c>
      <c r="L296" s="37">
        <v>0</v>
      </c>
      <c r="M296" s="37">
        <v>2248</v>
      </c>
      <c r="N296" s="37">
        <v>10</v>
      </c>
      <c r="O296" s="37">
        <v>9910</v>
      </c>
      <c r="P296" s="37">
        <v>100</v>
      </c>
      <c r="Q296" s="37">
        <v>0</v>
      </c>
      <c r="R296" s="37">
        <v>0.10090817356205853</v>
      </c>
      <c r="S296" s="37">
        <v>1248</v>
      </c>
      <c r="T296" s="37">
        <v>28</v>
      </c>
      <c r="U296" s="37">
        <v>1276</v>
      </c>
      <c r="V296" s="552"/>
      <c r="W296" s="552"/>
      <c r="X296" s="552"/>
      <c r="Y296" s="552"/>
    </row>
    <row r="297" spans="1:25" s="512" customFormat="1" ht="11.1" customHeight="1" x14ac:dyDescent="0.15">
      <c r="A297" s="556">
        <v>41730</v>
      </c>
      <c r="B297" s="26" t="s">
        <v>34</v>
      </c>
      <c r="C297" s="26" t="s">
        <v>673</v>
      </c>
      <c r="D297" s="552" t="s">
        <v>674</v>
      </c>
      <c r="E297" s="37">
        <v>12791</v>
      </c>
      <c r="F297" s="37">
        <v>12791</v>
      </c>
      <c r="G297" s="37">
        <v>4265</v>
      </c>
      <c r="H297" s="37">
        <v>3907</v>
      </c>
      <c r="I297" s="37">
        <v>0</v>
      </c>
      <c r="J297" s="37">
        <v>211</v>
      </c>
      <c r="K297" s="37">
        <v>3290</v>
      </c>
      <c r="L297" s="37">
        <v>0</v>
      </c>
      <c r="M297" s="37">
        <v>522</v>
      </c>
      <c r="N297" s="37">
        <v>248</v>
      </c>
      <c r="O297" s="37">
        <v>4060</v>
      </c>
      <c r="P297" s="37">
        <v>100</v>
      </c>
      <c r="Q297" s="37">
        <v>0</v>
      </c>
      <c r="R297" s="37">
        <v>10.746897682041677</v>
      </c>
      <c r="S297" s="37">
        <v>537</v>
      </c>
      <c r="T297" s="37">
        <v>14</v>
      </c>
      <c r="U297" s="37">
        <v>551</v>
      </c>
      <c r="V297" s="552"/>
      <c r="W297" s="552"/>
      <c r="X297" s="552"/>
      <c r="Y297" s="552"/>
    </row>
    <row r="298" spans="1:25" s="512" customFormat="1" ht="11.1" customHeight="1" x14ac:dyDescent="0.15">
      <c r="A298" s="556">
        <v>41730</v>
      </c>
      <c r="B298" s="26" t="s">
        <v>34</v>
      </c>
      <c r="C298" s="26" t="s">
        <v>675</v>
      </c>
      <c r="D298" s="552" t="s">
        <v>676</v>
      </c>
      <c r="E298" s="37">
        <v>1589</v>
      </c>
      <c r="F298" s="37">
        <v>1589</v>
      </c>
      <c r="G298" s="37">
        <v>315</v>
      </c>
      <c r="H298" s="37">
        <v>305</v>
      </c>
      <c r="I298" s="37">
        <v>0</v>
      </c>
      <c r="J298" s="37">
        <v>0</v>
      </c>
      <c r="K298" s="37">
        <v>228</v>
      </c>
      <c r="L298" s="37">
        <v>0</v>
      </c>
      <c r="M298" s="37">
        <v>51</v>
      </c>
      <c r="N298" s="37">
        <v>40</v>
      </c>
      <c r="O298" s="37">
        <v>319</v>
      </c>
      <c r="P298" s="37">
        <v>100</v>
      </c>
      <c r="Q298" s="37">
        <v>0</v>
      </c>
      <c r="R298" s="37">
        <v>12.539184952978054</v>
      </c>
      <c r="S298" s="37">
        <v>37</v>
      </c>
      <c r="T298" s="37">
        <v>2</v>
      </c>
      <c r="U298" s="37">
        <v>39</v>
      </c>
      <c r="V298" s="552"/>
      <c r="W298" s="552"/>
      <c r="X298" s="552"/>
      <c r="Y298" s="552"/>
    </row>
    <row r="299" spans="1:25" s="512" customFormat="1" ht="11.1" customHeight="1" x14ac:dyDescent="0.15">
      <c r="A299" s="556">
        <v>41730</v>
      </c>
      <c r="B299" s="26" t="s">
        <v>34</v>
      </c>
      <c r="C299" s="26" t="s">
        <v>677</v>
      </c>
      <c r="D299" s="552" t="s">
        <v>678</v>
      </c>
      <c r="E299" s="37">
        <v>23796</v>
      </c>
      <c r="F299" s="37">
        <v>23796</v>
      </c>
      <c r="G299" s="37">
        <v>8152</v>
      </c>
      <c r="H299" s="37">
        <v>7589</v>
      </c>
      <c r="I299" s="37">
        <v>0</v>
      </c>
      <c r="J299" s="37">
        <v>287</v>
      </c>
      <c r="K299" s="37">
        <v>6524</v>
      </c>
      <c r="L299" s="37">
        <v>0</v>
      </c>
      <c r="M299" s="37">
        <v>1339</v>
      </c>
      <c r="N299" s="37">
        <v>6</v>
      </c>
      <c r="O299" s="37">
        <v>7869</v>
      </c>
      <c r="P299" s="37">
        <v>100</v>
      </c>
      <c r="Q299" s="37">
        <v>0</v>
      </c>
      <c r="R299" s="37">
        <v>3.592447278077489</v>
      </c>
      <c r="S299" s="37">
        <v>863</v>
      </c>
      <c r="T299" s="37">
        <v>24</v>
      </c>
      <c r="U299" s="37">
        <v>887</v>
      </c>
      <c r="V299" s="552"/>
      <c r="W299" s="552"/>
      <c r="X299" s="552"/>
      <c r="Y299" s="552"/>
    </row>
    <row r="300" spans="1:25" s="512" customFormat="1" ht="11.1" customHeight="1" x14ac:dyDescent="0.15">
      <c r="A300" s="556">
        <v>41730</v>
      </c>
      <c r="B300" s="26" t="s">
        <v>34</v>
      </c>
      <c r="C300" s="26" t="s">
        <v>679</v>
      </c>
      <c r="D300" s="552" t="s">
        <v>680</v>
      </c>
      <c r="E300" s="37">
        <v>11674</v>
      </c>
      <c r="F300" s="37">
        <v>11674</v>
      </c>
      <c r="G300" s="37">
        <v>3804</v>
      </c>
      <c r="H300" s="37">
        <v>3683</v>
      </c>
      <c r="I300" s="37">
        <v>0</v>
      </c>
      <c r="J300" s="37">
        <v>0</v>
      </c>
      <c r="K300" s="37">
        <v>2823</v>
      </c>
      <c r="L300" s="37">
        <v>0</v>
      </c>
      <c r="M300" s="37">
        <v>980</v>
      </c>
      <c r="N300" s="37">
        <v>3</v>
      </c>
      <c r="O300" s="37">
        <v>3806</v>
      </c>
      <c r="P300" s="37">
        <v>100</v>
      </c>
      <c r="Q300" s="37">
        <v>0</v>
      </c>
      <c r="R300" s="37">
        <v>7.8822911192853395E-2</v>
      </c>
      <c r="S300" s="37">
        <v>460</v>
      </c>
      <c r="T300" s="37">
        <v>12</v>
      </c>
      <c r="U300" s="37">
        <v>472</v>
      </c>
      <c r="V300" s="552"/>
      <c r="W300" s="552"/>
      <c r="X300" s="552"/>
      <c r="Y300" s="552"/>
    </row>
    <row r="301" spans="1:25" s="512" customFormat="1" ht="11.1" customHeight="1" x14ac:dyDescent="0.15">
      <c r="A301" s="556">
        <v>41730</v>
      </c>
      <c r="B301" s="26" t="s">
        <v>34</v>
      </c>
      <c r="C301" s="26" t="s">
        <v>681</v>
      </c>
      <c r="D301" s="552" t="s">
        <v>682</v>
      </c>
      <c r="E301" s="37">
        <v>38455</v>
      </c>
      <c r="F301" s="37">
        <v>38455</v>
      </c>
      <c r="G301" s="37">
        <v>13305</v>
      </c>
      <c r="H301" s="37">
        <v>11559</v>
      </c>
      <c r="I301" s="37">
        <v>0</v>
      </c>
      <c r="J301" s="37">
        <v>549</v>
      </c>
      <c r="K301" s="37">
        <v>10250</v>
      </c>
      <c r="L301" s="37">
        <v>0</v>
      </c>
      <c r="M301" s="37">
        <v>2509</v>
      </c>
      <c r="N301" s="37">
        <v>10</v>
      </c>
      <c r="O301" s="37">
        <v>12769</v>
      </c>
      <c r="P301" s="37">
        <v>100</v>
      </c>
      <c r="Q301" s="37">
        <v>0</v>
      </c>
      <c r="R301" s="37">
        <v>4.1973269259648598</v>
      </c>
      <c r="S301" s="37">
        <v>1356</v>
      </c>
      <c r="T301" s="37">
        <v>41</v>
      </c>
      <c r="U301" s="37">
        <v>1397</v>
      </c>
      <c r="V301" s="552"/>
      <c r="W301" s="552"/>
      <c r="X301" s="552"/>
      <c r="Y301" s="552"/>
    </row>
    <row r="302" spans="1:25" s="512" customFormat="1" ht="11.1" customHeight="1" x14ac:dyDescent="0.15">
      <c r="A302" s="556">
        <v>41730</v>
      </c>
      <c r="B302" s="26" t="s">
        <v>34</v>
      </c>
      <c r="C302" s="26" t="s">
        <v>683</v>
      </c>
      <c r="D302" s="552" t="s">
        <v>577</v>
      </c>
      <c r="E302" s="37">
        <v>9454</v>
      </c>
      <c r="F302" s="37">
        <v>9454</v>
      </c>
      <c r="G302" s="37">
        <v>2643</v>
      </c>
      <c r="H302" s="37">
        <v>2552</v>
      </c>
      <c r="I302" s="37">
        <v>0</v>
      </c>
      <c r="J302" s="37">
        <v>0</v>
      </c>
      <c r="K302" s="37">
        <v>2129</v>
      </c>
      <c r="L302" s="37">
        <v>0</v>
      </c>
      <c r="M302" s="37">
        <v>512</v>
      </c>
      <c r="N302" s="37">
        <v>2</v>
      </c>
      <c r="O302" s="37">
        <v>2643</v>
      </c>
      <c r="P302" s="37">
        <v>100</v>
      </c>
      <c r="Q302" s="37">
        <v>0</v>
      </c>
      <c r="R302" s="37">
        <v>7.5671585319712451E-2</v>
      </c>
      <c r="S302" s="37">
        <v>347</v>
      </c>
      <c r="T302" s="37">
        <v>5</v>
      </c>
      <c r="U302" s="37">
        <v>352</v>
      </c>
      <c r="V302" s="552"/>
      <c r="W302" s="552"/>
      <c r="X302" s="552"/>
      <c r="Y302" s="552"/>
    </row>
    <row r="303" spans="1:25" s="512" customFormat="1" ht="11.1" customHeight="1" x14ac:dyDescent="0.15">
      <c r="A303" s="556">
        <v>41730</v>
      </c>
      <c r="B303" s="26" t="s">
        <v>34</v>
      </c>
      <c r="C303" s="26" t="s">
        <v>684</v>
      </c>
      <c r="D303" s="552" t="s">
        <v>685</v>
      </c>
      <c r="E303" s="37">
        <v>14873</v>
      </c>
      <c r="F303" s="37">
        <v>14873</v>
      </c>
      <c r="G303" s="37">
        <v>3734</v>
      </c>
      <c r="H303" s="37">
        <v>3601</v>
      </c>
      <c r="I303" s="37">
        <v>0</v>
      </c>
      <c r="J303" s="37">
        <v>0</v>
      </c>
      <c r="K303" s="37">
        <v>2740</v>
      </c>
      <c r="L303" s="37">
        <v>0</v>
      </c>
      <c r="M303" s="37">
        <v>504</v>
      </c>
      <c r="N303" s="37">
        <v>489</v>
      </c>
      <c r="O303" s="37">
        <v>3733</v>
      </c>
      <c r="P303" s="37">
        <v>100</v>
      </c>
      <c r="Q303" s="37">
        <v>0</v>
      </c>
      <c r="R303" s="37">
        <v>13.099383873560139</v>
      </c>
      <c r="S303" s="37">
        <v>446</v>
      </c>
      <c r="T303" s="37">
        <v>13</v>
      </c>
      <c r="U303" s="37">
        <v>459</v>
      </c>
      <c r="V303" s="552"/>
      <c r="W303" s="552"/>
      <c r="X303" s="552"/>
      <c r="Y303" s="552"/>
    </row>
    <row r="304" spans="1:25" s="512" customFormat="1" ht="11.1" customHeight="1" x14ac:dyDescent="0.15">
      <c r="A304" s="558">
        <v>42095</v>
      </c>
      <c r="B304" s="559" t="s">
        <v>35</v>
      </c>
      <c r="C304" s="559" t="s">
        <v>671</v>
      </c>
      <c r="D304" s="560" t="s">
        <v>246</v>
      </c>
      <c r="E304" s="561">
        <v>35701</v>
      </c>
      <c r="F304" s="561">
        <v>35701</v>
      </c>
      <c r="G304" s="561">
        <v>12053</v>
      </c>
      <c r="H304" s="561">
        <v>11351</v>
      </c>
      <c r="I304" s="561">
        <v>0</v>
      </c>
      <c r="J304" s="561">
        <v>361</v>
      </c>
      <c r="K304" s="561">
        <v>9382</v>
      </c>
      <c r="L304" s="561">
        <v>0</v>
      </c>
      <c r="M304" s="561">
        <v>2286</v>
      </c>
      <c r="N304" s="561">
        <v>11</v>
      </c>
      <c r="O304" s="561">
        <v>11679</v>
      </c>
      <c r="P304" s="561">
        <v>100</v>
      </c>
      <c r="Q304" s="561">
        <v>0</v>
      </c>
      <c r="R304" s="561">
        <v>3.0897009966777409</v>
      </c>
      <c r="S304" s="561">
        <v>1463</v>
      </c>
      <c r="T304" s="561">
        <v>44</v>
      </c>
      <c r="U304" s="561">
        <v>1507</v>
      </c>
      <c r="V304" s="560"/>
      <c r="W304" s="560"/>
      <c r="X304" s="560"/>
      <c r="Y304" s="560">
        <v>341</v>
      </c>
    </row>
    <row r="305" spans="1:25" s="512" customFormat="1" ht="11.1" customHeight="1" x14ac:dyDescent="0.15">
      <c r="A305" s="556">
        <v>42095</v>
      </c>
      <c r="B305" s="26" t="s">
        <v>35</v>
      </c>
      <c r="C305" s="26" t="s">
        <v>672</v>
      </c>
      <c r="D305" s="552" t="s">
        <v>456</v>
      </c>
      <c r="E305" s="37">
        <v>30318</v>
      </c>
      <c r="F305" s="37">
        <v>30318</v>
      </c>
      <c r="G305" s="37">
        <v>9849</v>
      </c>
      <c r="H305" s="37">
        <v>9324</v>
      </c>
      <c r="I305" s="37">
        <v>0</v>
      </c>
      <c r="J305" s="37">
        <v>0</v>
      </c>
      <c r="K305" s="37">
        <v>7752</v>
      </c>
      <c r="L305" s="37">
        <v>0</v>
      </c>
      <c r="M305" s="37">
        <v>2080</v>
      </c>
      <c r="N305" s="37">
        <v>10</v>
      </c>
      <c r="O305" s="37">
        <v>9842</v>
      </c>
      <c r="P305" s="37">
        <v>100</v>
      </c>
      <c r="Q305" s="37">
        <v>0</v>
      </c>
      <c r="R305" s="37">
        <v>0.1016053647632595</v>
      </c>
      <c r="S305" s="37">
        <v>1209</v>
      </c>
      <c r="T305" s="37">
        <v>33</v>
      </c>
      <c r="U305" s="37">
        <v>1242</v>
      </c>
      <c r="V305" s="552"/>
      <c r="W305" s="552"/>
      <c r="X305" s="552"/>
      <c r="Y305" s="552">
        <v>525</v>
      </c>
    </row>
    <row r="306" spans="1:25" s="512" customFormat="1" ht="11.1" customHeight="1" x14ac:dyDescent="0.15">
      <c r="A306" s="556">
        <v>42095</v>
      </c>
      <c r="B306" s="26" t="s">
        <v>35</v>
      </c>
      <c r="C306" s="26" t="s">
        <v>673</v>
      </c>
      <c r="D306" s="552" t="s">
        <v>674</v>
      </c>
      <c r="E306" s="37">
        <v>12646</v>
      </c>
      <c r="F306" s="37">
        <v>12646</v>
      </c>
      <c r="G306" s="37">
        <v>4218</v>
      </c>
      <c r="H306" s="37">
        <v>3856</v>
      </c>
      <c r="I306" s="37">
        <v>0</v>
      </c>
      <c r="J306" s="37">
        <v>201</v>
      </c>
      <c r="K306" s="37">
        <v>3262</v>
      </c>
      <c r="L306" s="37">
        <v>0</v>
      </c>
      <c r="M306" s="37">
        <v>512</v>
      </c>
      <c r="N306" s="37">
        <v>240</v>
      </c>
      <c r="O306" s="37">
        <v>4014</v>
      </c>
      <c r="P306" s="37">
        <v>100</v>
      </c>
      <c r="Q306" s="37">
        <v>0</v>
      </c>
      <c r="R306" s="37">
        <v>10.462633451957295</v>
      </c>
      <c r="S306" s="37">
        <v>509</v>
      </c>
      <c r="T306" s="37">
        <v>15</v>
      </c>
      <c r="U306" s="37">
        <v>524</v>
      </c>
      <c r="V306" s="552"/>
      <c r="W306" s="552"/>
      <c r="X306" s="552"/>
      <c r="Y306" s="552">
        <v>161</v>
      </c>
    </row>
    <row r="307" spans="1:25" s="512" customFormat="1" ht="11.1" customHeight="1" x14ac:dyDescent="0.15">
      <c r="A307" s="556">
        <v>42095</v>
      </c>
      <c r="B307" s="26" t="s">
        <v>35</v>
      </c>
      <c r="C307" s="26" t="s">
        <v>675</v>
      </c>
      <c r="D307" s="552" t="s">
        <v>676</v>
      </c>
      <c r="E307" s="37">
        <v>1533</v>
      </c>
      <c r="F307" s="37">
        <v>1533</v>
      </c>
      <c r="G307" s="37">
        <v>325</v>
      </c>
      <c r="H307" s="37">
        <v>313</v>
      </c>
      <c r="I307" s="37">
        <v>0</v>
      </c>
      <c r="J307" s="37">
        <v>0</v>
      </c>
      <c r="K307" s="37">
        <v>236</v>
      </c>
      <c r="L307" s="37">
        <v>0</v>
      </c>
      <c r="M307" s="37">
        <v>48</v>
      </c>
      <c r="N307" s="37">
        <v>41</v>
      </c>
      <c r="O307" s="37">
        <v>325</v>
      </c>
      <c r="P307" s="37">
        <v>100</v>
      </c>
      <c r="Q307" s="37">
        <v>0</v>
      </c>
      <c r="R307" s="37">
        <v>12.615384615384615</v>
      </c>
      <c r="S307" s="37">
        <v>37</v>
      </c>
      <c r="T307" s="37">
        <v>1</v>
      </c>
      <c r="U307" s="37">
        <v>38</v>
      </c>
      <c r="V307" s="552"/>
      <c r="W307" s="552"/>
      <c r="X307" s="552"/>
      <c r="Y307" s="552">
        <v>12</v>
      </c>
    </row>
    <row r="308" spans="1:25" s="512" customFormat="1" ht="11.1" customHeight="1" x14ac:dyDescent="0.15">
      <c r="A308" s="556">
        <v>42095</v>
      </c>
      <c r="B308" s="26" t="s">
        <v>35</v>
      </c>
      <c r="C308" s="26" t="s">
        <v>677</v>
      </c>
      <c r="D308" s="552" t="s">
        <v>678</v>
      </c>
      <c r="E308" s="37">
        <v>23736</v>
      </c>
      <c r="F308" s="37">
        <v>23736</v>
      </c>
      <c r="G308" s="37">
        <v>8242</v>
      </c>
      <c r="H308" s="37">
        <v>7653</v>
      </c>
      <c r="I308" s="37">
        <v>0</v>
      </c>
      <c r="J308" s="37">
        <v>262</v>
      </c>
      <c r="K308" s="37">
        <v>6599</v>
      </c>
      <c r="L308" s="37">
        <v>0</v>
      </c>
      <c r="M308" s="37">
        <v>1326</v>
      </c>
      <c r="N308" s="37">
        <v>0</v>
      </c>
      <c r="O308" s="37">
        <v>7925</v>
      </c>
      <c r="P308" s="37">
        <v>100</v>
      </c>
      <c r="Q308" s="37">
        <v>0</v>
      </c>
      <c r="R308" s="37">
        <v>3.2001954317820935</v>
      </c>
      <c r="S308" s="37">
        <v>854</v>
      </c>
      <c r="T308" s="37">
        <v>27</v>
      </c>
      <c r="U308" s="37">
        <v>881</v>
      </c>
      <c r="V308" s="552"/>
      <c r="W308" s="552"/>
      <c r="X308" s="552"/>
      <c r="Y308" s="552">
        <v>327</v>
      </c>
    </row>
    <row r="309" spans="1:25" s="512" customFormat="1" ht="11.1" customHeight="1" x14ac:dyDescent="0.15">
      <c r="A309" s="556">
        <v>42095</v>
      </c>
      <c r="B309" s="26" t="s">
        <v>35</v>
      </c>
      <c r="C309" s="26" t="s">
        <v>679</v>
      </c>
      <c r="D309" s="552" t="s">
        <v>680</v>
      </c>
      <c r="E309" s="37">
        <v>11443</v>
      </c>
      <c r="F309" s="37">
        <v>11443</v>
      </c>
      <c r="G309" s="37">
        <v>3622</v>
      </c>
      <c r="H309" s="37">
        <v>3407</v>
      </c>
      <c r="I309" s="37">
        <v>0</v>
      </c>
      <c r="J309" s="37">
        <v>0</v>
      </c>
      <c r="K309" s="37">
        <v>2889</v>
      </c>
      <c r="L309" s="37">
        <v>0</v>
      </c>
      <c r="M309" s="37">
        <v>441</v>
      </c>
      <c r="N309" s="37">
        <v>4</v>
      </c>
      <c r="O309" s="37">
        <v>3334</v>
      </c>
      <c r="P309" s="37">
        <v>100</v>
      </c>
      <c r="Q309" s="37">
        <v>0</v>
      </c>
      <c r="R309" s="37">
        <v>0.11997600479904018</v>
      </c>
      <c r="S309" s="37">
        <v>451</v>
      </c>
      <c r="T309" s="37">
        <v>13</v>
      </c>
      <c r="U309" s="37">
        <v>464</v>
      </c>
      <c r="V309" s="552"/>
      <c r="W309" s="552"/>
      <c r="X309" s="552"/>
      <c r="Y309" s="552">
        <v>215</v>
      </c>
    </row>
    <row r="310" spans="1:25" s="512" customFormat="1" ht="11.1" customHeight="1" x14ac:dyDescent="0.15">
      <c r="A310" s="556">
        <v>42095</v>
      </c>
      <c r="B310" s="26" t="s">
        <v>35</v>
      </c>
      <c r="C310" s="26" t="s">
        <v>681</v>
      </c>
      <c r="D310" s="552" t="s">
        <v>682</v>
      </c>
      <c r="E310" s="37">
        <v>38337</v>
      </c>
      <c r="F310" s="37">
        <v>38337</v>
      </c>
      <c r="G310" s="37">
        <v>12984</v>
      </c>
      <c r="H310" s="37">
        <v>12195</v>
      </c>
      <c r="I310" s="37">
        <v>0</v>
      </c>
      <c r="J310" s="37">
        <v>530</v>
      </c>
      <c r="K310" s="37">
        <v>10059</v>
      </c>
      <c r="L310" s="37">
        <v>0</v>
      </c>
      <c r="M310" s="37">
        <v>2399</v>
      </c>
      <c r="N310" s="37">
        <v>10</v>
      </c>
      <c r="O310" s="37">
        <v>12468</v>
      </c>
      <c r="P310" s="37">
        <v>100</v>
      </c>
      <c r="Q310" s="37">
        <v>0</v>
      </c>
      <c r="R310" s="37">
        <v>4.1544853054316055</v>
      </c>
      <c r="S310" s="37">
        <v>1305</v>
      </c>
      <c r="T310" s="37">
        <v>45</v>
      </c>
      <c r="U310" s="37">
        <v>1350</v>
      </c>
      <c r="V310" s="552"/>
      <c r="W310" s="552"/>
      <c r="X310" s="552"/>
      <c r="Y310" s="552">
        <v>259</v>
      </c>
    </row>
    <row r="311" spans="1:25" s="512" customFormat="1" ht="11.1" customHeight="1" x14ac:dyDescent="0.15">
      <c r="A311" s="556">
        <v>42095</v>
      </c>
      <c r="B311" s="26" t="s">
        <v>35</v>
      </c>
      <c r="C311" s="26" t="s">
        <v>683</v>
      </c>
      <c r="D311" s="552" t="s">
        <v>577</v>
      </c>
      <c r="E311" s="37">
        <v>9303</v>
      </c>
      <c r="F311" s="37">
        <v>9303</v>
      </c>
      <c r="G311" s="37">
        <v>2670</v>
      </c>
      <c r="H311" s="37">
        <v>2571</v>
      </c>
      <c r="I311" s="37">
        <v>0</v>
      </c>
      <c r="J311" s="37">
        <v>0</v>
      </c>
      <c r="K311" s="37">
        <v>2148</v>
      </c>
      <c r="L311" s="37">
        <v>0</v>
      </c>
      <c r="M311" s="37">
        <v>518</v>
      </c>
      <c r="N311" s="37">
        <v>2</v>
      </c>
      <c r="O311" s="37">
        <v>2668</v>
      </c>
      <c r="P311" s="37">
        <v>100</v>
      </c>
      <c r="Q311" s="37">
        <v>0</v>
      </c>
      <c r="R311" s="37">
        <v>7.4962518740629688E-2</v>
      </c>
      <c r="S311" s="37">
        <v>335</v>
      </c>
      <c r="T311" s="37">
        <v>8</v>
      </c>
      <c r="U311" s="37">
        <v>343</v>
      </c>
      <c r="V311" s="552"/>
      <c r="W311" s="552"/>
      <c r="X311" s="552"/>
      <c r="Y311" s="552">
        <v>99</v>
      </c>
    </row>
    <row r="312" spans="1:25" s="512" customFormat="1" ht="11.1" customHeight="1" x14ac:dyDescent="0.15">
      <c r="A312" s="556">
        <v>42095</v>
      </c>
      <c r="B312" s="26" t="s">
        <v>35</v>
      </c>
      <c r="C312" s="26" t="s">
        <v>684</v>
      </c>
      <c r="D312" s="552" t="s">
        <v>685</v>
      </c>
      <c r="E312" s="37">
        <v>14554</v>
      </c>
      <c r="F312" s="37">
        <v>14554</v>
      </c>
      <c r="G312" s="37">
        <v>3742</v>
      </c>
      <c r="H312" s="37">
        <v>3598</v>
      </c>
      <c r="I312" s="37">
        <v>0</v>
      </c>
      <c r="J312" s="37">
        <v>0</v>
      </c>
      <c r="K312" s="37">
        <v>2771</v>
      </c>
      <c r="L312" s="37">
        <v>0</v>
      </c>
      <c r="M312" s="37">
        <v>492</v>
      </c>
      <c r="N312" s="37">
        <v>470</v>
      </c>
      <c r="O312" s="37">
        <v>3733</v>
      </c>
      <c r="P312" s="37">
        <v>100</v>
      </c>
      <c r="Q312" s="37">
        <v>0</v>
      </c>
      <c r="R312" s="37">
        <v>12.590409858023039</v>
      </c>
      <c r="S312" s="37">
        <v>433</v>
      </c>
      <c r="T312" s="37">
        <v>14</v>
      </c>
      <c r="U312" s="37">
        <v>447</v>
      </c>
      <c r="V312" s="552"/>
      <c r="W312" s="552"/>
      <c r="X312" s="552"/>
      <c r="Y312" s="552">
        <v>144</v>
      </c>
    </row>
    <row r="313" spans="1:25" s="512" customFormat="1" ht="11.1" customHeight="1" x14ac:dyDescent="0.15">
      <c r="A313" s="558">
        <v>42461</v>
      </c>
      <c r="B313" s="559" t="s">
        <v>36</v>
      </c>
      <c r="C313" s="559" t="s">
        <v>671</v>
      </c>
      <c r="D313" s="560" t="s">
        <v>246</v>
      </c>
      <c r="E313" s="561">
        <v>35260</v>
      </c>
      <c r="F313" s="561">
        <v>35260</v>
      </c>
      <c r="G313" s="561">
        <v>11633</v>
      </c>
      <c r="H313" s="561">
        <v>10923</v>
      </c>
      <c r="I313" s="561">
        <v>0</v>
      </c>
      <c r="J313" s="561">
        <v>392</v>
      </c>
      <c r="K313" s="561">
        <v>9165</v>
      </c>
      <c r="L313" s="561">
        <v>0</v>
      </c>
      <c r="M313" s="561">
        <v>2055</v>
      </c>
      <c r="N313" s="561">
        <v>11</v>
      </c>
      <c r="O313" s="561">
        <v>11231</v>
      </c>
      <c r="P313" s="561">
        <v>100</v>
      </c>
      <c r="Q313" s="561">
        <v>0</v>
      </c>
      <c r="R313" s="561">
        <v>3.4672631850640969</v>
      </c>
      <c r="S313" s="561">
        <v>1170</v>
      </c>
      <c r="T313" s="561">
        <v>45</v>
      </c>
      <c r="U313" s="561">
        <v>1215</v>
      </c>
      <c r="V313" s="560"/>
      <c r="W313" s="560"/>
      <c r="X313" s="560"/>
      <c r="Y313" s="560">
        <v>318</v>
      </c>
    </row>
    <row r="314" spans="1:25" s="512" customFormat="1" ht="11.1" customHeight="1" x14ac:dyDescent="0.15">
      <c r="A314" s="556">
        <v>42461</v>
      </c>
      <c r="B314" s="26" t="s">
        <v>36</v>
      </c>
      <c r="C314" s="26" t="s">
        <v>672</v>
      </c>
      <c r="D314" s="552" t="s">
        <v>456</v>
      </c>
      <c r="E314" s="37">
        <v>30028</v>
      </c>
      <c r="F314" s="37">
        <v>30028</v>
      </c>
      <c r="G314" s="37">
        <v>9652</v>
      </c>
      <c r="H314" s="37">
        <v>9119</v>
      </c>
      <c r="I314" s="37">
        <v>0</v>
      </c>
      <c r="J314" s="37">
        <v>0</v>
      </c>
      <c r="K314" s="37">
        <v>7645</v>
      </c>
      <c r="L314" s="37">
        <v>0</v>
      </c>
      <c r="M314" s="37">
        <v>1974</v>
      </c>
      <c r="N314" s="37">
        <v>10</v>
      </c>
      <c r="O314" s="37">
        <v>9629</v>
      </c>
      <c r="P314" s="37">
        <v>100</v>
      </c>
      <c r="Q314" s="37">
        <v>0</v>
      </c>
      <c r="R314" s="37">
        <v>0.10385294423096895</v>
      </c>
      <c r="S314" s="37">
        <v>972</v>
      </c>
      <c r="T314" s="37">
        <v>34</v>
      </c>
      <c r="U314" s="37">
        <v>1006</v>
      </c>
      <c r="V314" s="552"/>
      <c r="W314" s="552"/>
      <c r="X314" s="552"/>
      <c r="Y314" s="552">
        <v>533</v>
      </c>
    </row>
    <row r="315" spans="1:25" s="512" customFormat="1" ht="11.1" customHeight="1" x14ac:dyDescent="0.15">
      <c r="A315" s="556">
        <v>42461</v>
      </c>
      <c r="B315" s="26" t="s">
        <v>36</v>
      </c>
      <c r="C315" s="26" t="s">
        <v>673</v>
      </c>
      <c r="D315" s="552" t="s">
        <v>674</v>
      </c>
      <c r="E315" s="37">
        <v>12511</v>
      </c>
      <c r="F315" s="37">
        <v>12511</v>
      </c>
      <c r="G315" s="37">
        <v>4368</v>
      </c>
      <c r="H315" s="37">
        <v>3956</v>
      </c>
      <c r="I315" s="37">
        <v>0</v>
      </c>
      <c r="J315" s="37">
        <v>206</v>
      </c>
      <c r="K315" s="37">
        <v>3220</v>
      </c>
      <c r="L315" s="37">
        <v>0</v>
      </c>
      <c r="M315" s="37">
        <v>498</v>
      </c>
      <c r="N315" s="37">
        <v>232</v>
      </c>
      <c r="O315" s="37">
        <v>3950</v>
      </c>
      <c r="P315" s="37">
        <v>100</v>
      </c>
      <c r="Q315" s="37">
        <v>0</v>
      </c>
      <c r="R315" s="37">
        <v>10.53897978825794</v>
      </c>
      <c r="S315" s="37">
        <v>441</v>
      </c>
      <c r="T315" s="37">
        <v>16</v>
      </c>
      <c r="U315" s="37">
        <v>457</v>
      </c>
      <c r="V315" s="552"/>
      <c r="W315" s="552"/>
      <c r="X315" s="552"/>
      <c r="Y315" s="552">
        <v>206</v>
      </c>
    </row>
    <row r="316" spans="1:25" s="512" customFormat="1" ht="11.1" customHeight="1" x14ac:dyDescent="0.15">
      <c r="A316" s="556">
        <v>42461</v>
      </c>
      <c r="B316" s="26" t="s">
        <v>36</v>
      </c>
      <c r="C316" s="26" t="s">
        <v>675</v>
      </c>
      <c r="D316" s="552" t="s">
        <v>676</v>
      </c>
      <c r="E316" s="37">
        <v>1518</v>
      </c>
      <c r="F316" s="37">
        <v>1518</v>
      </c>
      <c r="G316" s="37">
        <v>304</v>
      </c>
      <c r="H316" s="37">
        <v>292</v>
      </c>
      <c r="I316" s="37">
        <v>0</v>
      </c>
      <c r="J316" s="37">
        <v>0</v>
      </c>
      <c r="K316" s="37">
        <v>225</v>
      </c>
      <c r="L316" s="37">
        <v>0</v>
      </c>
      <c r="M316" s="37">
        <v>42</v>
      </c>
      <c r="N316" s="37">
        <v>38</v>
      </c>
      <c r="O316" s="37">
        <v>305</v>
      </c>
      <c r="P316" s="37">
        <v>100</v>
      </c>
      <c r="Q316" s="37">
        <v>0</v>
      </c>
      <c r="R316" s="37">
        <v>12.459016393442624</v>
      </c>
      <c r="S316" s="37">
        <v>29</v>
      </c>
      <c r="T316" s="37">
        <v>1</v>
      </c>
      <c r="U316" s="37">
        <v>30</v>
      </c>
      <c r="V316" s="552"/>
      <c r="W316" s="552"/>
      <c r="X316" s="552"/>
      <c r="Y316" s="552">
        <v>12</v>
      </c>
    </row>
    <row r="317" spans="1:25" s="512" customFormat="1" ht="11.1" customHeight="1" x14ac:dyDescent="0.15">
      <c r="A317" s="556">
        <v>42461</v>
      </c>
      <c r="B317" s="26" t="s">
        <v>36</v>
      </c>
      <c r="C317" s="26" t="s">
        <v>677</v>
      </c>
      <c r="D317" s="552" t="s">
        <v>678</v>
      </c>
      <c r="E317" s="37">
        <v>23649</v>
      </c>
      <c r="F317" s="37">
        <v>23649</v>
      </c>
      <c r="G317" s="37">
        <v>7948</v>
      </c>
      <c r="H317" s="37">
        <v>7440</v>
      </c>
      <c r="I317" s="37">
        <v>0</v>
      </c>
      <c r="J317" s="37">
        <v>259</v>
      </c>
      <c r="K317" s="37">
        <v>6405</v>
      </c>
      <c r="L317" s="37">
        <v>0</v>
      </c>
      <c r="M317" s="37">
        <v>1270</v>
      </c>
      <c r="N317" s="37">
        <v>6</v>
      </c>
      <c r="O317" s="37">
        <v>7681</v>
      </c>
      <c r="P317" s="37">
        <v>100</v>
      </c>
      <c r="Q317" s="37">
        <v>0</v>
      </c>
      <c r="R317" s="37">
        <v>3.3375314861460956</v>
      </c>
      <c r="S317" s="37">
        <v>654</v>
      </c>
      <c r="T317" s="37">
        <v>27</v>
      </c>
      <c r="U317" s="37">
        <v>681</v>
      </c>
      <c r="V317" s="552"/>
      <c r="W317" s="552"/>
      <c r="X317" s="552"/>
      <c r="Y317" s="552">
        <v>249</v>
      </c>
    </row>
    <row r="318" spans="1:25" s="512" customFormat="1" ht="11.1" customHeight="1" x14ac:dyDescent="0.15">
      <c r="A318" s="556">
        <v>42461</v>
      </c>
      <c r="B318" s="26" t="s">
        <v>36</v>
      </c>
      <c r="C318" s="26" t="s">
        <v>679</v>
      </c>
      <c r="D318" s="552" t="s">
        <v>680</v>
      </c>
      <c r="E318" s="37">
        <v>11356</v>
      </c>
      <c r="F318" s="37">
        <v>11356</v>
      </c>
      <c r="G318" s="37">
        <v>3507</v>
      </c>
      <c r="H318" s="37">
        <v>3393</v>
      </c>
      <c r="I318" s="37">
        <v>0</v>
      </c>
      <c r="J318" s="37">
        <v>0</v>
      </c>
      <c r="K318" s="37">
        <v>2831</v>
      </c>
      <c r="L318" s="37">
        <v>0</v>
      </c>
      <c r="M318" s="37">
        <v>661</v>
      </c>
      <c r="N318" s="37">
        <v>4</v>
      </c>
      <c r="O318" s="37">
        <v>3496</v>
      </c>
      <c r="P318" s="37">
        <v>100</v>
      </c>
      <c r="Q318" s="37">
        <v>0</v>
      </c>
      <c r="R318" s="37">
        <v>0.11441647597254005</v>
      </c>
      <c r="S318" s="37">
        <v>362</v>
      </c>
      <c r="T318" s="37">
        <v>14</v>
      </c>
      <c r="U318" s="37">
        <v>376</v>
      </c>
      <c r="V318" s="552"/>
      <c r="W318" s="552"/>
      <c r="X318" s="552"/>
      <c r="Y318" s="552">
        <v>114</v>
      </c>
    </row>
    <row r="319" spans="1:25" s="512" customFormat="1" ht="11.1" customHeight="1" x14ac:dyDescent="0.15">
      <c r="A319" s="556">
        <v>42461</v>
      </c>
      <c r="B319" s="26" t="s">
        <v>36</v>
      </c>
      <c r="C319" s="26" t="s">
        <v>681</v>
      </c>
      <c r="D319" s="552" t="s">
        <v>682</v>
      </c>
      <c r="E319" s="37">
        <v>38337</v>
      </c>
      <c r="F319" s="37">
        <v>38337</v>
      </c>
      <c r="G319" s="37">
        <v>12864</v>
      </c>
      <c r="H319" s="37">
        <v>12118</v>
      </c>
      <c r="I319" s="37">
        <v>0</v>
      </c>
      <c r="J319" s="37">
        <v>463</v>
      </c>
      <c r="K319" s="37">
        <v>10073</v>
      </c>
      <c r="L319" s="37">
        <v>0</v>
      </c>
      <c r="M319" s="37">
        <v>2313</v>
      </c>
      <c r="N319" s="37">
        <v>0</v>
      </c>
      <c r="O319" s="37">
        <v>12386</v>
      </c>
      <c r="P319" s="37">
        <v>100</v>
      </c>
      <c r="Q319" s="37">
        <v>0</v>
      </c>
      <c r="R319" s="37">
        <v>3.6033932601758889</v>
      </c>
      <c r="S319" s="37">
        <v>1034</v>
      </c>
      <c r="T319" s="37">
        <v>47</v>
      </c>
      <c r="U319" s="37">
        <v>1081</v>
      </c>
      <c r="V319" s="552"/>
      <c r="W319" s="552"/>
      <c r="X319" s="552"/>
      <c r="Y319" s="552">
        <v>283</v>
      </c>
    </row>
    <row r="320" spans="1:25" s="512" customFormat="1" ht="11.1" customHeight="1" x14ac:dyDescent="0.15">
      <c r="A320" s="556">
        <v>42461</v>
      </c>
      <c r="B320" s="26" t="s">
        <v>36</v>
      </c>
      <c r="C320" s="26" t="s">
        <v>683</v>
      </c>
      <c r="D320" s="552" t="s">
        <v>577</v>
      </c>
      <c r="E320" s="37">
        <v>9124</v>
      </c>
      <c r="F320" s="37">
        <v>9124</v>
      </c>
      <c r="G320" s="37">
        <v>2614</v>
      </c>
      <c r="H320" s="37">
        <v>2513</v>
      </c>
      <c r="I320" s="37">
        <v>0</v>
      </c>
      <c r="J320" s="37">
        <v>0</v>
      </c>
      <c r="K320" s="37">
        <v>2124</v>
      </c>
      <c r="L320" s="37">
        <v>0</v>
      </c>
      <c r="M320" s="37">
        <v>477</v>
      </c>
      <c r="N320" s="37">
        <v>2</v>
      </c>
      <c r="O320" s="37">
        <v>2603</v>
      </c>
      <c r="P320" s="37">
        <v>100</v>
      </c>
      <c r="Q320" s="37">
        <v>0</v>
      </c>
      <c r="R320" s="37">
        <v>7.6834421820975801E-2</v>
      </c>
      <c r="S320" s="37">
        <v>269</v>
      </c>
      <c r="T320" s="37">
        <v>8</v>
      </c>
      <c r="U320" s="37">
        <v>277</v>
      </c>
      <c r="V320" s="552"/>
      <c r="W320" s="552"/>
      <c r="X320" s="552"/>
      <c r="Y320" s="552">
        <v>101</v>
      </c>
    </row>
    <row r="321" spans="1:33" s="512" customFormat="1" ht="11.1" customHeight="1" x14ac:dyDescent="0.15">
      <c r="A321" s="556">
        <v>42461</v>
      </c>
      <c r="B321" s="26" t="s">
        <v>36</v>
      </c>
      <c r="C321" s="26" t="s">
        <v>684</v>
      </c>
      <c r="D321" s="552" t="s">
        <v>685</v>
      </c>
      <c r="E321" s="37">
        <v>14313</v>
      </c>
      <c r="F321" s="37">
        <v>14313</v>
      </c>
      <c r="G321" s="37">
        <v>3625</v>
      </c>
      <c r="H321" s="37">
        <v>3483</v>
      </c>
      <c r="I321" s="37">
        <v>0</v>
      </c>
      <c r="J321" s="37">
        <v>0</v>
      </c>
      <c r="K321" s="37">
        <v>2716</v>
      </c>
      <c r="L321" s="37">
        <v>0</v>
      </c>
      <c r="M321" s="37">
        <v>448</v>
      </c>
      <c r="N321" s="37">
        <v>453</v>
      </c>
      <c r="O321" s="37">
        <v>3617</v>
      </c>
      <c r="P321" s="37">
        <v>100</v>
      </c>
      <c r="Q321" s="37">
        <v>0</v>
      </c>
      <c r="R321" s="37">
        <v>12.524191318772463</v>
      </c>
      <c r="S321" s="37">
        <v>347</v>
      </c>
      <c r="T321" s="37">
        <v>14</v>
      </c>
      <c r="U321" s="37">
        <v>361</v>
      </c>
      <c r="V321" s="552"/>
      <c r="W321" s="552"/>
      <c r="X321" s="552"/>
      <c r="Y321" s="552">
        <v>142</v>
      </c>
    </row>
    <row r="322" spans="1:33" s="512" customFormat="1" ht="11.1" customHeight="1" x14ac:dyDescent="0.15">
      <c r="A322" s="558">
        <v>42826</v>
      </c>
      <c r="B322" s="559" t="s">
        <v>686</v>
      </c>
      <c r="C322" s="559" t="s">
        <v>671</v>
      </c>
      <c r="D322" s="560" t="s">
        <v>246</v>
      </c>
      <c r="E322" s="561">
        <v>34856</v>
      </c>
      <c r="F322" s="561">
        <v>34856</v>
      </c>
      <c r="G322" s="561">
        <v>11518</v>
      </c>
      <c r="H322" s="561">
        <v>10827</v>
      </c>
      <c r="I322" s="561">
        <v>0</v>
      </c>
      <c r="J322" s="561">
        <v>356</v>
      </c>
      <c r="K322" s="561">
        <v>9194</v>
      </c>
      <c r="L322" s="561">
        <v>0</v>
      </c>
      <c r="M322" s="561">
        <v>1873</v>
      </c>
      <c r="N322" s="561">
        <v>9</v>
      </c>
      <c r="O322" s="561">
        <v>11076</v>
      </c>
      <c r="P322" s="561">
        <v>100</v>
      </c>
      <c r="Q322" s="561">
        <v>2751</v>
      </c>
      <c r="R322" s="561">
        <v>27.256822953114067</v>
      </c>
      <c r="S322" s="561">
        <v>405</v>
      </c>
      <c r="T322" s="561">
        <v>0</v>
      </c>
      <c r="U322" s="561">
        <v>405</v>
      </c>
      <c r="V322" s="560"/>
      <c r="W322" s="560"/>
      <c r="X322" s="560"/>
      <c r="Y322" s="560">
        <v>335</v>
      </c>
    </row>
    <row r="323" spans="1:33" s="512" customFormat="1" ht="11.1" customHeight="1" x14ac:dyDescent="0.15">
      <c r="A323" s="556">
        <v>42826</v>
      </c>
      <c r="B323" s="26" t="s">
        <v>686</v>
      </c>
      <c r="C323" s="26" t="s">
        <v>672</v>
      </c>
      <c r="D323" s="552" t="s">
        <v>456</v>
      </c>
      <c r="E323" s="37">
        <v>29643</v>
      </c>
      <c r="F323" s="37">
        <v>29643</v>
      </c>
      <c r="G323" s="37">
        <v>9606</v>
      </c>
      <c r="H323" s="37">
        <v>9115</v>
      </c>
      <c r="I323" s="37">
        <v>0</v>
      </c>
      <c r="J323" s="37">
        <v>0</v>
      </c>
      <c r="K323" s="37">
        <v>7710</v>
      </c>
      <c r="L323" s="37">
        <v>0</v>
      </c>
      <c r="M323" s="37">
        <v>1825</v>
      </c>
      <c r="N323" s="37">
        <v>9</v>
      </c>
      <c r="O323" s="37">
        <v>9544</v>
      </c>
      <c r="P323" s="37">
        <v>100</v>
      </c>
      <c r="Q323" s="37">
        <v>2654</v>
      </c>
      <c r="R323" s="37">
        <v>27.902347024308465</v>
      </c>
      <c r="S323" s="37">
        <v>339</v>
      </c>
      <c r="T323" s="37">
        <v>0</v>
      </c>
      <c r="U323" s="37">
        <v>339</v>
      </c>
      <c r="V323" s="552"/>
      <c r="W323" s="552"/>
      <c r="X323" s="552"/>
      <c r="Y323" s="552">
        <v>491</v>
      </c>
    </row>
    <row r="324" spans="1:33" s="512" customFormat="1" ht="11.1" customHeight="1" x14ac:dyDescent="0.15">
      <c r="A324" s="556">
        <v>42826</v>
      </c>
      <c r="B324" s="26" t="s">
        <v>686</v>
      </c>
      <c r="C324" s="26" t="s">
        <v>673</v>
      </c>
      <c r="D324" s="552" t="s">
        <v>674</v>
      </c>
      <c r="E324" s="37">
        <v>12248</v>
      </c>
      <c r="F324" s="37">
        <v>12248</v>
      </c>
      <c r="G324" s="37">
        <v>4269</v>
      </c>
      <c r="H324" s="37">
        <v>3857</v>
      </c>
      <c r="I324" s="37">
        <v>0</v>
      </c>
      <c r="J324" s="37">
        <v>194</v>
      </c>
      <c r="K324" s="37">
        <v>3224</v>
      </c>
      <c r="L324" s="37">
        <v>0</v>
      </c>
      <c r="M324" s="37">
        <v>405</v>
      </c>
      <c r="N324" s="37">
        <v>213</v>
      </c>
      <c r="O324" s="37">
        <v>3842</v>
      </c>
      <c r="P324" s="37">
        <v>100</v>
      </c>
      <c r="Q324" s="37">
        <v>738</v>
      </c>
      <c r="R324" s="37">
        <v>28.369672943508423</v>
      </c>
      <c r="S324" s="37">
        <v>141</v>
      </c>
      <c r="T324" s="37">
        <v>0</v>
      </c>
      <c r="U324" s="37">
        <v>141</v>
      </c>
      <c r="V324" s="552"/>
      <c r="W324" s="552"/>
      <c r="X324" s="552"/>
      <c r="Y324" s="552">
        <v>218</v>
      </c>
    </row>
    <row r="325" spans="1:33" s="512" customFormat="1" ht="11.1" customHeight="1" x14ac:dyDescent="0.15">
      <c r="A325" s="556">
        <v>42826</v>
      </c>
      <c r="B325" s="26" t="s">
        <v>686</v>
      </c>
      <c r="C325" s="26" t="s">
        <v>675</v>
      </c>
      <c r="D325" s="552" t="s">
        <v>676</v>
      </c>
      <c r="E325" s="37">
        <v>1459</v>
      </c>
      <c r="F325" s="37">
        <v>1459</v>
      </c>
      <c r="G325" s="37">
        <v>303</v>
      </c>
      <c r="H325" s="37">
        <v>288</v>
      </c>
      <c r="I325" s="37">
        <v>0</v>
      </c>
      <c r="J325" s="37">
        <v>0</v>
      </c>
      <c r="K325" s="37">
        <v>226</v>
      </c>
      <c r="L325" s="37">
        <v>0</v>
      </c>
      <c r="M325" s="37">
        <v>38</v>
      </c>
      <c r="N325" s="37">
        <v>36</v>
      </c>
      <c r="O325" s="37">
        <v>300</v>
      </c>
      <c r="P325" s="37">
        <v>100</v>
      </c>
      <c r="Q325" s="37">
        <v>57</v>
      </c>
      <c r="R325" s="37">
        <v>31</v>
      </c>
      <c r="S325" s="37">
        <v>10</v>
      </c>
      <c r="T325" s="37">
        <v>0</v>
      </c>
      <c r="U325" s="37">
        <v>10</v>
      </c>
      <c r="V325" s="552"/>
      <c r="W325" s="552"/>
      <c r="X325" s="552"/>
      <c r="Y325" s="552">
        <v>15</v>
      </c>
    </row>
    <row r="326" spans="1:33" s="512" customFormat="1" ht="11.1" customHeight="1" x14ac:dyDescent="0.15">
      <c r="A326" s="556">
        <v>42826</v>
      </c>
      <c r="B326" s="26" t="s">
        <v>686</v>
      </c>
      <c r="C326" s="26" t="s">
        <v>677</v>
      </c>
      <c r="D326" s="552" t="s">
        <v>678</v>
      </c>
      <c r="E326" s="37">
        <v>23660</v>
      </c>
      <c r="F326" s="37">
        <v>23660</v>
      </c>
      <c r="G326" s="37">
        <v>8001</v>
      </c>
      <c r="H326" s="37">
        <v>7462</v>
      </c>
      <c r="I326" s="37">
        <v>0</v>
      </c>
      <c r="J326" s="37">
        <v>253</v>
      </c>
      <c r="K326" s="37">
        <v>6548</v>
      </c>
      <c r="L326" s="37">
        <v>0</v>
      </c>
      <c r="M326" s="37">
        <v>1137</v>
      </c>
      <c r="N326" s="37">
        <v>5</v>
      </c>
      <c r="O326" s="37">
        <v>7690</v>
      </c>
      <c r="P326" s="37">
        <v>100</v>
      </c>
      <c r="Q326" s="37">
        <v>1813</v>
      </c>
      <c r="R326" s="37">
        <v>26.073272063452098</v>
      </c>
      <c r="S326" s="37">
        <v>288</v>
      </c>
      <c r="T326" s="37">
        <v>0</v>
      </c>
      <c r="U326" s="37">
        <v>288</v>
      </c>
      <c r="V326" s="552"/>
      <c r="W326" s="552"/>
      <c r="X326" s="552"/>
      <c r="Y326" s="552">
        <v>286</v>
      </c>
    </row>
    <row r="327" spans="1:33" s="512" customFormat="1" ht="11.1" customHeight="1" x14ac:dyDescent="0.15">
      <c r="A327" s="556">
        <v>42826</v>
      </c>
      <c r="B327" s="26" t="s">
        <v>686</v>
      </c>
      <c r="C327" s="26" t="s">
        <v>679</v>
      </c>
      <c r="D327" s="552" t="s">
        <v>680</v>
      </c>
      <c r="E327" s="37">
        <v>11195</v>
      </c>
      <c r="F327" s="37">
        <v>11195</v>
      </c>
      <c r="G327" s="37">
        <v>3586</v>
      </c>
      <c r="H327" s="37">
        <v>3434</v>
      </c>
      <c r="I327" s="37">
        <v>0</v>
      </c>
      <c r="J327" s="37">
        <v>0</v>
      </c>
      <c r="K327" s="37">
        <v>2969</v>
      </c>
      <c r="L327" s="37">
        <v>0</v>
      </c>
      <c r="M327" s="37">
        <v>580</v>
      </c>
      <c r="N327" s="37">
        <v>3</v>
      </c>
      <c r="O327" s="37">
        <v>3552</v>
      </c>
      <c r="P327" s="37">
        <v>100</v>
      </c>
      <c r="Q327" s="37">
        <v>901</v>
      </c>
      <c r="R327" s="37">
        <v>25.45045045045045</v>
      </c>
      <c r="S327" s="37">
        <v>131</v>
      </c>
      <c r="T327" s="37">
        <v>0</v>
      </c>
      <c r="U327" s="37">
        <v>131</v>
      </c>
      <c r="V327" s="552"/>
      <c r="W327" s="552"/>
      <c r="X327" s="552"/>
      <c r="Y327" s="552">
        <v>152</v>
      </c>
    </row>
    <row r="328" spans="1:33" s="512" customFormat="1" ht="11.1" customHeight="1" x14ac:dyDescent="0.15">
      <c r="A328" s="556">
        <v>42826</v>
      </c>
      <c r="B328" s="26" t="s">
        <v>686</v>
      </c>
      <c r="C328" s="26" t="s">
        <v>681</v>
      </c>
      <c r="D328" s="552" t="s">
        <v>682</v>
      </c>
      <c r="E328" s="37">
        <v>38007</v>
      </c>
      <c r="F328" s="37">
        <v>38007</v>
      </c>
      <c r="G328" s="37">
        <v>12652</v>
      </c>
      <c r="H328" s="37">
        <v>11923</v>
      </c>
      <c r="I328" s="37">
        <v>0</v>
      </c>
      <c r="J328" s="37">
        <v>407</v>
      </c>
      <c r="K328" s="37">
        <v>10118</v>
      </c>
      <c r="L328" s="37">
        <v>0</v>
      </c>
      <c r="M328" s="37">
        <v>2048</v>
      </c>
      <c r="N328" s="37">
        <v>9</v>
      </c>
      <c r="O328" s="37">
        <v>12175</v>
      </c>
      <c r="P328" s="37">
        <v>100</v>
      </c>
      <c r="Q328" s="37">
        <v>3078</v>
      </c>
      <c r="R328" s="37">
        <v>27.769829915752663</v>
      </c>
      <c r="S328" s="37">
        <v>445</v>
      </c>
      <c r="T328" s="37">
        <v>0</v>
      </c>
      <c r="U328" s="37">
        <v>445</v>
      </c>
      <c r="V328" s="552"/>
      <c r="W328" s="552"/>
      <c r="X328" s="552"/>
      <c r="Y328" s="552">
        <v>322</v>
      </c>
    </row>
    <row r="329" spans="1:33" s="512" customFormat="1" ht="11.1" customHeight="1" x14ac:dyDescent="0.15">
      <c r="A329" s="556">
        <v>42826</v>
      </c>
      <c r="B329" s="26" t="s">
        <v>686</v>
      </c>
      <c r="C329" s="26" t="s">
        <v>683</v>
      </c>
      <c r="D329" s="552" t="s">
        <v>577</v>
      </c>
      <c r="E329" s="37">
        <v>8940</v>
      </c>
      <c r="F329" s="37">
        <v>8940</v>
      </c>
      <c r="G329" s="37">
        <v>2664</v>
      </c>
      <c r="H329" s="37">
        <v>2538</v>
      </c>
      <c r="I329" s="37">
        <v>0</v>
      </c>
      <c r="J329" s="37">
        <v>0</v>
      </c>
      <c r="K329" s="37">
        <v>2187</v>
      </c>
      <c r="L329" s="37">
        <v>0</v>
      </c>
      <c r="M329" s="37">
        <v>452</v>
      </c>
      <c r="N329" s="37">
        <v>2</v>
      </c>
      <c r="O329" s="37">
        <v>2641</v>
      </c>
      <c r="P329" s="37">
        <v>100</v>
      </c>
      <c r="Q329" s="37">
        <v>678</v>
      </c>
      <c r="R329" s="37">
        <v>25.747822794396065</v>
      </c>
      <c r="S329" s="37">
        <v>96</v>
      </c>
      <c r="T329" s="37">
        <v>0</v>
      </c>
      <c r="U329" s="37">
        <v>96</v>
      </c>
      <c r="V329" s="552"/>
      <c r="W329" s="552"/>
      <c r="X329" s="552"/>
      <c r="Y329" s="552">
        <v>126</v>
      </c>
    </row>
    <row r="330" spans="1:33" s="512" customFormat="1" ht="11.1" customHeight="1" x14ac:dyDescent="0.15">
      <c r="A330" s="556">
        <v>42826</v>
      </c>
      <c r="B330" s="26" t="s">
        <v>686</v>
      </c>
      <c r="C330" s="26" t="s">
        <v>684</v>
      </c>
      <c r="D330" s="552" t="s">
        <v>685</v>
      </c>
      <c r="E330" s="37">
        <v>13979</v>
      </c>
      <c r="F330" s="37">
        <v>13979</v>
      </c>
      <c r="G330" s="37">
        <v>3669</v>
      </c>
      <c r="H330" s="37">
        <v>3514</v>
      </c>
      <c r="I330" s="37">
        <v>0</v>
      </c>
      <c r="J330" s="37">
        <v>0</v>
      </c>
      <c r="K330" s="37">
        <v>2716</v>
      </c>
      <c r="L330" s="37">
        <v>0</v>
      </c>
      <c r="M330" s="37">
        <v>403</v>
      </c>
      <c r="N330" s="37">
        <v>436</v>
      </c>
      <c r="O330" s="37">
        <v>3555</v>
      </c>
      <c r="P330" s="37">
        <v>100</v>
      </c>
      <c r="Q330" s="37">
        <v>661</v>
      </c>
      <c r="R330" s="37">
        <v>30.857946554149084</v>
      </c>
      <c r="S330" s="37">
        <v>347</v>
      </c>
      <c r="T330" s="37">
        <v>0</v>
      </c>
      <c r="U330" s="37">
        <v>347</v>
      </c>
      <c r="V330" s="552"/>
      <c r="W330" s="552"/>
      <c r="X330" s="552"/>
      <c r="Y330" s="552">
        <v>155</v>
      </c>
    </row>
    <row r="331" spans="1:33" s="544" customFormat="1" ht="33.75" customHeight="1" x14ac:dyDescent="0.15">
      <c r="A331" s="536" t="s">
        <v>4</v>
      </c>
      <c r="B331" s="537" t="s">
        <v>5</v>
      </c>
      <c r="C331" s="538" t="s">
        <v>6</v>
      </c>
      <c r="D331" s="538" t="s">
        <v>7</v>
      </c>
      <c r="E331" s="538" t="s">
        <v>8</v>
      </c>
      <c r="F331" s="545" t="s">
        <v>209</v>
      </c>
      <c r="G331" s="546" t="s">
        <v>37</v>
      </c>
      <c r="H331" s="538" t="s">
        <v>10</v>
      </c>
      <c r="I331" s="538" t="s">
        <v>666</v>
      </c>
      <c r="J331" s="539" t="s">
        <v>667</v>
      </c>
      <c r="K331" s="538" t="s">
        <v>668</v>
      </c>
      <c r="L331" s="545" t="s">
        <v>669</v>
      </c>
      <c r="M331" s="547" t="s">
        <v>11</v>
      </c>
      <c r="N331" s="539" t="s">
        <v>12</v>
      </c>
      <c r="O331" s="548" t="s">
        <v>13</v>
      </c>
      <c r="P331" s="549" t="s">
        <v>14</v>
      </c>
      <c r="Q331" s="547" t="s">
        <v>670</v>
      </c>
      <c r="R331" s="549" t="s">
        <v>15</v>
      </c>
      <c r="S331" s="539" t="s">
        <v>16</v>
      </c>
      <c r="T331" s="539" t="s">
        <v>17</v>
      </c>
      <c r="U331" s="549" t="s">
        <v>18</v>
      </c>
      <c r="V331" s="538" t="s">
        <v>19</v>
      </c>
      <c r="W331" s="538" t="s">
        <v>210</v>
      </c>
      <c r="X331" s="550" t="s">
        <v>211</v>
      </c>
      <c r="Y331" s="551" t="s">
        <v>212</v>
      </c>
    </row>
    <row r="332" spans="1:33" s="544" customFormat="1" ht="33.75" customHeight="1" x14ac:dyDescent="0.15">
      <c r="A332" s="557"/>
      <c r="B332" s="557"/>
      <c r="C332" s="557"/>
      <c r="D332" s="557"/>
      <c r="E332" s="557"/>
      <c r="F332" s="557"/>
      <c r="G332" s="557"/>
      <c r="H332" s="557"/>
      <c r="I332" s="557"/>
      <c r="J332" s="557"/>
      <c r="K332" s="557"/>
      <c r="L332" s="557"/>
      <c r="M332" s="557"/>
      <c r="N332" s="557"/>
      <c r="O332" s="557"/>
      <c r="P332" s="557"/>
      <c r="Q332" s="557"/>
      <c r="R332" s="557"/>
      <c r="S332" s="557"/>
      <c r="T332" s="557"/>
      <c r="U332" s="557"/>
      <c r="V332" s="557"/>
      <c r="W332" s="557"/>
      <c r="X332" s="557"/>
      <c r="Y332" s="557"/>
      <c r="Z332" s="557"/>
      <c r="AA332" s="557"/>
      <c r="AB332" s="557"/>
      <c r="AC332" s="557"/>
      <c r="AD332" s="557"/>
      <c r="AE332" s="557"/>
      <c r="AF332" s="557"/>
      <c r="AG332" s="557"/>
    </row>
  </sheetData>
  <phoneticPr fontId="6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34</vt:i4>
      </vt:variant>
    </vt:vector>
  </HeadingPairs>
  <TitlesOfParts>
    <vt:vector size="40" baseType="lpstr">
      <vt:lpstr>まとめ</vt:lpstr>
      <vt:lpstr>作業途中</vt:lpstr>
      <vt:lpstr>元表</vt:lpstr>
      <vt:lpstr>月間量回帰式</vt:lpstr>
      <vt:lpstr>濃度回帰式</vt:lpstr>
      <vt:lpstr>一廃実調</vt:lpstr>
      <vt:lpstr>Cs134Av</vt:lpstr>
      <vt:lpstr>Cs137Av</vt:lpstr>
      <vt:lpstr>濃度回帰式!下駄1</vt:lpstr>
      <vt:lpstr>下駄1</vt:lpstr>
      <vt:lpstr>下駄2</vt:lpstr>
      <vt:lpstr>月</vt:lpstr>
      <vt:lpstr>月値割合表</vt:lpstr>
      <vt:lpstr>月値割合表2</vt:lpstr>
      <vt:lpstr>月別割合</vt:lpstr>
      <vt:lpstr>採取日1</vt:lpstr>
      <vt:lpstr>採取日2</vt:lpstr>
      <vt:lpstr>事故日</vt:lpstr>
      <vt:lpstr>濃度回帰式!事故日の濃度1</vt:lpstr>
      <vt:lpstr>事故日の濃度1</vt:lpstr>
      <vt:lpstr>事故日の濃度2</vt:lpstr>
      <vt:lpstr>主灰発生率</vt:lpstr>
      <vt:lpstr>濃度回帰式!除数11</vt:lpstr>
      <vt:lpstr>除数11</vt:lpstr>
      <vt:lpstr>除数12</vt:lpstr>
      <vt:lpstr>除数21</vt:lpstr>
      <vt:lpstr>除数22</vt:lpstr>
      <vt:lpstr>焼却_t_年</vt:lpstr>
      <vt:lpstr>調査初日</vt:lpstr>
      <vt:lpstr>年度</vt:lpstr>
      <vt:lpstr>年度別焼却量</vt:lpstr>
      <vt:lpstr>年度別焼却量2</vt:lpstr>
      <vt:lpstr>濃度比</vt:lpstr>
      <vt:lpstr>濃度回帰式!半1</vt:lpstr>
      <vt:lpstr>半1</vt:lpstr>
      <vt:lpstr>半2</vt:lpstr>
      <vt:lpstr>半Cs134</vt:lpstr>
      <vt:lpstr>半Cs137</vt:lpstr>
      <vt:lpstr>半I131</vt:lpstr>
      <vt:lpstr>飛灰発生率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kmdみやぎ</cp:lastModifiedBy>
  <dcterms:created xsi:type="dcterms:W3CDTF">2019-04-21T12:24:18Z</dcterms:created>
  <dcterms:modified xsi:type="dcterms:W3CDTF">2019-12-17T23:42:12Z</dcterms:modified>
</cp:coreProperties>
</file>