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drawings/drawing2.xml" ContentType="application/vnd.openxmlformats-officedocument.drawing+xml"/>
  <Override PartName="/xl/charts/chart4.xml" ContentType="application/vnd.openxmlformats-officedocument.drawingml.chart+xml"/>
  <Override PartName="/xl/theme/themeOverride4.xml" ContentType="application/vnd.openxmlformats-officedocument.themeOverride+xml"/>
  <Override PartName="/xl/charts/chart5.xml" ContentType="application/vnd.openxmlformats-officedocument.drawingml.chart+xml"/>
  <Override PartName="/xl/theme/themeOverride5.xml" ContentType="application/vnd.openxmlformats-officedocument.themeOverride+xml"/>
  <Override PartName="/xl/charts/chart6.xml" ContentType="application/vnd.openxmlformats-officedocument.drawingml.chart+xml"/>
  <Override PartName="/xl/theme/themeOverride6.xml" ContentType="application/vnd.openxmlformats-officedocument.themeOverride+xml"/>
  <Override PartName="/xl/drawings/drawing3.xml" ContentType="application/vnd.openxmlformats-officedocument.drawing+xml"/>
  <Override PartName="/xl/charts/chart7.xml" ContentType="application/vnd.openxmlformats-officedocument.drawingml.chart+xml"/>
  <Override PartName="/xl/theme/themeOverride7.xml" ContentType="application/vnd.openxmlformats-officedocument.themeOverride+xml"/>
  <Override PartName="/xl/charts/chart8.xml" ContentType="application/vnd.openxmlformats-officedocument.drawingml.chart+xml"/>
  <Override PartName="/xl/theme/themeOverride8.xml" ContentType="application/vnd.openxmlformats-officedocument.themeOverride+xml"/>
  <Override PartName="/xl/charts/chart9.xml" ContentType="application/vnd.openxmlformats-officedocument.drawingml.chart+xml"/>
  <Override PartName="/xl/theme/themeOverride9.xml" ContentType="application/vnd.openxmlformats-officedocument.themeOverride+xml"/>
  <Override PartName="/xl/charts/chart10.xml" ContentType="application/vnd.openxmlformats-officedocument.drawingml.chart+xml"/>
  <Override PartName="/xl/theme/themeOverride10.xml" ContentType="application/vnd.openxmlformats-officedocument.themeOverride+xml"/>
  <Override PartName="/xl/charts/chart11.xml" ContentType="application/vnd.openxmlformats-officedocument.drawingml.chart+xml"/>
  <Override PartName="/xl/theme/themeOverride11.xml" ContentType="application/vnd.openxmlformats-officedocument.themeOverride+xml"/>
  <Override PartName="/xl/drawings/drawing4.xml" ContentType="application/vnd.openxmlformats-officedocument.drawing+xml"/>
  <Override PartName="/xl/charts/chart12.xml" ContentType="application/vnd.openxmlformats-officedocument.drawingml.chart+xml"/>
  <Override PartName="/xl/theme/themeOverride12.xml" ContentType="application/vnd.openxmlformats-officedocument.themeOverride+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4385" yWindow="-15" windowWidth="7200" windowHeight="4605"/>
  </bookViews>
  <sheets>
    <sheet name="まとめ" sheetId="1" r:id="rId1"/>
    <sheet name="焼却場" sheetId="7" r:id="rId2"/>
    <sheet name="月間量回帰式" sheetId="5" r:id="rId3"/>
    <sheet name="濃度回帰式" sheetId="6" r:id="rId4"/>
    <sheet name="一廃実調" sheetId="4" r:id="rId5"/>
    <sheet name="処分場" sheetId="8" r:id="rId6"/>
  </sheets>
  <externalReferences>
    <externalReference r:id="rId7"/>
  </externalReferences>
  <definedNames>
    <definedName name="_xlnm._FilterDatabase" localSheetId="4" hidden="1">一廃実調!$B$18:$Y$102</definedName>
    <definedName name="Cs134Av">まとめ!$AL$10</definedName>
    <definedName name="Cs137Av">まとめ!$AM$10</definedName>
    <definedName name="下駄1" localSheetId="3">濃度回帰式!$O$52</definedName>
    <definedName name="下駄2">濃度回帰式!$R$52</definedName>
    <definedName name="月">まとめ!$R$7:$R$19</definedName>
    <definedName name="月値割合表">まとめ!$R$7:$S$19</definedName>
    <definedName name="月別割合">まとめ!$R$7:$S$19</definedName>
    <definedName name="混合灰発生率">まとめ!$AC$19</definedName>
    <definedName name="混合灰率">[1]まとめ気!$H$32</definedName>
    <definedName name="採取日1">まとめ!$AJ$8</definedName>
    <definedName name="採取日2">まとめ!$AJ$9</definedName>
    <definedName name="事故日">まとめ!$R$32</definedName>
    <definedName name="事故日の濃度1" localSheetId="3">濃度回帰式!$O$53</definedName>
    <definedName name="事故日の濃度2">濃度回帰式!$R$53</definedName>
    <definedName name="主灰発生率">まとめ!$AC$18</definedName>
    <definedName name="主灰率">[1]まとめ気!$D$32</definedName>
    <definedName name="除数11" localSheetId="3">濃度回帰式!$O$51</definedName>
    <definedName name="除数12">濃度回帰式!$O$54</definedName>
    <definedName name="除数21">濃度回帰式!$R$51</definedName>
    <definedName name="除数22">濃度回帰式!$R$54</definedName>
    <definedName name="焼却_t_年">まとめ!$X$7:$X$20</definedName>
    <definedName name="調査初日">まとめ!$R$33</definedName>
    <definedName name="年度">まとめ!$W$7:$W$22</definedName>
    <definedName name="年度別焼却量">まとめ!$W$7:$X$19</definedName>
    <definedName name="濃度比">まとめ!$AE$13</definedName>
    <definedName name="半1" localSheetId="3">濃度回帰式!$O$50</definedName>
    <definedName name="半2">濃度回帰式!$R$50</definedName>
    <definedName name="半Cs134">まとめ!$AK$28</definedName>
    <definedName name="半Cs137">まとめ!$AL$28</definedName>
    <definedName name="半I131">まとめ!$AJ$28</definedName>
    <definedName name="飛灰発生率">まとめ!$AC$17</definedName>
    <definedName name="飛灰率">[1]まとめ気!$F$32</definedName>
  </definedNames>
  <calcPr calcId="145621" refMode="R1C1"/>
</workbook>
</file>

<file path=xl/calcChain.xml><?xml version="1.0" encoding="utf-8"?>
<calcChain xmlns="http://schemas.openxmlformats.org/spreadsheetml/2006/main">
  <c r="AA102" i="4" l="1"/>
  <c r="AA101" i="4"/>
  <c r="AA100" i="4"/>
  <c r="AQ113" i="1"/>
  <c r="AQ101" i="1"/>
  <c r="AQ89" i="1"/>
  <c r="AQ77" i="1"/>
  <c r="AQ65" i="1"/>
  <c r="AQ53" i="1"/>
  <c r="AQ41" i="1"/>
  <c r="AQ119" i="1"/>
  <c r="AQ107" i="1"/>
  <c r="AQ95" i="1"/>
  <c r="AQ83" i="1"/>
  <c r="AQ71" i="1"/>
  <c r="AQ59" i="1"/>
  <c r="AQ47" i="1"/>
  <c r="AQ35" i="1"/>
  <c r="AV37" i="1"/>
  <c r="AW37" i="1"/>
  <c r="AV38" i="1"/>
  <c r="AW38" i="1"/>
  <c r="AV39" i="1"/>
  <c r="AW39" i="1"/>
  <c r="AV40" i="1"/>
  <c r="AW40" i="1"/>
  <c r="AV41" i="1"/>
  <c r="AW41" i="1"/>
  <c r="AV42" i="1"/>
  <c r="AW42" i="1"/>
  <c r="AV43" i="1"/>
  <c r="AW43" i="1"/>
  <c r="AV44" i="1"/>
  <c r="AW44" i="1"/>
  <c r="AV45" i="1"/>
  <c r="AW45" i="1"/>
  <c r="AV46" i="1"/>
  <c r="AW46" i="1"/>
  <c r="AV47" i="1"/>
  <c r="AW47" i="1"/>
  <c r="AV48" i="1"/>
  <c r="AW48" i="1"/>
  <c r="AV49" i="1"/>
  <c r="AW49" i="1"/>
  <c r="AV50" i="1"/>
  <c r="AW50" i="1"/>
  <c r="AV51" i="1"/>
  <c r="AW51" i="1"/>
  <c r="AV52" i="1"/>
  <c r="AW52" i="1"/>
  <c r="AV53" i="1"/>
  <c r="AW53" i="1"/>
  <c r="AV54" i="1"/>
  <c r="AW54" i="1"/>
  <c r="AV55" i="1"/>
  <c r="AW55" i="1"/>
  <c r="AV56" i="1"/>
  <c r="AW56" i="1"/>
  <c r="AV57" i="1"/>
  <c r="AW57" i="1"/>
  <c r="AV58" i="1"/>
  <c r="AW58" i="1"/>
  <c r="AV59" i="1"/>
  <c r="AW59" i="1"/>
  <c r="AV60" i="1"/>
  <c r="AW60" i="1"/>
  <c r="AV61" i="1"/>
  <c r="AW61" i="1"/>
  <c r="AV62" i="1"/>
  <c r="AW62" i="1"/>
  <c r="AV63" i="1"/>
  <c r="AW63" i="1"/>
  <c r="AV64" i="1"/>
  <c r="AW64" i="1"/>
  <c r="AV65" i="1"/>
  <c r="AW65" i="1"/>
  <c r="AV66" i="1"/>
  <c r="AW66" i="1"/>
  <c r="AV67" i="1"/>
  <c r="AW67" i="1"/>
  <c r="AV68" i="1"/>
  <c r="AW68" i="1"/>
  <c r="AV69" i="1"/>
  <c r="AW69" i="1"/>
  <c r="AV70" i="1"/>
  <c r="AW70" i="1"/>
  <c r="AV71" i="1"/>
  <c r="AW71" i="1"/>
  <c r="AV72" i="1"/>
  <c r="AW72" i="1"/>
  <c r="AV73" i="1"/>
  <c r="AW73" i="1"/>
  <c r="AV74" i="1"/>
  <c r="AW74" i="1"/>
  <c r="AV75" i="1"/>
  <c r="AW75" i="1"/>
  <c r="AV76" i="1"/>
  <c r="AW76" i="1"/>
  <c r="AV77" i="1"/>
  <c r="AW77" i="1"/>
  <c r="AV78" i="1"/>
  <c r="AW78" i="1"/>
  <c r="AV79" i="1"/>
  <c r="AW79" i="1"/>
  <c r="AV80" i="1"/>
  <c r="AW80" i="1"/>
  <c r="AV81" i="1"/>
  <c r="AW81" i="1"/>
  <c r="AV82" i="1"/>
  <c r="AW82" i="1"/>
  <c r="AV83" i="1"/>
  <c r="AW83" i="1"/>
  <c r="AV84" i="1"/>
  <c r="AW84" i="1"/>
  <c r="AV85" i="1"/>
  <c r="AW85" i="1"/>
  <c r="AV86" i="1"/>
  <c r="AW86" i="1"/>
  <c r="AV87" i="1"/>
  <c r="AW87" i="1"/>
  <c r="AV88" i="1"/>
  <c r="AW88" i="1"/>
  <c r="AV89" i="1"/>
  <c r="AW89" i="1"/>
  <c r="AV90" i="1"/>
  <c r="AW90" i="1"/>
  <c r="AV91" i="1"/>
  <c r="AW91" i="1"/>
  <c r="AV92" i="1"/>
  <c r="AW92" i="1"/>
  <c r="AV93" i="1"/>
  <c r="AW93" i="1"/>
  <c r="AV94" i="1"/>
  <c r="AW94" i="1"/>
  <c r="AV95" i="1"/>
  <c r="AW95" i="1"/>
  <c r="AV96" i="1"/>
  <c r="AW96" i="1"/>
  <c r="AV97" i="1"/>
  <c r="AW97" i="1"/>
  <c r="AV98" i="1"/>
  <c r="AW98" i="1"/>
  <c r="AV99" i="1"/>
  <c r="AW99" i="1"/>
  <c r="AV100" i="1"/>
  <c r="AW100" i="1"/>
  <c r="AV101" i="1"/>
  <c r="AW101" i="1"/>
  <c r="AV102" i="1"/>
  <c r="AW102" i="1"/>
  <c r="AV103" i="1"/>
  <c r="AW103" i="1"/>
  <c r="AV104" i="1"/>
  <c r="AW104" i="1"/>
  <c r="AV105" i="1"/>
  <c r="AW105" i="1"/>
  <c r="AV106" i="1"/>
  <c r="AW106" i="1"/>
  <c r="AV107" i="1"/>
  <c r="AW107" i="1"/>
  <c r="AV108" i="1"/>
  <c r="AW108" i="1"/>
  <c r="AV109" i="1"/>
  <c r="AW109" i="1"/>
  <c r="AV110" i="1"/>
  <c r="AW110" i="1"/>
  <c r="AV111" i="1"/>
  <c r="AW111" i="1"/>
  <c r="AV112" i="1"/>
  <c r="AW112" i="1"/>
  <c r="AV113" i="1"/>
  <c r="AW113" i="1"/>
  <c r="AV114" i="1"/>
  <c r="AW114" i="1"/>
  <c r="AV115" i="1"/>
  <c r="AW115" i="1"/>
  <c r="AV116" i="1"/>
  <c r="AW116" i="1"/>
  <c r="AV117" i="1"/>
  <c r="AW117" i="1"/>
  <c r="AV118" i="1"/>
  <c r="AW118" i="1"/>
  <c r="AV119" i="1"/>
  <c r="AW119" i="1"/>
  <c r="AW36" i="1"/>
  <c r="AV36" i="1"/>
  <c r="BK42" i="1" l="1"/>
  <c r="BK43" i="1"/>
  <c r="BK44" i="1"/>
  <c r="BK45" i="1"/>
  <c r="BK46" i="1"/>
  <c r="BK47" i="1"/>
  <c r="BK48" i="1"/>
  <c r="BK49" i="1"/>
  <c r="BK50" i="1"/>
  <c r="BK51" i="1"/>
  <c r="BK52" i="1"/>
  <c r="BK53" i="1"/>
  <c r="BK54" i="1"/>
  <c r="AN119" i="1" l="1"/>
  <c r="AN34" i="1"/>
  <c r="AN35" i="1"/>
  <c r="AN36" i="1"/>
  <c r="AN37" i="1"/>
  <c r="AN38" i="1"/>
  <c r="AN39" i="1"/>
  <c r="AN40" i="1"/>
  <c r="AN41" i="1"/>
  <c r="AN42" i="1"/>
  <c r="AN43" i="1"/>
  <c r="AN44" i="1"/>
  <c r="AN45" i="1"/>
  <c r="AN46" i="1"/>
  <c r="AN47" i="1"/>
  <c r="AN48" i="1"/>
  <c r="AN49" i="1"/>
  <c r="AN50" i="1"/>
  <c r="AN51" i="1"/>
  <c r="AN52" i="1"/>
  <c r="AN53" i="1"/>
  <c r="AN54" i="1"/>
  <c r="AN55" i="1"/>
  <c r="AN56" i="1"/>
  <c r="AN57" i="1"/>
  <c r="AN58" i="1"/>
  <c r="AN59" i="1"/>
  <c r="AN60" i="1"/>
  <c r="AN61" i="1"/>
  <c r="AN62" i="1"/>
  <c r="AN63" i="1"/>
  <c r="AN64" i="1"/>
  <c r="AN65" i="1"/>
  <c r="AN66" i="1"/>
  <c r="AN67" i="1"/>
  <c r="AN68" i="1"/>
  <c r="AN69" i="1"/>
  <c r="AN70" i="1"/>
  <c r="AN71" i="1"/>
  <c r="AN72" i="1"/>
  <c r="AN73" i="1"/>
  <c r="AN74" i="1"/>
  <c r="AN75" i="1"/>
  <c r="AN76" i="1"/>
  <c r="AN77" i="1"/>
  <c r="AN78" i="1"/>
  <c r="AN79" i="1"/>
  <c r="AN80" i="1"/>
  <c r="AN81" i="1"/>
  <c r="AN82" i="1"/>
  <c r="AN83" i="1"/>
  <c r="AN84" i="1"/>
  <c r="AN85" i="1"/>
  <c r="AN86" i="1"/>
  <c r="AN87" i="1"/>
  <c r="AN88" i="1"/>
  <c r="AN89" i="1"/>
  <c r="AN90" i="1"/>
  <c r="AN91" i="1"/>
  <c r="AN92" i="1"/>
  <c r="AN93" i="1"/>
  <c r="AN94" i="1"/>
  <c r="AN95" i="1"/>
  <c r="AN96" i="1"/>
  <c r="AN97" i="1"/>
  <c r="AN98" i="1"/>
  <c r="AN99" i="1"/>
  <c r="AN100" i="1"/>
  <c r="AN101" i="1"/>
  <c r="AN102" i="1"/>
  <c r="AN103" i="1"/>
  <c r="AN104" i="1"/>
  <c r="AN105" i="1"/>
  <c r="AN106" i="1"/>
  <c r="AN107" i="1"/>
  <c r="AN108" i="1"/>
  <c r="AN109" i="1"/>
  <c r="AN110" i="1"/>
  <c r="AN111" i="1"/>
  <c r="AN112" i="1"/>
  <c r="AN113" i="1"/>
  <c r="AN114" i="1"/>
  <c r="AN115" i="1"/>
  <c r="AN116" i="1"/>
  <c r="AN117" i="1"/>
  <c r="AN118" i="1"/>
  <c r="AN33" i="1"/>
  <c r="AB38" i="1" l="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0"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7" i="1"/>
  <c r="AB98" i="1"/>
  <c r="AB99" i="1"/>
  <c r="AB100" i="1"/>
  <c r="AB101" i="1"/>
  <c r="AB102" i="1"/>
  <c r="AB103" i="1"/>
  <c r="AB104" i="1"/>
  <c r="AB105" i="1"/>
  <c r="AB106" i="1"/>
  <c r="AB107" i="1"/>
  <c r="AB108" i="1"/>
  <c r="AB109" i="1"/>
  <c r="AB110" i="1"/>
  <c r="AB111" i="1"/>
  <c r="AB112" i="1"/>
  <c r="AB113" i="1"/>
  <c r="AB114" i="1"/>
  <c r="AB115" i="1"/>
  <c r="AB116" i="1"/>
  <c r="AB117" i="1"/>
  <c r="AB118" i="1"/>
  <c r="AB119" i="1"/>
  <c r="AB34" i="1"/>
  <c r="AB35" i="1"/>
  <c r="AB36" i="1"/>
  <c r="AB37" i="1"/>
  <c r="AB33" i="1"/>
  <c r="Z118" i="1"/>
  <c r="Y118" i="1"/>
  <c r="Z117" i="1"/>
  <c r="Y117" i="1"/>
  <c r="Z116" i="1"/>
  <c r="Y116" i="1"/>
  <c r="Z115" i="1"/>
  <c r="Y115" i="1"/>
  <c r="Z114" i="1"/>
  <c r="Y114" i="1"/>
  <c r="Z113" i="1"/>
  <c r="Y113" i="1"/>
  <c r="Z112" i="1"/>
  <c r="Y112" i="1"/>
  <c r="Z111" i="1"/>
  <c r="Y111" i="1"/>
  <c r="Z110" i="1"/>
  <c r="Y110" i="1"/>
  <c r="Z109" i="1"/>
  <c r="Y109" i="1"/>
  <c r="Z108" i="1"/>
  <c r="Y108" i="1"/>
  <c r="Z107" i="1"/>
  <c r="Y107" i="1"/>
  <c r="Z106" i="1"/>
  <c r="Y106" i="1"/>
  <c r="Z119" i="1"/>
  <c r="Y119" i="1"/>
  <c r="W118" i="1"/>
  <c r="V118" i="1"/>
  <c r="W117" i="1"/>
  <c r="V117" i="1"/>
  <c r="W116" i="1"/>
  <c r="V116" i="1"/>
  <c r="W115" i="1"/>
  <c r="V115" i="1"/>
  <c r="W114" i="1"/>
  <c r="V114" i="1"/>
  <c r="W113" i="1"/>
  <c r="V113" i="1"/>
  <c r="W112" i="1"/>
  <c r="V112" i="1"/>
  <c r="W111" i="1"/>
  <c r="V111" i="1"/>
  <c r="W110" i="1"/>
  <c r="V110" i="1"/>
  <c r="W109" i="1"/>
  <c r="V109" i="1"/>
  <c r="W108" i="1"/>
  <c r="V108" i="1"/>
  <c r="W107" i="1"/>
  <c r="V107" i="1"/>
  <c r="W106" i="1"/>
  <c r="V106" i="1"/>
  <c r="W119" i="1"/>
  <c r="V119" i="1"/>
  <c r="T118" i="1"/>
  <c r="S118" i="1"/>
  <c r="T117" i="1"/>
  <c r="S117" i="1"/>
  <c r="T116" i="1"/>
  <c r="S116" i="1"/>
  <c r="T115" i="1"/>
  <c r="S115" i="1"/>
  <c r="T114" i="1"/>
  <c r="S114" i="1"/>
  <c r="T113" i="1"/>
  <c r="S113" i="1"/>
  <c r="T112" i="1"/>
  <c r="S112" i="1"/>
  <c r="T111" i="1"/>
  <c r="S111" i="1"/>
  <c r="T110" i="1"/>
  <c r="S110" i="1"/>
  <c r="T109" i="1"/>
  <c r="S109" i="1"/>
  <c r="T108" i="1"/>
  <c r="S108" i="1"/>
  <c r="T107" i="1"/>
  <c r="S107" i="1"/>
  <c r="T106" i="1"/>
  <c r="S106" i="1"/>
  <c r="T119" i="1"/>
  <c r="S119" i="1"/>
  <c r="AT46" i="1"/>
  <c r="AT47" i="1"/>
  <c r="AT48" i="1"/>
  <c r="AT49" i="1"/>
  <c r="AT50" i="1"/>
  <c r="AT51" i="1"/>
  <c r="AT52" i="1"/>
  <c r="AT53" i="1"/>
  <c r="AT54" i="1"/>
  <c r="AT55" i="1"/>
  <c r="AT56" i="1"/>
  <c r="AT57" i="1"/>
  <c r="AT58" i="1"/>
  <c r="AT59" i="1"/>
  <c r="AT60" i="1"/>
  <c r="AT61" i="1"/>
  <c r="AT62" i="1"/>
  <c r="AT63" i="1"/>
  <c r="AT64" i="1"/>
  <c r="AT65" i="1"/>
  <c r="AT66" i="1"/>
  <c r="AT67" i="1"/>
  <c r="AT68" i="1"/>
  <c r="AT69" i="1"/>
  <c r="AT70" i="1"/>
  <c r="AT71" i="1"/>
  <c r="AT72" i="1"/>
  <c r="AT73" i="1"/>
  <c r="AT74" i="1"/>
  <c r="AT75" i="1"/>
  <c r="AT76" i="1"/>
  <c r="AT77" i="1"/>
  <c r="AT78" i="1"/>
  <c r="AT79" i="1"/>
  <c r="AT80" i="1"/>
  <c r="AT81" i="1"/>
  <c r="AT82" i="1"/>
  <c r="AT83" i="1"/>
  <c r="AT84" i="1"/>
  <c r="AT85" i="1"/>
  <c r="AT86" i="1"/>
  <c r="AT87" i="1"/>
  <c r="AT88" i="1"/>
  <c r="AT89" i="1"/>
  <c r="AT90" i="1"/>
  <c r="AT91" i="1"/>
  <c r="AT92" i="1"/>
  <c r="AT93" i="1"/>
  <c r="AT94" i="1"/>
  <c r="AT95" i="1"/>
  <c r="AA95" i="1" s="1"/>
  <c r="AT96" i="1"/>
  <c r="Y96" i="1" s="1"/>
  <c r="AT97" i="1"/>
  <c r="Y97" i="1" s="1"/>
  <c r="AT98" i="1"/>
  <c r="Y98" i="1" s="1"/>
  <c r="AT99" i="1"/>
  <c r="Y99" i="1" s="1"/>
  <c r="AT100" i="1"/>
  <c r="Y100" i="1" s="1"/>
  <c r="AT101" i="1"/>
  <c r="Y101" i="1" s="1"/>
  <c r="AT102" i="1"/>
  <c r="Y102" i="1" s="1"/>
  <c r="AT103" i="1"/>
  <c r="Y103" i="1" s="1"/>
  <c r="AT104" i="1"/>
  <c r="Y104" i="1" s="1"/>
  <c r="AT105" i="1"/>
  <c r="Y105" i="1" s="1"/>
  <c r="AT106" i="1"/>
  <c r="AT107" i="1"/>
  <c r="AT108" i="1"/>
  <c r="AT109" i="1"/>
  <c r="AT110" i="1"/>
  <c r="AT111" i="1"/>
  <c r="AT112" i="1"/>
  <c r="AT113" i="1"/>
  <c r="AT114" i="1"/>
  <c r="AT115" i="1"/>
  <c r="AT116" i="1"/>
  <c r="AT117" i="1"/>
  <c r="AT118" i="1"/>
  <c r="AT119" i="1"/>
  <c r="AT37" i="1"/>
  <c r="AT38" i="1"/>
  <c r="AT39" i="1"/>
  <c r="AT40" i="1"/>
  <c r="AT41" i="1"/>
  <c r="AT42" i="1"/>
  <c r="AT43" i="1"/>
  <c r="AT44" i="1"/>
  <c r="AT45" i="1"/>
  <c r="AT36" i="1"/>
  <c r="AA94" i="1" l="1"/>
  <c r="Z95" i="1"/>
  <c r="Y95" i="1"/>
  <c r="S96" i="1"/>
  <c r="S97" i="1"/>
  <c r="S98" i="1"/>
  <c r="S99" i="1"/>
  <c r="S100" i="1"/>
  <c r="S101" i="1"/>
  <c r="S102" i="1"/>
  <c r="S103" i="1"/>
  <c r="S104" i="1"/>
  <c r="S105" i="1"/>
  <c r="W96" i="1"/>
  <c r="W97" i="1"/>
  <c r="W98" i="1"/>
  <c r="W99" i="1"/>
  <c r="W100" i="1"/>
  <c r="W101" i="1"/>
  <c r="W102" i="1"/>
  <c r="W103" i="1"/>
  <c r="W104" i="1"/>
  <c r="W105" i="1"/>
  <c r="Z96" i="1"/>
  <c r="Z97" i="1"/>
  <c r="Z98" i="1"/>
  <c r="Z99" i="1"/>
  <c r="Z100" i="1"/>
  <c r="Z101" i="1"/>
  <c r="Z102" i="1"/>
  <c r="Z103" i="1"/>
  <c r="Z104" i="1"/>
  <c r="Z105" i="1"/>
  <c r="T96" i="1"/>
  <c r="T97" i="1"/>
  <c r="T98" i="1"/>
  <c r="T99" i="1"/>
  <c r="T100" i="1"/>
  <c r="T101" i="1"/>
  <c r="T102" i="1"/>
  <c r="T103" i="1"/>
  <c r="T104" i="1"/>
  <c r="T105" i="1"/>
  <c r="V96" i="1"/>
  <c r="V97" i="1"/>
  <c r="V98" i="1"/>
  <c r="V99" i="1"/>
  <c r="V100" i="1"/>
  <c r="V101" i="1"/>
  <c r="V102" i="1"/>
  <c r="V103" i="1"/>
  <c r="V104" i="1"/>
  <c r="V105" i="1"/>
  <c r="U95" i="1"/>
  <c r="X95" i="1"/>
  <c r="AG33" i="1"/>
  <c r="AE33" i="1"/>
  <c r="AC33" i="1"/>
  <c r="AG34" i="1"/>
  <c r="AE34" i="1"/>
  <c r="AC34" i="1"/>
  <c r="AE116" i="1"/>
  <c r="AG116" i="1"/>
  <c r="AC116" i="1"/>
  <c r="AG37" i="1"/>
  <c r="AE37" i="1"/>
  <c r="AC37" i="1"/>
  <c r="AG35" i="1"/>
  <c r="AC35" i="1"/>
  <c r="AE35" i="1"/>
  <c r="AG119" i="1"/>
  <c r="AE119" i="1"/>
  <c r="AC119" i="1"/>
  <c r="AG117" i="1"/>
  <c r="AE117" i="1"/>
  <c r="AC117" i="1"/>
  <c r="AG115" i="1"/>
  <c r="AE115" i="1"/>
  <c r="AC115" i="1"/>
  <c r="AG113" i="1"/>
  <c r="AE113" i="1"/>
  <c r="AC113" i="1"/>
  <c r="AG111" i="1"/>
  <c r="AE111" i="1"/>
  <c r="AC111" i="1"/>
  <c r="AG109" i="1"/>
  <c r="AE109" i="1"/>
  <c r="AC109" i="1"/>
  <c r="AG107" i="1"/>
  <c r="AE107" i="1"/>
  <c r="AC107" i="1"/>
  <c r="AG105" i="1"/>
  <c r="AE105" i="1"/>
  <c r="AC105" i="1"/>
  <c r="AG103" i="1"/>
  <c r="AE103" i="1"/>
  <c r="AC103" i="1"/>
  <c r="AG101" i="1"/>
  <c r="AE101" i="1"/>
  <c r="AC101" i="1"/>
  <c r="AG99" i="1"/>
  <c r="AE99" i="1"/>
  <c r="AC99" i="1"/>
  <c r="AG97" i="1"/>
  <c r="AE97" i="1"/>
  <c r="AC97" i="1"/>
  <c r="AG95" i="1"/>
  <c r="AH95" i="1" s="1"/>
  <c r="AE95" i="1"/>
  <c r="AC95" i="1"/>
  <c r="AG93" i="1"/>
  <c r="AE93" i="1"/>
  <c r="AC93" i="1"/>
  <c r="AG91" i="1"/>
  <c r="AE91" i="1"/>
  <c r="AC91" i="1"/>
  <c r="AG89" i="1"/>
  <c r="AE89" i="1"/>
  <c r="AC89" i="1"/>
  <c r="AG87" i="1"/>
  <c r="AE87" i="1"/>
  <c r="AC87" i="1"/>
  <c r="AG85" i="1"/>
  <c r="AE85" i="1"/>
  <c r="AC85" i="1"/>
  <c r="AG83" i="1"/>
  <c r="AE83" i="1"/>
  <c r="AC83" i="1"/>
  <c r="AG81" i="1"/>
  <c r="AE81" i="1"/>
  <c r="AC81" i="1"/>
  <c r="AG79" i="1"/>
  <c r="AE79" i="1"/>
  <c r="AC79" i="1"/>
  <c r="AG77" i="1"/>
  <c r="AE77" i="1"/>
  <c r="AC77" i="1"/>
  <c r="AG75" i="1"/>
  <c r="AE75" i="1"/>
  <c r="AC75" i="1"/>
  <c r="AG73" i="1"/>
  <c r="AE73" i="1"/>
  <c r="AC73" i="1"/>
  <c r="AG71" i="1"/>
  <c r="AE71" i="1"/>
  <c r="AC71" i="1"/>
  <c r="AG69" i="1"/>
  <c r="AE69" i="1"/>
  <c r="AC69" i="1"/>
  <c r="AG67" i="1"/>
  <c r="AE67" i="1"/>
  <c r="AC67" i="1"/>
  <c r="AG65" i="1"/>
  <c r="AE65" i="1"/>
  <c r="AC65" i="1"/>
  <c r="AG63" i="1"/>
  <c r="AE63" i="1"/>
  <c r="AC63" i="1"/>
  <c r="AG61" i="1"/>
  <c r="AE61" i="1"/>
  <c r="AC61" i="1"/>
  <c r="AG59" i="1"/>
  <c r="AE59" i="1"/>
  <c r="AC59" i="1"/>
  <c r="AG57" i="1"/>
  <c r="AE57" i="1"/>
  <c r="AC57" i="1"/>
  <c r="AG55" i="1"/>
  <c r="AE55" i="1"/>
  <c r="AC55" i="1"/>
  <c r="AG53" i="1"/>
  <c r="AE53" i="1"/>
  <c r="AC53" i="1"/>
  <c r="AG51" i="1"/>
  <c r="AE51" i="1"/>
  <c r="AC51" i="1"/>
  <c r="AG49" i="1"/>
  <c r="AE49" i="1"/>
  <c r="AC49" i="1"/>
  <c r="AG47" i="1"/>
  <c r="AE47" i="1"/>
  <c r="AC47" i="1"/>
  <c r="AG45" i="1"/>
  <c r="AE45" i="1"/>
  <c r="AC45" i="1"/>
  <c r="AG43" i="1"/>
  <c r="AE43" i="1"/>
  <c r="AC43" i="1"/>
  <c r="AG41" i="1"/>
  <c r="AE41" i="1"/>
  <c r="AC41" i="1"/>
  <c r="AG39" i="1"/>
  <c r="AE39" i="1"/>
  <c r="AC39" i="1"/>
  <c r="AG36" i="1"/>
  <c r="AE36" i="1"/>
  <c r="AC36" i="1"/>
  <c r="AE118" i="1"/>
  <c r="AG118" i="1"/>
  <c r="AC118" i="1"/>
  <c r="AE114" i="1"/>
  <c r="AG114" i="1"/>
  <c r="AC114" i="1"/>
  <c r="AE112" i="1"/>
  <c r="AG112" i="1"/>
  <c r="AC112" i="1"/>
  <c r="AE110" i="1"/>
  <c r="AG110" i="1"/>
  <c r="AC110" i="1"/>
  <c r="AE108" i="1"/>
  <c r="AG108" i="1"/>
  <c r="AC108" i="1"/>
  <c r="AE106" i="1"/>
  <c r="AG106" i="1"/>
  <c r="AC106" i="1"/>
  <c r="AE104" i="1"/>
  <c r="AG104" i="1"/>
  <c r="AC104" i="1"/>
  <c r="AE102" i="1"/>
  <c r="AG102" i="1"/>
  <c r="AC102" i="1"/>
  <c r="AE100" i="1"/>
  <c r="AG100" i="1"/>
  <c r="AC100" i="1"/>
  <c r="AE98" i="1"/>
  <c r="AG98" i="1"/>
  <c r="AC98" i="1"/>
  <c r="AE96" i="1"/>
  <c r="AG96" i="1"/>
  <c r="AC96" i="1"/>
  <c r="AE94" i="1"/>
  <c r="AG94" i="1"/>
  <c r="AH94" i="1" s="1"/>
  <c r="AC94" i="1"/>
  <c r="AE92" i="1"/>
  <c r="AG92" i="1"/>
  <c r="AC92" i="1"/>
  <c r="AE90" i="1"/>
  <c r="AG90" i="1"/>
  <c r="AC90" i="1"/>
  <c r="AE88" i="1"/>
  <c r="AG88" i="1"/>
  <c r="AC88" i="1"/>
  <c r="AE86" i="1"/>
  <c r="AG86" i="1"/>
  <c r="AC86" i="1"/>
  <c r="AE84" i="1"/>
  <c r="AG84" i="1"/>
  <c r="AC84" i="1"/>
  <c r="AE82" i="1"/>
  <c r="AG82" i="1"/>
  <c r="AC82" i="1"/>
  <c r="AE80" i="1"/>
  <c r="AG80" i="1"/>
  <c r="AC80" i="1"/>
  <c r="AE78" i="1"/>
  <c r="AG78" i="1"/>
  <c r="AC78" i="1"/>
  <c r="AE76" i="1"/>
  <c r="AG76" i="1"/>
  <c r="AC76" i="1"/>
  <c r="AE74" i="1"/>
  <c r="AG74" i="1"/>
  <c r="AC74" i="1"/>
  <c r="AE72" i="1"/>
  <c r="AG72" i="1"/>
  <c r="AC72" i="1"/>
  <c r="AE70" i="1"/>
  <c r="AG70" i="1"/>
  <c r="AC70" i="1"/>
  <c r="AE68" i="1"/>
  <c r="AG68" i="1"/>
  <c r="AC68" i="1"/>
  <c r="AE66" i="1"/>
  <c r="AG66" i="1"/>
  <c r="AC66" i="1"/>
  <c r="AE64" i="1"/>
  <c r="AG64" i="1"/>
  <c r="AC64" i="1"/>
  <c r="AE62" i="1"/>
  <c r="AG62" i="1"/>
  <c r="AC62" i="1"/>
  <c r="AE60" i="1"/>
  <c r="AG60" i="1"/>
  <c r="AC60" i="1"/>
  <c r="AE58" i="1"/>
  <c r="AG58" i="1"/>
  <c r="AC58" i="1"/>
  <c r="AE56" i="1"/>
  <c r="AG56" i="1"/>
  <c r="AC56" i="1"/>
  <c r="AE54" i="1"/>
  <c r="AG54" i="1"/>
  <c r="AC54" i="1"/>
  <c r="AE52" i="1"/>
  <c r="AG52" i="1"/>
  <c r="AC52" i="1"/>
  <c r="AE50" i="1"/>
  <c r="AG50" i="1"/>
  <c r="AC50" i="1"/>
  <c r="AE48" i="1"/>
  <c r="AG48" i="1"/>
  <c r="AC48" i="1"/>
  <c r="AE46" i="1"/>
  <c r="AG46" i="1"/>
  <c r="AC46" i="1"/>
  <c r="AE44" i="1"/>
  <c r="AG44" i="1"/>
  <c r="AC44" i="1"/>
  <c r="AE42" i="1"/>
  <c r="AG42" i="1"/>
  <c r="AC42" i="1"/>
  <c r="AE40" i="1"/>
  <c r="AG40" i="1"/>
  <c r="AC40" i="1"/>
  <c r="AE38" i="1"/>
  <c r="AG38" i="1"/>
  <c r="AC38" i="1"/>
  <c r="Z94" i="1"/>
  <c r="X18" i="1"/>
  <c r="D11" i="4"/>
  <c r="T95" i="1" l="1"/>
  <c r="S95" i="1"/>
  <c r="U94" i="1"/>
  <c r="W95" i="1"/>
  <c r="V95" i="1"/>
  <c r="X94" i="1"/>
  <c r="AA93" i="1"/>
  <c r="Y94" i="1"/>
  <c r="D12" i="4"/>
  <c r="F9" i="4"/>
  <c r="F8" i="4"/>
  <c r="F7" i="4"/>
  <c r="F6" i="4"/>
  <c r="F11" i="4" s="1"/>
  <c r="F5" i="4"/>
  <c r="F4" i="4"/>
  <c r="X93" i="1" l="1"/>
  <c r="W94" i="1"/>
  <c r="V94" i="1"/>
  <c r="AH93" i="1"/>
  <c r="AA92" i="1"/>
  <c r="Y93" i="1"/>
  <c r="Z93" i="1"/>
  <c r="U93" i="1"/>
  <c r="S94" i="1"/>
  <c r="T94" i="1"/>
  <c r="C11" i="4"/>
  <c r="C12" i="4" s="1"/>
  <c r="E11" i="4"/>
  <c r="F10" i="4"/>
  <c r="E10" i="4" s="1"/>
  <c r="U92" i="1" l="1"/>
  <c r="T93" i="1"/>
  <c r="S93" i="1"/>
  <c r="Z92" i="1"/>
  <c r="Y92" i="1"/>
  <c r="AA91" i="1"/>
  <c r="AH92" i="1"/>
  <c r="W93" i="1"/>
  <c r="X92" i="1"/>
  <c r="V93" i="1"/>
  <c r="E12" i="4"/>
  <c r="F12" i="4"/>
  <c r="AI147" i="6"/>
  <c r="AH147" i="6"/>
  <c r="AG147" i="6"/>
  <c r="AE147" i="6"/>
  <c r="AD147" i="6"/>
  <c r="Z147" i="6"/>
  <c r="AA147" i="6" s="1"/>
  <c r="W147" i="6"/>
  <c r="X147" i="6" s="1"/>
  <c r="S147" i="6"/>
  <c r="R147" i="6"/>
  <c r="P147" i="6"/>
  <c r="O147" i="6"/>
  <c r="M147" i="6"/>
  <c r="J147" i="6"/>
  <c r="E147" i="6"/>
  <c r="AI146" i="6"/>
  <c r="AH146" i="6"/>
  <c r="AG146" i="6"/>
  <c r="AE146" i="6"/>
  <c r="AD146" i="6"/>
  <c r="Z146" i="6"/>
  <c r="AA146" i="6" s="1"/>
  <c r="W146" i="6"/>
  <c r="X146" i="6" s="1"/>
  <c r="S146" i="6"/>
  <c r="R146" i="6"/>
  <c r="P146" i="6"/>
  <c r="O146" i="6"/>
  <c r="M146" i="6"/>
  <c r="J146" i="6"/>
  <c r="E146" i="6"/>
  <c r="F146" i="6" s="1"/>
  <c r="AI145" i="6"/>
  <c r="AH145" i="6"/>
  <c r="AG145" i="6"/>
  <c r="AE145" i="6"/>
  <c r="AD145" i="6"/>
  <c r="Z145" i="6"/>
  <c r="AA145" i="6" s="1"/>
  <c r="W145" i="6"/>
  <c r="X145" i="6" s="1"/>
  <c r="S145" i="6"/>
  <c r="R145" i="6"/>
  <c r="P145" i="6"/>
  <c r="O145" i="6"/>
  <c r="Q145" i="6" s="1"/>
  <c r="M145" i="6"/>
  <c r="J145" i="6"/>
  <c r="E145" i="6"/>
  <c r="AI144" i="6"/>
  <c r="AH144" i="6"/>
  <c r="AG144" i="6"/>
  <c r="AE144" i="6"/>
  <c r="AD144" i="6"/>
  <c r="AA144" i="6"/>
  <c r="Z144" i="6"/>
  <c r="W144" i="6"/>
  <c r="X144" i="6" s="1"/>
  <c r="F144" i="6" s="1"/>
  <c r="S144" i="6"/>
  <c r="R144" i="6"/>
  <c r="P144" i="6"/>
  <c r="O144" i="6"/>
  <c r="M144" i="6"/>
  <c r="J144" i="6"/>
  <c r="E144" i="6"/>
  <c r="AI143" i="6"/>
  <c r="AH143" i="6"/>
  <c r="AG143" i="6"/>
  <c r="AE143" i="6"/>
  <c r="AD143" i="6"/>
  <c r="Z143" i="6"/>
  <c r="AA143" i="6" s="1"/>
  <c r="W143" i="6"/>
  <c r="X143" i="6" s="1"/>
  <c r="S143" i="6"/>
  <c r="R143" i="6"/>
  <c r="P143" i="6"/>
  <c r="O143" i="6"/>
  <c r="M143" i="6"/>
  <c r="J143" i="6"/>
  <c r="E143" i="6"/>
  <c r="AI142" i="6"/>
  <c r="AH142" i="6"/>
  <c r="AG142" i="6"/>
  <c r="AE142" i="6"/>
  <c r="AD142" i="6"/>
  <c r="Z142" i="6"/>
  <c r="AA142" i="6" s="1"/>
  <c r="W142" i="6"/>
  <c r="X142" i="6" s="1"/>
  <c r="S142" i="6"/>
  <c r="R142" i="6"/>
  <c r="P142" i="6"/>
  <c r="O142" i="6"/>
  <c r="M142" i="6"/>
  <c r="J142" i="6"/>
  <c r="E142" i="6"/>
  <c r="AI141" i="6"/>
  <c r="AH141" i="6"/>
  <c r="AG141" i="6"/>
  <c r="AE141" i="6"/>
  <c r="AD141" i="6"/>
  <c r="Z141" i="6"/>
  <c r="AA141" i="6" s="1"/>
  <c r="W141" i="6"/>
  <c r="X141" i="6" s="1"/>
  <c r="S141" i="6"/>
  <c r="R141" i="6"/>
  <c r="P141" i="6"/>
  <c r="O141" i="6"/>
  <c r="M141" i="6"/>
  <c r="J141" i="6"/>
  <c r="E141" i="6"/>
  <c r="AI140" i="6"/>
  <c r="AH140" i="6"/>
  <c r="AG140" i="6"/>
  <c r="AE140" i="6"/>
  <c r="AD140" i="6"/>
  <c r="AA140" i="6"/>
  <c r="Z140" i="6"/>
  <c r="W140" i="6"/>
  <c r="X140" i="6" s="1"/>
  <c r="F140" i="6" s="1"/>
  <c r="S140" i="6"/>
  <c r="R140" i="6"/>
  <c r="P140" i="6"/>
  <c r="O140" i="6"/>
  <c r="M140" i="6"/>
  <c r="J140" i="6"/>
  <c r="E140" i="6"/>
  <c r="AI139" i="6"/>
  <c r="AH139" i="6"/>
  <c r="AG139" i="6"/>
  <c r="AE139" i="6"/>
  <c r="AD139" i="6"/>
  <c r="Z139" i="6"/>
  <c r="AA139" i="6" s="1"/>
  <c r="W139" i="6"/>
  <c r="X139" i="6" s="1"/>
  <c r="S139" i="6"/>
  <c r="R139" i="6"/>
  <c r="P139" i="6"/>
  <c r="O139" i="6"/>
  <c r="M139" i="6"/>
  <c r="J139" i="6"/>
  <c r="E139" i="6"/>
  <c r="AI138" i="6"/>
  <c r="AH138" i="6"/>
  <c r="AG138" i="6"/>
  <c r="AE138" i="6"/>
  <c r="AD138" i="6"/>
  <c r="Z138" i="6"/>
  <c r="AA138" i="6" s="1"/>
  <c r="W138" i="6"/>
  <c r="X138" i="6" s="1"/>
  <c r="S138" i="6"/>
  <c r="R138" i="6"/>
  <c r="P138" i="6"/>
  <c r="O138" i="6"/>
  <c r="M138" i="6"/>
  <c r="J138" i="6"/>
  <c r="E138" i="6"/>
  <c r="F138" i="6" s="1"/>
  <c r="AI137" i="6"/>
  <c r="AH137" i="6"/>
  <c r="AG137" i="6"/>
  <c r="AE137" i="6"/>
  <c r="AD137" i="6"/>
  <c r="Z137" i="6"/>
  <c r="AA137" i="6" s="1"/>
  <c r="W137" i="6"/>
  <c r="X137" i="6" s="1"/>
  <c r="S137" i="6"/>
  <c r="R137" i="6"/>
  <c r="P137" i="6"/>
  <c r="O137" i="6"/>
  <c r="Q137" i="6" s="1"/>
  <c r="M137" i="6"/>
  <c r="J137" i="6"/>
  <c r="E137" i="6"/>
  <c r="AI136" i="6"/>
  <c r="AH136" i="6"/>
  <c r="AG136" i="6"/>
  <c r="AE136" i="6"/>
  <c r="AD136" i="6"/>
  <c r="AF136" i="6" s="1"/>
  <c r="AA136" i="6"/>
  <c r="Z136" i="6"/>
  <c r="W136" i="6"/>
  <c r="X136" i="6" s="1"/>
  <c r="F136" i="6" s="1"/>
  <c r="S136" i="6"/>
  <c r="R136" i="6"/>
  <c r="P136" i="6"/>
  <c r="O136" i="6"/>
  <c r="M136" i="6"/>
  <c r="J136" i="6"/>
  <c r="E136" i="6"/>
  <c r="AI135" i="6"/>
  <c r="AH135" i="6"/>
  <c r="AG135" i="6"/>
  <c r="AE135" i="6"/>
  <c r="AD135" i="6"/>
  <c r="Z135" i="6"/>
  <c r="AA135" i="6" s="1"/>
  <c r="W135" i="6"/>
  <c r="X135" i="6" s="1"/>
  <c r="S135" i="6"/>
  <c r="R135" i="6"/>
  <c r="P135" i="6"/>
  <c r="O135" i="6"/>
  <c r="M135" i="6"/>
  <c r="J135" i="6"/>
  <c r="E135" i="6"/>
  <c r="AI134" i="6"/>
  <c r="AH134" i="6"/>
  <c r="AG134" i="6"/>
  <c r="AE134" i="6"/>
  <c r="AD134" i="6"/>
  <c r="Z134" i="6"/>
  <c r="AA134" i="6" s="1"/>
  <c r="W134" i="6"/>
  <c r="X134" i="6" s="1"/>
  <c r="S134" i="6"/>
  <c r="R134" i="6"/>
  <c r="P134" i="6"/>
  <c r="O134" i="6"/>
  <c r="M134" i="6"/>
  <c r="J134" i="6"/>
  <c r="E134" i="6"/>
  <c r="AI133" i="6"/>
  <c r="AH133" i="6"/>
  <c r="AG133" i="6"/>
  <c r="AE133" i="6"/>
  <c r="AD133" i="6"/>
  <c r="Z133" i="6"/>
  <c r="AA133" i="6" s="1"/>
  <c r="W133" i="6"/>
  <c r="X133" i="6" s="1"/>
  <c r="S133" i="6"/>
  <c r="R133" i="6"/>
  <c r="P133" i="6"/>
  <c r="O133" i="6"/>
  <c r="M133" i="6"/>
  <c r="J133" i="6"/>
  <c r="E133" i="6"/>
  <c r="AI132" i="6"/>
  <c r="AH132" i="6"/>
  <c r="AG132" i="6"/>
  <c r="AE132" i="6"/>
  <c r="AD132" i="6"/>
  <c r="AA132" i="6"/>
  <c r="Z132" i="6"/>
  <c r="W132" i="6"/>
  <c r="X132" i="6" s="1"/>
  <c r="F132" i="6" s="1"/>
  <c r="S132" i="6"/>
  <c r="R132" i="6"/>
  <c r="P132" i="6"/>
  <c r="O132" i="6"/>
  <c r="M132" i="6"/>
  <c r="J132" i="6"/>
  <c r="E132" i="6"/>
  <c r="AI131" i="6"/>
  <c r="AH131" i="6"/>
  <c r="AG131" i="6"/>
  <c r="AE131" i="6"/>
  <c r="AD131" i="6"/>
  <c r="Z131" i="6"/>
  <c r="AA131" i="6" s="1"/>
  <c r="W131" i="6"/>
  <c r="X131" i="6" s="1"/>
  <c r="S131" i="6"/>
  <c r="R131" i="6"/>
  <c r="P131" i="6"/>
  <c r="O131" i="6"/>
  <c r="M131" i="6"/>
  <c r="J131" i="6"/>
  <c r="E131" i="6"/>
  <c r="AI130" i="6"/>
  <c r="AH130" i="6"/>
  <c r="AG130" i="6"/>
  <c r="AE130" i="6"/>
  <c r="AD130" i="6"/>
  <c r="Z130" i="6"/>
  <c r="AA130" i="6" s="1"/>
  <c r="W130" i="6"/>
  <c r="X130" i="6" s="1"/>
  <c r="S130" i="6"/>
  <c r="R130" i="6"/>
  <c r="P130" i="6"/>
  <c r="O130" i="6"/>
  <c r="M130" i="6"/>
  <c r="J130" i="6"/>
  <c r="E130" i="6"/>
  <c r="F130" i="6" s="1"/>
  <c r="AI129" i="6"/>
  <c r="AH129" i="6"/>
  <c r="AG129" i="6"/>
  <c r="AE129" i="6"/>
  <c r="AD129" i="6"/>
  <c r="Z129" i="6"/>
  <c r="AA129" i="6" s="1"/>
  <c r="W129" i="6"/>
  <c r="X129" i="6" s="1"/>
  <c r="S129" i="6"/>
  <c r="R129" i="6"/>
  <c r="T129" i="6" s="1"/>
  <c r="P129" i="6"/>
  <c r="O129" i="6"/>
  <c r="Q129" i="6" s="1"/>
  <c r="M129" i="6"/>
  <c r="J129" i="6"/>
  <c r="E129" i="6"/>
  <c r="AI128" i="6"/>
  <c r="AH128" i="6"/>
  <c r="AG128" i="6"/>
  <c r="AE128" i="6"/>
  <c r="AD128" i="6"/>
  <c r="AF128" i="6" s="1"/>
  <c r="AA128" i="6"/>
  <c r="Z128" i="6"/>
  <c r="W128" i="6"/>
  <c r="X128" i="6" s="1"/>
  <c r="F128" i="6" s="1"/>
  <c r="S128" i="6"/>
  <c r="R128" i="6"/>
  <c r="P128" i="6"/>
  <c r="O128" i="6"/>
  <c r="M128" i="6"/>
  <c r="J128" i="6"/>
  <c r="E128" i="6"/>
  <c r="AI127" i="6"/>
  <c r="AH127" i="6"/>
  <c r="AG127" i="6"/>
  <c r="AE127" i="6"/>
  <c r="AD127" i="6"/>
  <c r="Z127" i="6"/>
  <c r="AA127" i="6" s="1"/>
  <c r="W127" i="6"/>
  <c r="X127" i="6" s="1"/>
  <c r="S127" i="6"/>
  <c r="R127" i="6"/>
  <c r="P127" i="6"/>
  <c r="O127" i="6"/>
  <c r="M127" i="6"/>
  <c r="J127" i="6"/>
  <c r="E127" i="6"/>
  <c r="AI126" i="6"/>
  <c r="AH126" i="6"/>
  <c r="AG126" i="6"/>
  <c r="AE126" i="6"/>
  <c r="AD126" i="6"/>
  <c r="Z126" i="6"/>
  <c r="AA126" i="6" s="1"/>
  <c r="W126" i="6"/>
  <c r="X126" i="6" s="1"/>
  <c r="S126" i="6"/>
  <c r="R126" i="6"/>
  <c r="P126" i="6"/>
  <c r="O126" i="6"/>
  <c r="M126" i="6"/>
  <c r="J126" i="6"/>
  <c r="E126" i="6"/>
  <c r="AI125" i="6"/>
  <c r="AH125" i="6"/>
  <c r="AG125" i="6"/>
  <c r="AE125" i="6"/>
  <c r="AD125" i="6"/>
  <c r="Z125" i="6"/>
  <c r="AA125" i="6" s="1"/>
  <c r="W125" i="6"/>
  <c r="X125" i="6" s="1"/>
  <c r="S125" i="6"/>
  <c r="R125" i="6"/>
  <c r="P125" i="6"/>
  <c r="O125" i="6"/>
  <c r="Q125" i="6" s="1"/>
  <c r="M125" i="6"/>
  <c r="J125" i="6"/>
  <c r="E125" i="6"/>
  <c r="AI124" i="6"/>
  <c r="AH124" i="6"/>
  <c r="AG124" i="6"/>
  <c r="AE124" i="6"/>
  <c r="AD124" i="6"/>
  <c r="AA124" i="6"/>
  <c r="Z124" i="6"/>
  <c r="X124" i="6"/>
  <c r="W124" i="6"/>
  <c r="S124" i="6"/>
  <c r="R124" i="6"/>
  <c r="P124" i="6"/>
  <c r="O124" i="6"/>
  <c r="M124" i="6"/>
  <c r="J124" i="6"/>
  <c r="E124" i="6"/>
  <c r="F124" i="6" s="1"/>
  <c r="AI123" i="6"/>
  <c r="AH123" i="6"/>
  <c r="AG123" i="6"/>
  <c r="AE123" i="6"/>
  <c r="AD123" i="6"/>
  <c r="Z123" i="6"/>
  <c r="AA123" i="6" s="1"/>
  <c r="W123" i="6"/>
  <c r="X123" i="6" s="1"/>
  <c r="S123" i="6"/>
  <c r="R123" i="6"/>
  <c r="T123" i="6" s="1"/>
  <c r="P123" i="6"/>
  <c r="O123" i="6"/>
  <c r="Q123" i="6" s="1"/>
  <c r="M123" i="6"/>
  <c r="J123" i="6"/>
  <c r="E123" i="6"/>
  <c r="AI122" i="6"/>
  <c r="AH122" i="6"/>
  <c r="AG122" i="6"/>
  <c r="AE122" i="6"/>
  <c r="AD122" i="6"/>
  <c r="AA122" i="6"/>
  <c r="Z122" i="6"/>
  <c r="X122" i="6"/>
  <c r="W122" i="6"/>
  <c r="S122" i="6"/>
  <c r="R122" i="6"/>
  <c r="P122" i="6"/>
  <c r="O122" i="6"/>
  <c r="M122" i="6"/>
  <c r="J122" i="6"/>
  <c r="E122" i="6"/>
  <c r="F122" i="6" s="1"/>
  <c r="AI121" i="6"/>
  <c r="AH121" i="6"/>
  <c r="AG121" i="6"/>
  <c r="AE121" i="6"/>
  <c r="AD121" i="6"/>
  <c r="Z121" i="6"/>
  <c r="AA121" i="6" s="1"/>
  <c r="W121" i="6"/>
  <c r="X121" i="6" s="1"/>
  <c r="S121" i="6"/>
  <c r="R121" i="6"/>
  <c r="T121" i="6" s="1"/>
  <c r="P121" i="6"/>
  <c r="O121" i="6"/>
  <c r="Q121" i="6" s="1"/>
  <c r="M121" i="6"/>
  <c r="J121" i="6"/>
  <c r="E121" i="6"/>
  <c r="AI120" i="6"/>
  <c r="AH120" i="6"/>
  <c r="AG120" i="6"/>
  <c r="AE120" i="6"/>
  <c r="AD120" i="6"/>
  <c r="AA120" i="6"/>
  <c r="Z120" i="6"/>
  <c r="X120" i="6"/>
  <c r="W120" i="6"/>
  <c r="S120" i="6"/>
  <c r="R120" i="6"/>
  <c r="P120" i="6"/>
  <c r="O120" i="6"/>
  <c r="M120" i="6"/>
  <c r="J120" i="6"/>
  <c r="E120" i="6"/>
  <c r="F120" i="6" s="1"/>
  <c r="AI119" i="6"/>
  <c r="AH119" i="6"/>
  <c r="AG119" i="6"/>
  <c r="AE119" i="6"/>
  <c r="AD119" i="6"/>
  <c r="Z119" i="6"/>
  <c r="AA119" i="6" s="1"/>
  <c r="W119" i="6"/>
  <c r="X119" i="6" s="1"/>
  <c r="S119" i="6"/>
  <c r="R119" i="6"/>
  <c r="P119" i="6"/>
  <c r="O119" i="6"/>
  <c r="M119" i="6"/>
  <c r="J119" i="6"/>
  <c r="E119" i="6"/>
  <c r="AI118" i="6"/>
  <c r="AH118" i="6"/>
  <c r="AG118" i="6"/>
  <c r="AE118" i="6"/>
  <c r="AD118" i="6"/>
  <c r="Z118" i="6"/>
  <c r="AA118" i="6" s="1"/>
  <c r="W118" i="6"/>
  <c r="X118" i="6" s="1"/>
  <c r="S118" i="6"/>
  <c r="R118" i="6"/>
  <c r="T118" i="6" s="1"/>
  <c r="P118" i="6"/>
  <c r="O118" i="6"/>
  <c r="Q118" i="6" s="1"/>
  <c r="M118" i="6"/>
  <c r="J118" i="6"/>
  <c r="E118" i="6"/>
  <c r="AI117" i="6"/>
  <c r="AH117" i="6"/>
  <c r="AG117" i="6"/>
  <c r="AE117" i="6"/>
  <c r="AD117" i="6"/>
  <c r="AA117" i="6"/>
  <c r="Z117" i="6"/>
  <c r="X117" i="6"/>
  <c r="W117" i="6"/>
  <c r="S117" i="6"/>
  <c r="R117" i="6"/>
  <c r="P117" i="6"/>
  <c r="O117" i="6"/>
  <c r="M117" i="6"/>
  <c r="J117" i="6"/>
  <c r="F117" i="6"/>
  <c r="E117" i="6"/>
  <c r="AI116" i="6"/>
  <c r="AH116" i="6"/>
  <c r="AG116" i="6"/>
  <c r="AE116" i="6"/>
  <c r="AD116" i="6"/>
  <c r="Z116" i="6"/>
  <c r="AA116" i="6" s="1"/>
  <c r="W116" i="6"/>
  <c r="X116" i="6" s="1"/>
  <c r="S116" i="6"/>
  <c r="R116" i="6"/>
  <c r="P116" i="6"/>
  <c r="O116" i="6"/>
  <c r="M116" i="6"/>
  <c r="J116" i="6"/>
  <c r="E116" i="6"/>
  <c r="AI115" i="6"/>
  <c r="AH115" i="6"/>
  <c r="AG115" i="6"/>
  <c r="AE115" i="6"/>
  <c r="AD115" i="6"/>
  <c r="Z115" i="6"/>
  <c r="AA115" i="6" s="1"/>
  <c r="W115" i="6"/>
  <c r="X115" i="6" s="1"/>
  <c r="S115" i="6"/>
  <c r="R115" i="6"/>
  <c r="P115" i="6"/>
  <c r="O115" i="6"/>
  <c r="M115" i="6"/>
  <c r="J115" i="6"/>
  <c r="E115" i="6"/>
  <c r="AI114" i="6"/>
  <c r="AH114" i="6"/>
  <c r="AG114" i="6"/>
  <c r="AE114" i="6"/>
  <c r="AD114" i="6"/>
  <c r="Z114" i="6"/>
  <c r="AA114" i="6" s="1"/>
  <c r="W114" i="6"/>
  <c r="X114" i="6" s="1"/>
  <c r="S114" i="6"/>
  <c r="R114" i="6"/>
  <c r="P114" i="6"/>
  <c r="O114" i="6"/>
  <c r="M114" i="6"/>
  <c r="J114" i="6"/>
  <c r="E114" i="6"/>
  <c r="AI113" i="6"/>
  <c r="AH113" i="6"/>
  <c r="AG113" i="6"/>
  <c r="AE113" i="6"/>
  <c r="AD113" i="6"/>
  <c r="AA113" i="6"/>
  <c r="Z113" i="6"/>
  <c r="X113" i="6"/>
  <c r="W113" i="6"/>
  <c r="S113" i="6"/>
  <c r="R113" i="6"/>
  <c r="P113" i="6"/>
  <c r="O113" i="6"/>
  <c r="M113" i="6"/>
  <c r="J113" i="6"/>
  <c r="F113" i="6"/>
  <c r="E113" i="6"/>
  <c r="AI112" i="6"/>
  <c r="AH112" i="6"/>
  <c r="AG112" i="6"/>
  <c r="AE112" i="6"/>
  <c r="AD112" i="6"/>
  <c r="Z112" i="6"/>
  <c r="AA112" i="6" s="1"/>
  <c r="W112" i="6"/>
  <c r="X112" i="6" s="1"/>
  <c r="S112" i="6"/>
  <c r="R112" i="6"/>
  <c r="P112" i="6"/>
  <c r="O112" i="6"/>
  <c r="M112" i="6"/>
  <c r="J112" i="6"/>
  <c r="E112" i="6"/>
  <c r="AI111" i="6"/>
  <c r="AH111" i="6"/>
  <c r="AG111" i="6"/>
  <c r="AE111" i="6"/>
  <c r="AD111" i="6"/>
  <c r="Z111" i="6"/>
  <c r="AA111" i="6" s="1"/>
  <c r="W111" i="6"/>
  <c r="X111" i="6" s="1"/>
  <c r="S111" i="6"/>
  <c r="R111" i="6"/>
  <c r="P111" i="6"/>
  <c r="O111" i="6"/>
  <c r="M111" i="6"/>
  <c r="J111" i="6"/>
  <c r="E111" i="6"/>
  <c r="AI110" i="6"/>
  <c r="AH110" i="6"/>
  <c r="AG110" i="6"/>
  <c r="AE110" i="6"/>
  <c r="AD110" i="6"/>
  <c r="Z110" i="6"/>
  <c r="AA110" i="6" s="1"/>
  <c r="W110" i="6"/>
  <c r="X110" i="6" s="1"/>
  <c r="S110" i="6"/>
  <c r="R110" i="6"/>
  <c r="T110" i="6" s="1"/>
  <c r="P110" i="6"/>
  <c r="O110" i="6"/>
  <c r="Q110" i="6" s="1"/>
  <c r="M110" i="6"/>
  <c r="J110" i="6"/>
  <c r="E110" i="6"/>
  <c r="AI109" i="6"/>
  <c r="AH109" i="6"/>
  <c r="AG109" i="6"/>
  <c r="AE109" i="6"/>
  <c r="AD109" i="6"/>
  <c r="AA109" i="6"/>
  <c r="Z109" i="6"/>
  <c r="X109" i="6"/>
  <c r="W109" i="6"/>
  <c r="S109" i="6"/>
  <c r="R109" i="6"/>
  <c r="P109" i="6"/>
  <c r="O109" i="6"/>
  <c r="M109" i="6"/>
  <c r="J109" i="6"/>
  <c r="F109" i="6"/>
  <c r="E109" i="6"/>
  <c r="AI108" i="6"/>
  <c r="AH108" i="6"/>
  <c r="AG108" i="6"/>
  <c r="AE108" i="6"/>
  <c r="AD108" i="6"/>
  <c r="Z108" i="6"/>
  <c r="AA108" i="6" s="1"/>
  <c r="W108" i="6"/>
  <c r="X108" i="6" s="1"/>
  <c r="S108" i="6"/>
  <c r="R108" i="6"/>
  <c r="P108" i="6"/>
  <c r="O108" i="6"/>
  <c r="M108" i="6"/>
  <c r="J108" i="6"/>
  <c r="E108" i="6"/>
  <c r="AI107" i="6"/>
  <c r="AH107" i="6"/>
  <c r="AG107" i="6"/>
  <c r="AE107" i="6"/>
  <c r="AD107" i="6"/>
  <c r="Z107" i="6"/>
  <c r="AA107" i="6" s="1"/>
  <c r="W107" i="6"/>
  <c r="X107" i="6" s="1"/>
  <c r="S107" i="6"/>
  <c r="R107" i="6"/>
  <c r="P107" i="6"/>
  <c r="O107" i="6"/>
  <c r="M107" i="6"/>
  <c r="J107" i="6"/>
  <c r="E107" i="6"/>
  <c r="AI106" i="6"/>
  <c r="AH106" i="6"/>
  <c r="AG106" i="6"/>
  <c r="AE106" i="6"/>
  <c r="AD106" i="6"/>
  <c r="Z106" i="6"/>
  <c r="AA106" i="6" s="1"/>
  <c r="W106" i="6"/>
  <c r="X106" i="6" s="1"/>
  <c r="S106" i="6"/>
  <c r="R106" i="6"/>
  <c r="P106" i="6"/>
  <c r="O106" i="6"/>
  <c r="M106" i="6"/>
  <c r="J106" i="6"/>
  <c r="E106" i="6"/>
  <c r="AI105" i="6"/>
  <c r="AH105" i="6"/>
  <c r="AG105" i="6"/>
  <c r="AE105" i="6"/>
  <c r="AD105" i="6"/>
  <c r="AA105" i="6"/>
  <c r="Z105" i="6"/>
  <c r="X105" i="6"/>
  <c r="W105" i="6"/>
  <c r="S105" i="6"/>
  <c r="R105" i="6"/>
  <c r="P105" i="6"/>
  <c r="O105" i="6"/>
  <c r="M105" i="6"/>
  <c r="J105" i="6"/>
  <c r="F105" i="6"/>
  <c r="E105" i="6"/>
  <c r="AI104" i="6"/>
  <c r="AH104" i="6"/>
  <c r="AG104" i="6"/>
  <c r="AE104" i="6"/>
  <c r="AD104" i="6"/>
  <c r="Z104" i="6"/>
  <c r="AA104" i="6" s="1"/>
  <c r="W104" i="6"/>
  <c r="X104" i="6" s="1"/>
  <c r="S104" i="6"/>
  <c r="R104" i="6"/>
  <c r="P104" i="6"/>
  <c r="O104" i="6"/>
  <c r="M104" i="6"/>
  <c r="J104" i="6"/>
  <c r="E104" i="6"/>
  <c r="AI103" i="6"/>
  <c r="AH103" i="6"/>
  <c r="AG103" i="6"/>
  <c r="AE103" i="6"/>
  <c r="AD103" i="6"/>
  <c r="Z103" i="6"/>
  <c r="AA103" i="6" s="1"/>
  <c r="W103" i="6"/>
  <c r="X103" i="6" s="1"/>
  <c r="S103" i="6"/>
  <c r="R103" i="6"/>
  <c r="P103" i="6"/>
  <c r="O103" i="6"/>
  <c r="M103" i="6"/>
  <c r="J103" i="6"/>
  <c r="E103" i="6"/>
  <c r="AI102" i="6"/>
  <c r="AH102" i="6"/>
  <c r="AG102" i="6"/>
  <c r="AE102" i="6"/>
  <c r="AD102" i="6"/>
  <c r="Z102" i="6"/>
  <c r="AA102" i="6" s="1"/>
  <c r="W102" i="6"/>
  <c r="X102" i="6" s="1"/>
  <c r="S102" i="6"/>
  <c r="R102" i="6"/>
  <c r="T102" i="6" s="1"/>
  <c r="P102" i="6"/>
  <c r="O102" i="6"/>
  <c r="Q102" i="6" s="1"/>
  <c r="M102" i="6"/>
  <c r="J102" i="6"/>
  <c r="E102" i="6"/>
  <c r="AI101" i="6"/>
  <c r="AH101" i="6"/>
  <c r="AG101" i="6"/>
  <c r="AE101" i="6"/>
  <c r="AD101" i="6"/>
  <c r="AA101" i="6"/>
  <c r="Z101" i="6"/>
  <c r="X101" i="6"/>
  <c r="W101" i="6"/>
  <c r="S101" i="6"/>
  <c r="R101" i="6"/>
  <c r="P101" i="6"/>
  <c r="O101" i="6"/>
  <c r="M101" i="6"/>
  <c r="J101" i="6"/>
  <c r="F101" i="6"/>
  <c r="E101" i="6"/>
  <c r="AI100" i="6"/>
  <c r="AH100" i="6"/>
  <c r="AG100" i="6"/>
  <c r="AE100" i="6"/>
  <c r="AD100" i="6"/>
  <c r="Z100" i="6"/>
  <c r="AA100" i="6" s="1"/>
  <c r="W100" i="6"/>
  <c r="X100" i="6" s="1"/>
  <c r="S100" i="6"/>
  <c r="R100" i="6"/>
  <c r="P100" i="6"/>
  <c r="O100" i="6"/>
  <c r="M100" i="6"/>
  <c r="J100" i="6"/>
  <c r="E100" i="6"/>
  <c r="AI99" i="6"/>
  <c r="AH99" i="6"/>
  <c r="AG99" i="6"/>
  <c r="AE99" i="6"/>
  <c r="AD99" i="6"/>
  <c r="Z99" i="6"/>
  <c r="AA99" i="6" s="1"/>
  <c r="W99" i="6"/>
  <c r="X99" i="6" s="1"/>
  <c r="S99" i="6"/>
  <c r="R99" i="6"/>
  <c r="P99" i="6"/>
  <c r="O99" i="6"/>
  <c r="M99" i="6"/>
  <c r="J99" i="6"/>
  <c r="E99" i="6"/>
  <c r="AI98" i="6"/>
  <c r="AH98" i="6"/>
  <c r="AG98" i="6"/>
  <c r="AE98" i="6"/>
  <c r="AD98" i="6"/>
  <c r="Z98" i="6"/>
  <c r="AA98" i="6" s="1"/>
  <c r="W98" i="6"/>
  <c r="X98" i="6" s="1"/>
  <c r="S98" i="6"/>
  <c r="R98" i="6"/>
  <c r="P98" i="6"/>
  <c r="O98" i="6"/>
  <c r="M98" i="6"/>
  <c r="J98" i="6"/>
  <c r="E98" i="6"/>
  <c r="AI97" i="6"/>
  <c r="AH97" i="6"/>
  <c r="AG97" i="6"/>
  <c r="AE97" i="6"/>
  <c r="AD97" i="6"/>
  <c r="AA97" i="6"/>
  <c r="Z97" i="6"/>
  <c r="X97" i="6"/>
  <c r="W97" i="6"/>
  <c r="S97" i="6"/>
  <c r="R97" i="6"/>
  <c r="P97" i="6"/>
  <c r="O97" i="6"/>
  <c r="M97" i="6"/>
  <c r="J97" i="6"/>
  <c r="F97" i="6"/>
  <c r="E97" i="6"/>
  <c r="AI96" i="6"/>
  <c r="AH96" i="6"/>
  <c r="AG96" i="6"/>
  <c r="AE96" i="6"/>
  <c r="AD96" i="6"/>
  <c r="Z96" i="6"/>
  <c r="AA96" i="6" s="1"/>
  <c r="W96" i="6"/>
  <c r="X96" i="6" s="1"/>
  <c r="S96" i="6"/>
  <c r="R96" i="6"/>
  <c r="P96" i="6"/>
  <c r="O96" i="6"/>
  <c r="M96" i="6"/>
  <c r="J96" i="6"/>
  <c r="E96" i="6"/>
  <c r="AI95" i="6"/>
  <c r="AH95" i="6"/>
  <c r="AG95" i="6"/>
  <c r="AE95" i="6"/>
  <c r="AD95" i="6"/>
  <c r="Z95" i="6"/>
  <c r="AA95" i="6" s="1"/>
  <c r="W95" i="6"/>
  <c r="X95" i="6" s="1"/>
  <c r="S95" i="6"/>
  <c r="R95" i="6"/>
  <c r="P95" i="6"/>
  <c r="O95" i="6"/>
  <c r="M95" i="6"/>
  <c r="J95" i="6"/>
  <c r="E95" i="6"/>
  <c r="AI94" i="6"/>
  <c r="AH94" i="6"/>
  <c r="AG94" i="6"/>
  <c r="AE94" i="6"/>
  <c r="AD94" i="6"/>
  <c r="Z94" i="6"/>
  <c r="AA94" i="6" s="1"/>
  <c r="W94" i="6"/>
  <c r="X94" i="6" s="1"/>
  <c r="S94" i="6"/>
  <c r="R94" i="6"/>
  <c r="T94" i="6" s="1"/>
  <c r="P94" i="6"/>
  <c r="O94" i="6"/>
  <c r="Q94" i="6" s="1"/>
  <c r="M94" i="6"/>
  <c r="J94" i="6"/>
  <c r="E94" i="6"/>
  <c r="AI93" i="6"/>
  <c r="AH93" i="6"/>
  <c r="AG93" i="6"/>
  <c r="AE93" i="6"/>
  <c r="AD93" i="6"/>
  <c r="AA93" i="6"/>
  <c r="Z93" i="6"/>
  <c r="X93" i="6"/>
  <c r="W93" i="6"/>
  <c r="S93" i="6"/>
  <c r="R93" i="6"/>
  <c r="P93" i="6"/>
  <c r="O93" i="6"/>
  <c r="M93" i="6"/>
  <c r="J93" i="6"/>
  <c r="F93" i="6"/>
  <c r="E93" i="6"/>
  <c r="AI92" i="6"/>
  <c r="AH92" i="6"/>
  <c r="AG92" i="6"/>
  <c r="AE92" i="6"/>
  <c r="AD92" i="6"/>
  <c r="Z92" i="6"/>
  <c r="AA92" i="6" s="1"/>
  <c r="W92" i="6"/>
  <c r="X92" i="6" s="1"/>
  <c r="S92" i="6"/>
  <c r="R92" i="6"/>
  <c r="P92" i="6"/>
  <c r="O92" i="6"/>
  <c r="M92" i="6"/>
  <c r="J92" i="6"/>
  <c r="E92" i="6"/>
  <c r="AI91" i="6"/>
  <c r="AH91" i="6"/>
  <c r="AG91" i="6"/>
  <c r="AE91" i="6"/>
  <c r="AD91" i="6"/>
  <c r="Z91" i="6"/>
  <c r="AA91" i="6" s="1"/>
  <c r="W91" i="6"/>
  <c r="X91" i="6" s="1"/>
  <c r="S91" i="6"/>
  <c r="R91" i="6"/>
  <c r="P91" i="6"/>
  <c r="O91" i="6"/>
  <c r="M91" i="6"/>
  <c r="J91" i="6"/>
  <c r="E91" i="6"/>
  <c r="AI90" i="6"/>
  <c r="AH90" i="6"/>
  <c r="AG90" i="6"/>
  <c r="AE90" i="6"/>
  <c r="AD90" i="6"/>
  <c r="Z90" i="6"/>
  <c r="AA90" i="6" s="1"/>
  <c r="W90" i="6"/>
  <c r="X90" i="6" s="1"/>
  <c r="S90" i="6"/>
  <c r="R90" i="6"/>
  <c r="P90" i="6"/>
  <c r="O90" i="6"/>
  <c r="M90" i="6"/>
  <c r="J90" i="6"/>
  <c r="E90" i="6"/>
  <c r="AI89" i="6"/>
  <c r="AH89" i="6"/>
  <c r="AG89" i="6"/>
  <c r="AE89" i="6"/>
  <c r="AD89" i="6"/>
  <c r="Z89" i="6"/>
  <c r="AA89" i="6" s="1"/>
  <c r="W89" i="6"/>
  <c r="X89" i="6" s="1"/>
  <c r="S89" i="6"/>
  <c r="R89" i="6"/>
  <c r="P89" i="6"/>
  <c r="O89" i="6"/>
  <c r="M89" i="6"/>
  <c r="J89" i="6"/>
  <c r="E89" i="6"/>
  <c r="F89" i="6" s="1"/>
  <c r="AI88" i="6"/>
  <c r="AH88" i="6"/>
  <c r="AG88" i="6"/>
  <c r="AE88" i="6"/>
  <c r="AD88" i="6"/>
  <c r="Z88" i="6"/>
  <c r="AA88" i="6" s="1"/>
  <c r="W88" i="6"/>
  <c r="X88" i="6" s="1"/>
  <c r="S88" i="6"/>
  <c r="R88" i="6"/>
  <c r="P88" i="6"/>
  <c r="O88" i="6"/>
  <c r="M88" i="6"/>
  <c r="J88" i="6"/>
  <c r="E88" i="6"/>
  <c r="AI87" i="6"/>
  <c r="AH87" i="6"/>
  <c r="AG87" i="6"/>
  <c r="AE87" i="6"/>
  <c r="AD87" i="6"/>
  <c r="AA87" i="6"/>
  <c r="Z87" i="6"/>
  <c r="W87" i="6"/>
  <c r="X87" i="6" s="1"/>
  <c r="F87" i="6" s="1"/>
  <c r="S87" i="6"/>
  <c r="R87" i="6"/>
  <c r="P87" i="6"/>
  <c r="O87" i="6"/>
  <c r="M87" i="6"/>
  <c r="J87" i="6"/>
  <c r="E87" i="6"/>
  <c r="AI86" i="6"/>
  <c r="AH86" i="6"/>
  <c r="AG86" i="6"/>
  <c r="AE86" i="6"/>
  <c r="AD86" i="6"/>
  <c r="Z86" i="6"/>
  <c r="AA86" i="6" s="1"/>
  <c r="W86" i="6"/>
  <c r="X86" i="6" s="1"/>
  <c r="S86" i="6"/>
  <c r="R86" i="6"/>
  <c r="P86" i="6"/>
  <c r="O86" i="6"/>
  <c r="M86" i="6"/>
  <c r="J86" i="6"/>
  <c r="E86" i="6"/>
  <c r="AI85" i="6"/>
  <c r="AH85" i="6"/>
  <c r="AG85" i="6"/>
  <c r="AE85" i="6"/>
  <c r="AD85" i="6"/>
  <c r="Z85" i="6"/>
  <c r="AA85" i="6" s="1"/>
  <c r="W85" i="6"/>
  <c r="X85" i="6" s="1"/>
  <c r="S85" i="6"/>
  <c r="R85" i="6"/>
  <c r="P85" i="6"/>
  <c r="O85" i="6"/>
  <c r="M85" i="6"/>
  <c r="J85" i="6"/>
  <c r="E85" i="6"/>
  <c r="AI84" i="6"/>
  <c r="AH84" i="6"/>
  <c r="AG84" i="6"/>
  <c r="AE84" i="6"/>
  <c r="AD84" i="6"/>
  <c r="Z84" i="6"/>
  <c r="AA84" i="6" s="1"/>
  <c r="W84" i="6"/>
  <c r="X84" i="6" s="1"/>
  <c r="S84" i="6"/>
  <c r="R84" i="6"/>
  <c r="P84" i="6"/>
  <c r="O84" i="6"/>
  <c r="M84" i="6"/>
  <c r="J84" i="6"/>
  <c r="E84" i="6"/>
  <c r="AI83" i="6"/>
  <c r="AH83" i="6"/>
  <c r="AG83" i="6"/>
  <c r="AE83" i="6"/>
  <c r="AD83" i="6"/>
  <c r="AA83" i="6"/>
  <c r="Z83" i="6"/>
  <c r="W83" i="6"/>
  <c r="X83" i="6" s="1"/>
  <c r="F83" i="6" s="1"/>
  <c r="S83" i="6"/>
  <c r="R83" i="6"/>
  <c r="P83" i="6"/>
  <c r="O83" i="6"/>
  <c r="M83" i="6"/>
  <c r="J83" i="6"/>
  <c r="E83" i="6"/>
  <c r="AI82" i="6"/>
  <c r="AH82" i="6"/>
  <c r="AG82" i="6"/>
  <c r="AE82" i="6"/>
  <c r="AD82" i="6"/>
  <c r="Z82" i="6"/>
  <c r="AA82" i="6" s="1"/>
  <c r="W82" i="6"/>
  <c r="X82" i="6" s="1"/>
  <c r="S82" i="6"/>
  <c r="R82" i="6"/>
  <c r="P82" i="6"/>
  <c r="O82" i="6"/>
  <c r="M82" i="6"/>
  <c r="J82" i="6"/>
  <c r="E82" i="6"/>
  <c r="AI81" i="6"/>
  <c r="AH81" i="6"/>
  <c r="AG81" i="6"/>
  <c r="AE81" i="6"/>
  <c r="AD81" i="6"/>
  <c r="Z81" i="6"/>
  <c r="AA81" i="6" s="1"/>
  <c r="W81" i="6"/>
  <c r="X81" i="6" s="1"/>
  <c r="S81" i="6"/>
  <c r="R81" i="6"/>
  <c r="P81" i="6"/>
  <c r="O81" i="6"/>
  <c r="M81" i="6"/>
  <c r="J81" i="6"/>
  <c r="E81" i="6"/>
  <c r="F81" i="6" s="1"/>
  <c r="AI80" i="6"/>
  <c r="AH80" i="6"/>
  <c r="AG80" i="6"/>
  <c r="AE80" i="6"/>
  <c r="AD80" i="6"/>
  <c r="Z80" i="6"/>
  <c r="AA80" i="6" s="1"/>
  <c r="W80" i="6"/>
  <c r="X80" i="6" s="1"/>
  <c r="S80" i="6"/>
  <c r="R80" i="6"/>
  <c r="P80" i="6"/>
  <c r="O80" i="6"/>
  <c r="M80" i="6"/>
  <c r="J80" i="6"/>
  <c r="E80" i="6"/>
  <c r="AI79" i="6"/>
  <c r="AH79" i="6"/>
  <c r="AG79" i="6"/>
  <c r="AE79" i="6"/>
  <c r="AD79" i="6"/>
  <c r="AA79" i="6"/>
  <c r="Z79" i="6"/>
  <c r="W79" i="6"/>
  <c r="X79" i="6" s="1"/>
  <c r="F79" i="6" s="1"/>
  <c r="S79" i="6"/>
  <c r="R79" i="6"/>
  <c r="P79" i="6"/>
  <c r="O79" i="6"/>
  <c r="M79" i="6"/>
  <c r="J79" i="6"/>
  <c r="E79" i="6"/>
  <c r="AI78" i="6"/>
  <c r="AH78" i="6"/>
  <c r="AG78" i="6"/>
  <c r="AE78" i="6"/>
  <c r="AD78" i="6"/>
  <c r="Z78" i="6"/>
  <c r="AA78" i="6" s="1"/>
  <c r="W78" i="6"/>
  <c r="X78" i="6" s="1"/>
  <c r="S78" i="6"/>
  <c r="R78" i="6"/>
  <c r="P78" i="6"/>
  <c r="O78" i="6"/>
  <c r="M78" i="6"/>
  <c r="J78" i="6"/>
  <c r="E78" i="6"/>
  <c r="AI77" i="6"/>
  <c r="AH77" i="6"/>
  <c r="AG77" i="6"/>
  <c r="AE77" i="6"/>
  <c r="AD77" i="6"/>
  <c r="Z77" i="6"/>
  <c r="AA77" i="6" s="1"/>
  <c r="W77" i="6"/>
  <c r="X77" i="6" s="1"/>
  <c r="S77" i="6"/>
  <c r="R77" i="6"/>
  <c r="P77" i="6"/>
  <c r="O77" i="6"/>
  <c r="M77" i="6"/>
  <c r="J77" i="6"/>
  <c r="E77" i="6"/>
  <c r="AI76" i="6"/>
  <c r="AH76" i="6"/>
  <c r="AG76" i="6"/>
  <c r="AE76" i="6"/>
  <c r="AD76" i="6"/>
  <c r="Z76" i="6"/>
  <c r="AA76" i="6" s="1"/>
  <c r="W76" i="6"/>
  <c r="X76" i="6" s="1"/>
  <c r="S76" i="6"/>
  <c r="R76" i="6"/>
  <c r="P76" i="6"/>
  <c r="O76" i="6"/>
  <c r="M76" i="6"/>
  <c r="J76" i="6"/>
  <c r="E76" i="6"/>
  <c r="AI75" i="6"/>
  <c r="AH75" i="6"/>
  <c r="AG75" i="6"/>
  <c r="AE75" i="6"/>
  <c r="AD75" i="6"/>
  <c r="AA75" i="6"/>
  <c r="Z75" i="6"/>
  <c r="X75" i="6"/>
  <c r="W75" i="6"/>
  <c r="S75" i="6"/>
  <c r="R75" i="6"/>
  <c r="P75" i="6"/>
  <c r="O75" i="6"/>
  <c r="M75" i="6"/>
  <c r="J75" i="6"/>
  <c r="F75" i="6"/>
  <c r="E75" i="6"/>
  <c r="AI74" i="6"/>
  <c r="AH74" i="6"/>
  <c r="AG74" i="6"/>
  <c r="AE74" i="6"/>
  <c r="AD74" i="6"/>
  <c r="Z74" i="6"/>
  <c r="AA74" i="6" s="1"/>
  <c r="W74" i="6"/>
  <c r="X74" i="6" s="1"/>
  <c r="S74" i="6"/>
  <c r="R74" i="6"/>
  <c r="P74" i="6"/>
  <c r="O74" i="6"/>
  <c r="M74" i="6"/>
  <c r="J74" i="6"/>
  <c r="E74" i="6"/>
  <c r="F74" i="6" s="1"/>
  <c r="AI73" i="6"/>
  <c r="AH73" i="6"/>
  <c r="AG73" i="6"/>
  <c r="AE73" i="6"/>
  <c r="AD73" i="6"/>
  <c r="Z73" i="6"/>
  <c r="AA73" i="6" s="1"/>
  <c r="W73" i="6"/>
  <c r="X73" i="6" s="1"/>
  <c r="S73" i="6"/>
  <c r="R73" i="6"/>
  <c r="P73" i="6"/>
  <c r="O73" i="6"/>
  <c r="M73" i="6"/>
  <c r="J73" i="6"/>
  <c r="E73" i="6"/>
  <c r="AI72" i="6"/>
  <c r="AH72" i="6"/>
  <c r="AG72" i="6"/>
  <c r="AE72" i="6"/>
  <c r="AD72" i="6"/>
  <c r="AA72" i="6"/>
  <c r="Z72" i="6"/>
  <c r="X72" i="6"/>
  <c r="W72" i="6"/>
  <c r="S72" i="6"/>
  <c r="R72" i="6"/>
  <c r="P72" i="6"/>
  <c r="O72" i="6"/>
  <c r="M72" i="6"/>
  <c r="J72" i="6"/>
  <c r="E72" i="6"/>
  <c r="AI71" i="6"/>
  <c r="AH71" i="6"/>
  <c r="AG71" i="6"/>
  <c r="AE71" i="6"/>
  <c r="AD71" i="6"/>
  <c r="Z71" i="6"/>
  <c r="AA71" i="6" s="1"/>
  <c r="W71" i="6"/>
  <c r="X71" i="6" s="1"/>
  <c r="S71" i="6"/>
  <c r="R71" i="6"/>
  <c r="P71" i="6"/>
  <c r="O71" i="6"/>
  <c r="M71" i="6"/>
  <c r="J71" i="6"/>
  <c r="E71" i="6"/>
  <c r="AI70" i="6"/>
  <c r="AH70" i="6"/>
  <c r="AG70" i="6"/>
  <c r="AE70" i="6"/>
  <c r="AD70" i="6"/>
  <c r="AA70" i="6"/>
  <c r="Z70" i="6"/>
  <c r="X70" i="6"/>
  <c r="W70" i="6"/>
  <c r="S70" i="6"/>
  <c r="R70" i="6"/>
  <c r="P70" i="6"/>
  <c r="O70" i="6"/>
  <c r="M70" i="6"/>
  <c r="J70" i="6"/>
  <c r="E70" i="6"/>
  <c r="AI69" i="6"/>
  <c r="AH69" i="6"/>
  <c r="AG69" i="6"/>
  <c r="AE69" i="6"/>
  <c r="AD69" i="6"/>
  <c r="Z69" i="6"/>
  <c r="AA69" i="6" s="1"/>
  <c r="W69" i="6"/>
  <c r="X69" i="6" s="1"/>
  <c r="S69" i="6"/>
  <c r="R69" i="6"/>
  <c r="P69" i="6"/>
  <c r="O69" i="6"/>
  <c r="M69" i="6"/>
  <c r="J69" i="6"/>
  <c r="E69" i="6"/>
  <c r="AI68" i="6"/>
  <c r="AH68" i="6"/>
  <c r="AG68" i="6"/>
  <c r="AE68" i="6"/>
  <c r="AD68" i="6"/>
  <c r="AA68" i="6"/>
  <c r="Z68" i="6"/>
  <c r="X68" i="6"/>
  <c r="W68" i="6"/>
  <c r="S68" i="6"/>
  <c r="R68" i="6"/>
  <c r="P68" i="6"/>
  <c r="O68" i="6"/>
  <c r="M68" i="6"/>
  <c r="J68" i="6"/>
  <c r="F68" i="6"/>
  <c r="E68" i="6"/>
  <c r="AI67" i="6"/>
  <c r="AH67" i="6"/>
  <c r="AG67" i="6"/>
  <c r="AE67" i="6"/>
  <c r="AD67" i="6"/>
  <c r="Z67" i="6"/>
  <c r="AA67" i="6" s="1"/>
  <c r="W67" i="6"/>
  <c r="X67" i="6" s="1"/>
  <c r="S67" i="6"/>
  <c r="R67" i="6"/>
  <c r="P67" i="6"/>
  <c r="O67" i="6"/>
  <c r="M67" i="6"/>
  <c r="J67" i="6"/>
  <c r="E67" i="6"/>
  <c r="AI66" i="6"/>
  <c r="AH66" i="6"/>
  <c r="AG66" i="6"/>
  <c r="AE66" i="6"/>
  <c r="AD66" i="6"/>
  <c r="Z66" i="6"/>
  <c r="AA66" i="6" s="1"/>
  <c r="W66" i="6"/>
  <c r="X66" i="6" s="1"/>
  <c r="S66" i="6"/>
  <c r="R66" i="6"/>
  <c r="P66" i="6"/>
  <c r="O66" i="6"/>
  <c r="M66" i="6"/>
  <c r="J66" i="6"/>
  <c r="E66" i="6"/>
  <c r="AI65" i="6"/>
  <c r="AH65" i="6"/>
  <c r="AG65" i="6"/>
  <c r="AE65" i="6"/>
  <c r="AD65" i="6"/>
  <c r="Z65" i="6"/>
  <c r="AA65" i="6" s="1"/>
  <c r="W65" i="6"/>
  <c r="X65" i="6" s="1"/>
  <c r="S65" i="6"/>
  <c r="R65" i="6"/>
  <c r="P65" i="6"/>
  <c r="O65" i="6"/>
  <c r="M65" i="6"/>
  <c r="J65" i="6"/>
  <c r="E65" i="6"/>
  <c r="AI64" i="6"/>
  <c r="AH64" i="6"/>
  <c r="AE64" i="6"/>
  <c r="AD64" i="6"/>
  <c r="Z64" i="6"/>
  <c r="AA64" i="6" s="1"/>
  <c r="W64" i="6"/>
  <c r="X64" i="6" s="1"/>
  <c r="S64" i="6"/>
  <c r="R64" i="6"/>
  <c r="P64" i="6"/>
  <c r="O64" i="6"/>
  <c r="M64" i="6"/>
  <c r="J64" i="6"/>
  <c r="E64" i="6"/>
  <c r="AF63" i="6"/>
  <c r="R63" i="6"/>
  <c r="O63" i="6"/>
  <c r="R56" i="6"/>
  <c r="O56" i="6"/>
  <c r="AC55" i="6"/>
  <c r="AA90" i="1" l="1"/>
  <c r="Y91" i="1"/>
  <c r="Z91" i="1"/>
  <c r="AH91" i="1"/>
  <c r="W92" i="1"/>
  <c r="V92" i="1"/>
  <c r="X91" i="1"/>
  <c r="U91" i="1"/>
  <c r="S92" i="1"/>
  <c r="T92" i="1"/>
  <c r="AF93" i="6"/>
  <c r="AF96" i="6"/>
  <c r="AF101" i="6"/>
  <c r="AF104" i="6"/>
  <c r="AF109" i="6"/>
  <c r="AF112" i="6"/>
  <c r="AF117" i="6"/>
  <c r="AF120" i="6"/>
  <c r="AF122" i="6"/>
  <c r="AF140" i="6"/>
  <c r="AF124" i="6"/>
  <c r="AF132" i="6"/>
  <c r="AF131" i="6"/>
  <c r="T125" i="6"/>
  <c r="AF127" i="6"/>
  <c r="Q133" i="6"/>
  <c r="T133" i="6"/>
  <c r="AF135" i="6"/>
  <c r="AF92" i="6"/>
  <c r="AF97" i="6"/>
  <c r="AF100" i="6"/>
  <c r="AF105" i="6"/>
  <c r="AF108" i="6"/>
  <c r="AF113" i="6"/>
  <c r="AF116" i="6"/>
  <c r="Q141" i="6"/>
  <c r="T141" i="6"/>
  <c r="Q98" i="6"/>
  <c r="T98" i="6"/>
  <c r="Q106" i="6"/>
  <c r="T106" i="6"/>
  <c r="Q114" i="6"/>
  <c r="T114" i="6"/>
  <c r="F66" i="6"/>
  <c r="F77" i="6"/>
  <c r="F85" i="6"/>
  <c r="F70" i="6"/>
  <c r="F72" i="6"/>
  <c r="F64" i="6"/>
  <c r="AF64" i="6"/>
  <c r="F65" i="6"/>
  <c r="AF65" i="6"/>
  <c r="AF66" i="6"/>
  <c r="Q67" i="6"/>
  <c r="T67" i="6"/>
  <c r="Q68" i="6"/>
  <c r="T68" i="6"/>
  <c r="F69" i="6"/>
  <c r="Q70" i="6"/>
  <c r="T70" i="6"/>
  <c r="F71" i="6"/>
  <c r="Q72" i="6"/>
  <c r="T72" i="6"/>
  <c r="F73" i="6"/>
  <c r="AF73" i="6"/>
  <c r="Q74" i="6"/>
  <c r="T74" i="6"/>
  <c r="Q75" i="6"/>
  <c r="T75" i="6"/>
  <c r="AF76" i="6"/>
  <c r="AF77" i="6"/>
  <c r="Q78" i="6"/>
  <c r="T78" i="6"/>
  <c r="AF80" i="6"/>
  <c r="AF81" i="6"/>
  <c r="Q82" i="6"/>
  <c r="T82" i="6"/>
  <c r="AF84" i="6"/>
  <c r="AF85" i="6"/>
  <c r="Q86" i="6"/>
  <c r="T86" i="6"/>
  <c r="AF88" i="6"/>
  <c r="AF89" i="6"/>
  <c r="Q90" i="6"/>
  <c r="T90" i="6"/>
  <c r="F134" i="6"/>
  <c r="F142" i="6"/>
  <c r="F91" i="6"/>
  <c r="F95" i="6"/>
  <c r="F99" i="6"/>
  <c r="F103" i="6"/>
  <c r="F107" i="6"/>
  <c r="F111" i="6"/>
  <c r="F115" i="6"/>
  <c r="F119" i="6"/>
  <c r="AF123" i="6"/>
  <c r="AF125" i="6"/>
  <c r="AF126" i="6"/>
  <c r="Q127" i="6"/>
  <c r="T127" i="6"/>
  <c r="AF129" i="6"/>
  <c r="AF130" i="6"/>
  <c r="Q131" i="6"/>
  <c r="T131" i="6"/>
  <c r="AF133" i="6"/>
  <c r="AF134" i="6"/>
  <c r="Q135" i="6"/>
  <c r="T135" i="6"/>
  <c r="AF137" i="6"/>
  <c r="AF138" i="6"/>
  <c r="Q139" i="6"/>
  <c r="T139" i="6"/>
  <c r="AF141" i="6"/>
  <c r="AF142" i="6"/>
  <c r="Q143" i="6"/>
  <c r="T143" i="6"/>
  <c r="AF145" i="6"/>
  <c r="AF146" i="6"/>
  <c r="Q147" i="6"/>
  <c r="T147" i="6"/>
  <c r="AF147" i="6"/>
  <c r="F126" i="6"/>
  <c r="Q136" i="6"/>
  <c r="Q144" i="6"/>
  <c r="F139" i="6"/>
  <c r="F143" i="6"/>
  <c r="F147" i="6"/>
  <c r="Q115" i="6"/>
  <c r="T115" i="6"/>
  <c r="Q119" i="6"/>
  <c r="T119" i="6"/>
  <c r="Q128" i="6"/>
  <c r="F114" i="6"/>
  <c r="F118" i="6"/>
  <c r="F121" i="6"/>
  <c r="F123" i="6"/>
  <c r="F125" i="6"/>
  <c r="F127" i="6"/>
  <c r="F131" i="6"/>
  <c r="F135" i="6"/>
  <c r="Q91" i="6"/>
  <c r="T91" i="6"/>
  <c r="Q95" i="6"/>
  <c r="T95" i="6"/>
  <c r="Q99" i="6"/>
  <c r="T99" i="6"/>
  <c r="Q103" i="6"/>
  <c r="T103" i="6"/>
  <c r="Q107" i="6"/>
  <c r="T107" i="6"/>
  <c r="Q111" i="6"/>
  <c r="T111" i="6"/>
  <c r="F90" i="6"/>
  <c r="F94" i="6"/>
  <c r="F98" i="6"/>
  <c r="F102" i="6"/>
  <c r="F106" i="6"/>
  <c r="F110" i="6"/>
  <c r="Q79" i="6"/>
  <c r="T79" i="6"/>
  <c r="Q83" i="6"/>
  <c r="T83" i="6"/>
  <c r="Q87" i="6"/>
  <c r="T87" i="6"/>
  <c r="F78" i="6"/>
  <c r="F82" i="6"/>
  <c r="F86" i="6"/>
  <c r="Q132" i="6"/>
  <c r="Q140" i="6"/>
  <c r="Q126" i="6"/>
  <c r="T137" i="6"/>
  <c r="T145" i="6"/>
  <c r="AF121" i="6"/>
  <c r="AF139" i="6"/>
  <c r="AF79" i="6"/>
  <c r="AF91" i="6"/>
  <c r="AF103" i="6"/>
  <c r="AF111" i="6"/>
  <c r="AF143" i="6"/>
  <c r="AF67" i="6"/>
  <c r="AF68" i="6"/>
  <c r="AF70" i="6"/>
  <c r="AF72" i="6"/>
  <c r="AF74" i="6"/>
  <c r="AF75" i="6"/>
  <c r="AF78" i="6"/>
  <c r="AF82" i="6"/>
  <c r="AF83" i="6"/>
  <c r="AF86" i="6"/>
  <c r="AF87" i="6"/>
  <c r="AF90" i="6"/>
  <c r="AF94" i="6"/>
  <c r="AF95" i="6"/>
  <c r="AF98" i="6"/>
  <c r="AF99" i="6"/>
  <c r="AF102" i="6"/>
  <c r="AF106" i="6"/>
  <c r="AF107" i="6"/>
  <c r="AF110" i="6"/>
  <c r="AF114" i="6"/>
  <c r="AF115" i="6"/>
  <c r="AF118" i="6"/>
  <c r="AF119" i="6"/>
  <c r="AF144" i="6"/>
  <c r="T128" i="6"/>
  <c r="T132" i="6"/>
  <c r="T136" i="6"/>
  <c r="T140" i="6"/>
  <c r="T144" i="6"/>
  <c r="Q64" i="6"/>
  <c r="T64" i="6"/>
  <c r="Q65" i="6"/>
  <c r="T65" i="6"/>
  <c r="Q66" i="6"/>
  <c r="T66" i="6"/>
  <c r="Q69" i="6"/>
  <c r="T69" i="6"/>
  <c r="Q71" i="6"/>
  <c r="T71" i="6"/>
  <c r="Q73" i="6"/>
  <c r="T73" i="6"/>
  <c r="Q76" i="6"/>
  <c r="T76" i="6"/>
  <c r="Q77" i="6"/>
  <c r="T77" i="6"/>
  <c r="Q80" i="6"/>
  <c r="T80" i="6"/>
  <c r="Q81" i="6"/>
  <c r="T81" i="6"/>
  <c r="Q84" i="6"/>
  <c r="T84" i="6"/>
  <c r="Q85" i="6"/>
  <c r="T85" i="6"/>
  <c r="Q88" i="6"/>
  <c r="T88" i="6"/>
  <c r="Q89" i="6"/>
  <c r="T89" i="6"/>
  <c r="Q92" i="6"/>
  <c r="T92" i="6"/>
  <c r="Q93" i="6"/>
  <c r="T93" i="6"/>
  <c r="Q96" i="6"/>
  <c r="T96" i="6"/>
  <c r="Q97" i="6"/>
  <c r="T97" i="6"/>
  <c r="Q100" i="6"/>
  <c r="T100" i="6"/>
  <c r="Q101" i="6"/>
  <c r="T101" i="6"/>
  <c r="Q104" i="6"/>
  <c r="T104" i="6"/>
  <c r="Q105" i="6"/>
  <c r="T105" i="6"/>
  <c r="Q108" i="6"/>
  <c r="T108" i="6"/>
  <c r="Q109" i="6"/>
  <c r="T109" i="6"/>
  <c r="Q112" i="6"/>
  <c r="T112" i="6"/>
  <c r="Q113" i="6"/>
  <c r="T113" i="6"/>
  <c r="Q116" i="6"/>
  <c r="T116" i="6"/>
  <c r="Q117" i="6"/>
  <c r="T117" i="6"/>
  <c r="Q120" i="6"/>
  <c r="T120" i="6"/>
  <c r="Q122" i="6"/>
  <c r="T122" i="6"/>
  <c r="Q124" i="6"/>
  <c r="T124" i="6"/>
  <c r="T126" i="6"/>
  <c r="Q130" i="6"/>
  <c r="T130" i="6"/>
  <c r="Q134" i="6"/>
  <c r="T134" i="6"/>
  <c r="Q138" i="6"/>
  <c r="T138" i="6"/>
  <c r="Q142" i="6"/>
  <c r="T142" i="6"/>
  <c r="Q146" i="6"/>
  <c r="T146" i="6"/>
  <c r="F67" i="6"/>
  <c r="AF69" i="6"/>
  <c r="AF71" i="6"/>
  <c r="F76" i="6"/>
  <c r="F80" i="6"/>
  <c r="F84" i="6"/>
  <c r="F88" i="6"/>
  <c r="F92" i="6"/>
  <c r="F96" i="6"/>
  <c r="F100" i="6"/>
  <c r="F104" i="6"/>
  <c r="F108" i="6"/>
  <c r="F112" i="6"/>
  <c r="F116" i="6"/>
  <c r="F129" i="6"/>
  <c r="F133" i="6"/>
  <c r="F137" i="6"/>
  <c r="F141" i="6"/>
  <c r="F145" i="6"/>
  <c r="U90" i="1" l="1"/>
  <c r="T91" i="1"/>
  <c r="S91" i="1"/>
  <c r="X90" i="1"/>
  <c r="V91" i="1"/>
  <c r="W91" i="1"/>
  <c r="Z90" i="1"/>
  <c r="Y90" i="1"/>
  <c r="AA89" i="1"/>
  <c r="AH90" i="1"/>
  <c r="W90" i="1" l="1"/>
  <c r="V90" i="1"/>
  <c r="X89" i="1"/>
  <c r="AA88" i="1"/>
  <c r="Y89" i="1"/>
  <c r="Z89" i="1"/>
  <c r="AH89" i="1"/>
  <c r="U89" i="1"/>
  <c r="T90" i="1"/>
  <c r="S90" i="1"/>
  <c r="AH119" i="1"/>
  <c r="AH117" i="1"/>
  <c r="AH115" i="1"/>
  <c r="AH113" i="1"/>
  <c r="AH111" i="1"/>
  <c r="AH109" i="1"/>
  <c r="AH107" i="1"/>
  <c r="AH105" i="1"/>
  <c r="AH103" i="1"/>
  <c r="AH101" i="1"/>
  <c r="AH99" i="1"/>
  <c r="AH118" i="1"/>
  <c r="AH116" i="1"/>
  <c r="AH114" i="1"/>
  <c r="AH112" i="1"/>
  <c r="AH110" i="1"/>
  <c r="AH108" i="1"/>
  <c r="AH106" i="1"/>
  <c r="AH104" i="1"/>
  <c r="AH102" i="1"/>
  <c r="AH100" i="1"/>
  <c r="AH98" i="1"/>
  <c r="AH96" i="1"/>
  <c r="AH97" i="1"/>
  <c r="AE13" i="1"/>
  <c r="U88" i="1" l="1"/>
  <c r="T89" i="1"/>
  <c r="S89" i="1"/>
  <c r="Z88" i="1"/>
  <c r="Y88" i="1"/>
  <c r="AH88" i="1"/>
  <c r="AA87" i="1"/>
  <c r="X88" i="1"/>
  <c r="V89" i="1"/>
  <c r="W89" i="1"/>
  <c r="AJ123" i="1"/>
  <c r="AK34" i="1"/>
  <c r="AL34" i="1"/>
  <c r="AO34" i="1"/>
  <c r="AP34" i="1"/>
  <c r="AK35" i="1"/>
  <c r="AL35" i="1"/>
  <c r="AO35" i="1"/>
  <c r="AP35" i="1"/>
  <c r="AK36" i="1"/>
  <c r="AL36" i="1"/>
  <c r="AO36" i="1"/>
  <c r="AP36" i="1"/>
  <c r="AK37" i="1"/>
  <c r="AL37" i="1"/>
  <c r="AO37" i="1"/>
  <c r="AP37" i="1"/>
  <c r="AK38" i="1"/>
  <c r="AL38" i="1"/>
  <c r="AO38" i="1"/>
  <c r="AP38" i="1"/>
  <c r="AK39" i="1"/>
  <c r="AL39" i="1"/>
  <c r="AO39" i="1"/>
  <c r="AP39" i="1"/>
  <c r="AK40" i="1"/>
  <c r="AL40" i="1"/>
  <c r="AO40" i="1"/>
  <c r="AP40" i="1"/>
  <c r="AK41" i="1"/>
  <c r="AL41" i="1"/>
  <c r="AO41" i="1"/>
  <c r="AP41" i="1"/>
  <c r="AK42" i="1"/>
  <c r="AL42" i="1"/>
  <c r="AO42" i="1"/>
  <c r="AP42" i="1"/>
  <c r="AK43" i="1"/>
  <c r="AL43" i="1"/>
  <c r="AO43" i="1"/>
  <c r="AP43" i="1"/>
  <c r="AK44" i="1"/>
  <c r="AL44" i="1"/>
  <c r="AO44" i="1"/>
  <c r="AP44" i="1"/>
  <c r="AK45" i="1"/>
  <c r="AL45" i="1"/>
  <c r="AO45" i="1"/>
  <c r="AP45" i="1"/>
  <c r="AK46" i="1"/>
  <c r="AL46" i="1"/>
  <c r="AO46" i="1"/>
  <c r="AP46" i="1"/>
  <c r="AK47" i="1"/>
  <c r="AL47" i="1"/>
  <c r="AO47" i="1"/>
  <c r="AP47" i="1"/>
  <c r="AK48" i="1"/>
  <c r="AL48" i="1"/>
  <c r="AO48" i="1"/>
  <c r="AP48" i="1"/>
  <c r="AK49" i="1"/>
  <c r="AL49" i="1"/>
  <c r="AO49" i="1"/>
  <c r="AP49" i="1"/>
  <c r="AK50" i="1"/>
  <c r="AL50" i="1"/>
  <c r="AO50" i="1"/>
  <c r="AP50" i="1"/>
  <c r="AK51" i="1"/>
  <c r="AL51" i="1"/>
  <c r="AO51" i="1"/>
  <c r="AP51" i="1"/>
  <c r="AK52" i="1"/>
  <c r="AL52" i="1"/>
  <c r="AO52" i="1"/>
  <c r="AP52" i="1"/>
  <c r="AK53" i="1"/>
  <c r="AL53" i="1"/>
  <c r="AO53" i="1"/>
  <c r="AP53" i="1"/>
  <c r="AK54" i="1"/>
  <c r="AL54" i="1"/>
  <c r="AO54" i="1"/>
  <c r="AP54" i="1"/>
  <c r="AK55" i="1"/>
  <c r="AL55" i="1"/>
  <c r="AO55" i="1"/>
  <c r="AP55" i="1"/>
  <c r="AK56" i="1"/>
  <c r="AL56" i="1"/>
  <c r="AO56" i="1"/>
  <c r="AP56" i="1"/>
  <c r="AK57" i="1"/>
  <c r="AL57" i="1"/>
  <c r="AO57" i="1"/>
  <c r="AP57" i="1"/>
  <c r="AK58" i="1"/>
  <c r="AL58" i="1"/>
  <c r="AO58" i="1"/>
  <c r="AP58" i="1"/>
  <c r="AK59" i="1"/>
  <c r="AL59" i="1"/>
  <c r="AO59" i="1"/>
  <c r="AP59" i="1"/>
  <c r="AK60" i="1"/>
  <c r="AL60" i="1"/>
  <c r="AO60" i="1"/>
  <c r="AP60" i="1"/>
  <c r="AK61" i="1"/>
  <c r="AL61" i="1"/>
  <c r="AO61" i="1"/>
  <c r="AP61" i="1"/>
  <c r="AK62" i="1"/>
  <c r="AL62" i="1"/>
  <c r="AO62" i="1"/>
  <c r="AP62" i="1"/>
  <c r="AK63" i="1"/>
  <c r="AL63" i="1"/>
  <c r="AO63" i="1"/>
  <c r="AP63" i="1"/>
  <c r="AK64" i="1"/>
  <c r="AL64" i="1"/>
  <c r="AO64" i="1"/>
  <c r="AP64" i="1"/>
  <c r="AK65" i="1"/>
  <c r="AL65" i="1"/>
  <c r="AO65" i="1"/>
  <c r="AP65" i="1"/>
  <c r="AK66" i="1"/>
  <c r="AL66" i="1"/>
  <c r="AO66" i="1"/>
  <c r="AP66" i="1"/>
  <c r="AK67" i="1"/>
  <c r="AL67" i="1"/>
  <c r="AO67" i="1"/>
  <c r="AP67" i="1"/>
  <c r="AK68" i="1"/>
  <c r="AL68" i="1"/>
  <c r="AO68" i="1"/>
  <c r="AP68" i="1"/>
  <c r="AK69" i="1"/>
  <c r="AL69" i="1"/>
  <c r="AO69" i="1"/>
  <c r="AP69" i="1"/>
  <c r="AK70" i="1"/>
  <c r="AL70" i="1"/>
  <c r="AO70" i="1"/>
  <c r="AP70" i="1"/>
  <c r="AK71" i="1"/>
  <c r="AL71" i="1"/>
  <c r="AO71" i="1"/>
  <c r="AP71" i="1"/>
  <c r="AK72" i="1"/>
  <c r="AL72" i="1"/>
  <c r="AO72" i="1"/>
  <c r="AP72" i="1"/>
  <c r="AK73" i="1"/>
  <c r="AL73" i="1"/>
  <c r="AO73" i="1"/>
  <c r="AP73" i="1"/>
  <c r="AK74" i="1"/>
  <c r="AL74" i="1"/>
  <c r="AO74" i="1"/>
  <c r="AP74" i="1"/>
  <c r="AK75" i="1"/>
  <c r="AL75" i="1"/>
  <c r="AO75" i="1"/>
  <c r="AP75" i="1"/>
  <c r="AK76" i="1"/>
  <c r="AL76" i="1"/>
  <c r="AO76" i="1"/>
  <c r="AP76" i="1"/>
  <c r="AK77" i="1"/>
  <c r="AL77" i="1"/>
  <c r="AO77" i="1"/>
  <c r="AP77" i="1"/>
  <c r="AK78" i="1"/>
  <c r="AL78" i="1"/>
  <c r="AO78" i="1"/>
  <c r="AP78" i="1"/>
  <c r="AK79" i="1"/>
  <c r="AL79" i="1"/>
  <c r="AO79" i="1"/>
  <c r="AP79" i="1"/>
  <c r="AK80" i="1"/>
  <c r="AL80" i="1"/>
  <c r="AO80" i="1"/>
  <c r="AP80" i="1"/>
  <c r="AK81" i="1"/>
  <c r="AL81" i="1"/>
  <c r="AO81" i="1"/>
  <c r="AP81" i="1"/>
  <c r="AK82" i="1"/>
  <c r="AL82" i="1"/>
  <c r="AO82" i="1"/>
  <c r="AP82" i="1"/>
  <c r="AK83" i="1"/>
  <c r="AL83" i="1"/>
  <c r="AO83" i="1"/>
  <c r="AP83" i="1"/>
  <c r="AK84" i="1"/>
  <c r="AL84" i="1"/>
  <c r="AO84" i="1"/>
  <c r="AP84" i="1"/>
  <c r="AK85" i="1"/>
  <c r="AL85" i="1"/>
  <c r="AO85" i="1"/>
  <c r="AP85" i="1"/>
  <c r="AK86" i="1"/>
  <c r="AL86" i="1"/>
  <c r="AO86" i="1"/>
  <c r="AP86" i="1"/>
  <c r="AK87" i="1"/>
  <c r="AL87" i="1"/>
  <c r="AO87" i="1"/>
  <c r="AP87" i="1"/>
  <c r="AK88" i="1"/>
  <c r="AL88" i="1"/>
  <c r="AO88" i="1"/>
  <c r="AP88" i="1"/>
  <c r="AK89" i="1"/>
  <c r="AL89" i="1"/>
  <c r="AO89" i="1"/>
  <c r="AP89" i="1"/>
  <c r="AK90" i="1"/>
  <c r="AL90" i="1"/>
  <c r="AO90" i="1"/>
  <c r="AP90" i="1"/>
  <c r="AK91" i="1"/>
  <c r="AL91" i="1"/>
  <c r="AO91" i="1"/>
  <c r="AP91" i="1"/>
  <c r="AK92" i="1"/>
  <c r="AL92" i="1"/>
  <c r="AO92" i="1"/>
  <c r="AP92" i="1"/>
  <c r="AK93" i="1"/>
  <c r="AL93" i="1"/>
  <c r="AO93" i="1"/>
  <c r="AP93" i="1"/>
  <c r="AK94" i="1"/>
  <c r="AL94" i="1"/>
  <c r="AO94" i="1"/>
  <c r="AP94" i="1"/>
  <c r="AK95" i="1"/>
  <c r="AL95" i="1"/>
  <c r="AO95" i="1"/>
  <c r="AP95" i="1"/>
  <c r="AK96" i="1"/>
  <c r="AL96" i="1"/>
  <c r="AO96" i="1"/>
  <c r="AP96" i="1"/>
  <c r="AK97" i="1"/>
  <c r="AL97" i="1"/>
  <c r="AO97" i="1"/>
  <c r="AP97" i="1"/>
  <c r="AK98" i="1"/>
  <c r="AL98" i="1"/>
  <c r="AO98" i="1"/>
  <c r="AP98" i="1"/>
  <c r="AK99" i="1"/>
  <c r="AL99" i="1"/>
  <c r="AO99" i="1"/>
  <c r="AP99" i="1"/>
  <c r="AK100" i="1"/>
  <c r="AL100" i="1"/>
  <c r="AO100" i="1"/>
  <c r="AP100" i="1"/>
  <c r="AK101" i="1"/>
  <c r="AL101" i="1"/>
  <c r="AO101" i="1"/>
  <c r="AP101" i="1"/>
  <c r="AK102" i="1"/>
  <c r="AL102" i="1"/>
  <c r="AO102" i="1"/>
  <c r="AP102" i="1"/>
  <c r="AK103" i="1"/>
  <c r="AL103" i="1"/>
  <c r="AO103" i="1"/>
  <c r="AP103" i="1"/>
  <c r="AK104" i="1"/>
  <c r="AL104" i="1"/>
  <c r="AO104" i="1"/>
  <c r="AP104" i="1"/>
  <c r="AK105" i="1"/>
  <c r="AL105" i="1"/>
  <c r="AO105" i="1"/>
  <c r="AP105" i="1"/>
  <c r="AK106" i="1"/>
  <c r="AL106" i="1"/>
  <c r="AO106" i="1"/>
  <c r="AP106" i="1"/>
  <c r="AK107" i="1"/>
  <c r="AL107" i="1"/>
  <c r="AO107" i="1"/>
  <c r="AP107" i="1"/>
  <c r="AK108" i="1"/>
  <c r="AL108" i="1"/>
  <c r="AO108" i="1"/>
  <c r="AP108" i="1"/>
  <c r="AK109" i="1"/>
  <c r="AL109" i="1"/>
  <c r="AO109" i="1"/>
  <c r="AP109" i="1"/>
  <c r="AK110" i="1"/>
  <c r="AL110" i="1"/>
  <c r="AO110" i="1"/>
  <c r="AP110" i="1"/>
  <c r="AK111" i="1"/>
  <c r="AL111" i="1"/>
  <c r="AO111" i="1"/>
  <c r="AP111" i="1"/>
  <c r="AK112" i="1"/>
  <c r="AL112" i="1"/>
  <c r="AO112" i="1"/>
  <c r="AP112" i="1"/>
  <c r="AK113" i="1"/>
  <c r="AL113" i="1"/>
  <c r="AO113" i="1"/>
  <c r="AP113" i="1"/>
  <c r="AK114" i="1"/>
  <c r="AL114" i="1"/>
  <c r="AO114" i="1"/>
  <c r="AP114" i="1"/>
  <c r="AK115" i="1"/>
  <c r="AL115" i="1"/>
  <c r="AO115" i="1"/>
  <c r="AP115" i="1"/>
  <c r="AK116" i="1"/>
  <c r="AL116" i="1"/>
  <c r="AO116" i="1"/>
  <c r="AP116" i="1"/>
  <c r="AK117" i="1"/>
  <c r="AL117" i="1"/>
  <c r="AO117" i="1"/>
  <c r="AP117" i="1"/>
  <c r="AK118" i="1"/>
  <c r="AL118" i="1"/>
  <c r="AO118" i="1"/>
  <c r="AP118" i="1"/>
  <c r="AK119" i="1"/>
  <c r="AL119" i="1"/>
  <c r="AO119" i="1"/>
  <c r="AP119" i="1"/>
  <c r="AP33" i="1"/>
  <c r="AO33" i="1"/>
  <c r="AL33" i="1"/>
  <c r="AK33" i="1"/>
  <c r="W88" i="1" l="1"/>
  <c r="V88" i="1"/>
  <c r="X87" i="1"/>
  <c r="Y87" i="1"/>
  <c r="Z87" i="1"/>
  <c r="AH87" i="1"/>
  <c r="AA86" i="1"/>
  <c r="U87" i="1"/>
  <c r="T88" i="1"/>
  <c r="S88" i="1"/>
  <c r="AM67" i="1"/>
  <c r="AM99" i="1"/>
  <c r="AM83" i="1"/>
  <c r="AM75" i="1"/>
  <c r="AM71" i="1"/>
  <c r="AM69" i="1"/>
  <c r="AM68" i="1"/>
  <c r="AM35" i="1"/>
  <c r="AM118" i="1"/>
  <c r="AM117" i="1"/>
  <c r="AM116" i="1"/>
  <c r="AM111" i="1"/>
  <c r="AM109" i="1"/>
  <c r="AM108" i="1"/>
  <c r="AM103" i="1"/>
  <c r="AM101" i="1"/>
  <c r="AM100" i="1"/>
  <c r="AM51" i="1"/>
  <c r="AM43" i="1"/>
  <c r="AM39" i="1"/>
  <c r="AM37" i="1"/>
  <c r="AM36" i="1"/>
  <c r="AM95" i="1"/>
  <c r="AM93" i="1"/>
  <c r="AM91" i="1"/>
  <c r="AM87" i="1"/>
  <c r="AM85" i="1"/>
  <c r="AM84" i="1"/>
  <c r="AM59" i="1"/>
  <c r="AM55" i="1"/>
  <c r="AM53" i="1"/>
  <c r="AM52" i="1"/>
  <c r="AM115" i="1"/>
  <c r="AM107" i="1"/>
  <c r="AM92" i="1"/>
  <c r="AM79" i="1"/>
  <c r="AM77" i="1"/>
  <c r="AM76" i="1"/>
  <c r="AM63" i="1"/>
  <c r="AM61" i="1"/>
  <c r="AM60" i="1"/>
  <c r="AM47" i="1"/>
  <c r="AM45" i="1"/>
  <c r="AM44" i="1"/>
  <c r="AM119" i="1"/>
  <c r="AM113" i="1"/>
  <c r="AM112" i="1"/>
  <c r="AM105" i="1"/>
  <c r="AM104" i="1"/>
  <c r="AM97" i="1"/>
  <c r="AM96" i="1"/>
  <c r="AM89" i="1"/>
  <c r="AM88" i="1"/>
  <c r="AM81" i="1"/>
  <c r="AM80" i="1"/>
  <c r="AM73" i="1"/>
  <c r="AM72" i="1"/>
  <c r="AM65" i="1"/>
  <c r="AM64" i="1"/>
  <c r="AM57" i="1"/>
  <c r="AM56" i="1"/>
  <c r="AM49" i="1"/>
  <c r="AM48" i="1"/>
  <c r="AM41" i="1"/>
  <c r="AM40" i="1"/>
  <c r="AM114" i="1"/>
  <c r="AM110" i="1"/>
  <c r="AM106" i="1"/>
  <c r="AM102" i="1"/>
  <c r="AM98" i="1"/>
  <c r="AM94" i="1"/>
  <c r="AM90" i="1"/>
  <c r="AM86" i="1"/>
  <c r="AM82" i="1"/>
  <c r="AM78" i="1"/>
  <c r="AM74" i="1"/>
  <c r="AM70" i="1"/>
  <c r="AM66" i="1"/>
  <c r="AM62" i="1"/>
  <c r="AM58" i="1"/>
  <c r="AM54" i="1"/>
  <c r="AM50" i="1"/>
  <c r="AM46" i="1"/>
  <c r="AM42" i="1"/>
  <c r="AM38" i="1"/>
  <c r="AM34" i="1"/>
  <c r="U86" i="1" l="1"/>
  <c r="T87" i="1"/>
  <c r="S87" i="1"/>
  <c r="Z86" i="1"/>
  <c r="Y86" i="1"/>
  <c r="AA85" i="1"/>
  <c r="AH86" i="1"/>
  <c r="V87" i="1"/>
  <c r="W87" i="1"/>
  <c r="X86" i="1"/>
  <c r="AD87" i="1"/>
  <c r="AI87" i="1" s="1"/>
  <c r="AF87" i="1"/>
  <c r="AD89" i="1"/>
  <c r="AI89" i="1" s="1"/>
  <c r="AF89" i="1"/>
  <c r="AD91" i="1"/>
  <c r="AI91" i="1" s="1"/>
  <c r="AF91" i="1"/>
  <c r="AD93" i="1"/>
  <c r="AI93" i="1" s="1"/>
  <c r="AF93" i="1"/>
  <c r="AD95" i="1"/>
  <c r="AI95" i="1" s="1"/>
  <c r="AF95" i="1"/>
  <c r="AD97" i="1"/>
  <c r="AI97" i="1" s="1"/>
  <c r="AF97" i="1"/>
  <c r="AD99" i="1"/>
  <c r="AI99" i="1" s="1"/>
  <c r="AF99" i="1"/>
  <c r="AD101" i="1"/>
  <c r="AI101" i="1" s="1"/>
  <c r="AF101" i="1"/>
  <c r="AD106" i="1"/>
  <c r="AI106" i="1" s="1"/>
  <c r="AF106" i="1"/>
  <c r="AD108" i="1"/>
  <c r="AI108" i="1" s="1"/>
  <c r="AF108" i="1"/>
  <c r="AD110" i="1"/>
  <c r="AI110" i="1" s="1"/>
  <c r="AF110" i="1"/>
  <c r="AD112" i="1"/>
  <c r="AI112" i="1" s="1"/>
  <c r="AF112" i="1"/>
  <c r="AD114" i="1"/>
  <c r="AI114" i="1" s="1"/>
  <c r="AF114" i="1"/>
  <c r="AD116" i="1"/>
  <c r="AI116" i="1" s="1"/>
  <c r="AF116" i="1"/>
  <c r="AD118" i="1"/>
  <c r="AI118" i="1" s="1"/>
  <c r="AF118" i="1"/>
  <c r="AF105" i="1"/>
  <c r="AD105" i="1"/>
  <c r="AD103" i="1"/>
  <c r="AI103" i="1" s="1"/>
  <c r="AF103" i="1"/>
  <c r="AD86" i="1"/>
  <c r="AI86" i="1" s="1"/>
  <c r="AF86" i="1"/>
  <c r="AD88" i="1"/>
  <c r="AI88" i="1" s="1"/>
  <c r="AF88" i="1"/>
  <c r="AD90" i="1"/>
  <c r="AI90" i="1" s="1"/>
  <c r="AF90" i="1"/>
  <c r="AD92" i="1"/>
  <c r="AI92" i="1" s="1"/>
  <c r="AF92" i="1"/>
  <c r="AD94" i="1"/>
  <c r="AI94" i="1" s="1"/>
  <c r="AF94" i="1"/>
  <c r="AD96" i="1"/>
  <c r="AI96" i="1" s="1"/>
  <c r="AF96" i="1"/>
  <c r="AD98" i="1"/>
  <c r="AI98" i="1" s="1"/>
  <c r="AF98" i="1"/>
  <c r="AD100" i="1"/>
  <c r="AI100" i="1" s="1"/>
  <c r="AF100" i="1"/>
  <c r="AD102" i="1"/>
  <c r="AI102" i="1" s="1"/>
  <c r="AF102" i="1"/>
  <c r="AD107" i="1"/>
  <c r="AI107" i="1" s="1"/>
  <c r="AF107" i="1"/>
  <c r="AD109" i="1"/>
  <c r="AI109" i="1" s="1"/>
  <c r="AF109" i="1"/>
  <c r="AD111" i="1"/>
  <c r="AI111" i="1" s="1"/>
  <c r="AF111" i="1"/>
  <c r="AD113" i="1"/>
  <c r="AI113" i="1" s="1"/>
  <c r="AF113" i="1"/>
  <c r="AD115" i="1"/>
  <c r="AI115" i="1" s="1"/>
  <c r="AF115" i="1"/>
  <c r="AD117" i="1"/>
  <c r="AI117" i="1" s="1"/>
  <c r="AF117" i="1"/>
  <c r="AF119" i="1"/>
  <c r="AF104" i="1"/>
  <c r="AD104" i="1"/>
  <c r="AI104" i="1" s="1"/>
  <c r="AI105" i="1" l="1"/>
  <c r="W86" i="1"/>
  <c r="V86" i="1"/>
  <c r="X85" i="1"/>
  <c r="AA84" i="1"/>
  <c r="Y85" i="1"/>
  <c r="Z85" i="1"/>
  <c r="AH85" i="1"/>
  <c r="U85" i="1"/>
  <c r="T86" i="1"/>
  <c r="S86" i="1"/>
  <c r="K91" i="5"/>
  <c r="U84" i="1" l="1"/>
  <c r="T85" i="1"/>
  <c r="S85" i="1"/>
  <c r="AD85" i="1"/>
  <c r="Z84" i="1"/>
  <c r="Y84" i="1"/>
  <c r="AA83" i="1"/>
  <c r="AH84" i="1"/>
  <c r="X84" i="1"/>
  <c r="V85" i="1"/>
  <c r="W85" i="1"/>
  <c r="AF85" i="1"/>
  <c r="W103" i="5"/>
  <c r="S103" i="5"/>
  <c r="J26" i="5"/>
  <c r="J27" i="5"/>
  <c r="J28" i="5"/>
  <c r="J29" i="5"/>
  <c r="J30" i="5"/>
  <c r="J31" i="5"/>
  <c r="J32" i="5"/>
  <c r="J33" i="5"/>
  <c r="J34" i="5"/>
  <c r="J35" i="5"/>
  <c r="J36" i="5"/>
  <c r="J37" i="5"/>
  <c r="J38" i="5"/>
  <c r="J39" i="5"/>
  <c r="J40" i="5"/>
  <c r="J41" i="5"/>
  <c r="J42" i="5"/>
  <c r="J43" i="5"/>
  <c r="J44" i="5"/>
  <c r="J45" i="5"/>
  <c r="J46" i="5"/>
  <c r="J47" i="5"/>
  <c r="J48" i="5"/>
  <c r="J49" i="5"/>
  <c r="J50" i="5"/>
  <c r="J51" i="5"/>
  <c r="J52" i="5"/>
  <c r="J53" i="5"/>
  <c r="J54" i="5"/>
  <c r="J55" i="5"/>
  <c r="J56" i="5"/>
  <c r="J57" i="5"/>
  <c r="J58" i="5"/>
  <c r="J59" i="5"/>
  <c r="J60" i="5"/>
  <c r="J61" i="5"/>
  <c r="J62" i="5"/>
  <c r="J63" i="5"/>
  <c r="J64" i="5"/>
  <c r="J65" i="5"/>
  <c r="J66" i="5"/>
  <c r="J67" i="5"/>
  <c r="J68" i="5"/>
  <c r="J69" i="5"/>
  <c r="J70" i="5"/>
  <c r="J71" i="5"/>
  <c r="J72" i="5"/>
  <c r="J73" i="5"/>
  <c r="J74" i="5"/>
  <c r="J75" i="5"/>
  <c r="J76" i="5"/>
  <c r="J77" i="5"/>
  <c r="J78" i="5"/>
  <c r="J79" i="5"/>
  <c r="J92" i="5"/>
  <c r="J93" i="5"/>
  <c r="J94" i="5"/>
  <c r="J95" i="5"/>
  <c r="J96" i="5"/>
  <c r="J97" i="5"/>
  <c r="J98" i="5"/>
  <c r="J99" i="5"/>
  <c r="J100" i="5"/>
  <c r="J101" i="5"/>
  <c r="J102" i="5"/>
  <c r="J103" i="5"/>
  <c r="J25" i="5"/>
  <c r="N103" i="5"/>
  <c r="AI85" i="1" l="1"/>
  <c r="W84" i="1"/>
  <c r="V84" i="1"/>
  <c r="AF84" i="1"/>
  <c r="X83" i="1"/>
  <c r="Z83" i="1"/>
  <c r="AH83" i="1"/>
  <c r="AA82" i="1"/>
  <c r="Y83" i="1"/>
  <c r="U83" i="1"/>
  <c r="T84" i="1"/>
  <c r="S84" i="1"/>
  <c r="AD84" i="1"/>
  <c r="AI84" i="1" s="1"/>
  <c r="AD119" i="1"/>
  <c r="AI119" i="1" s="1"/>
  <c r="AM32" i="1"/>
  <c r="AJ28" i="1"/>
  <c r="U82" i="1" l="1"/>
  <c r="AD83" i="1"/>
  <c r="T83" i="1"/>
  <c r="S83" i="1"/>
  <c r="Z82" i="1"/>
  <c r="Y82" i="1"/>
  <c r="AA81" i="1"/>
  <c r="AH82" i="1"/>
  <c r="AF83" i="1"/>
  <c r="W83" i="1"/>
  <c r="X82" i="1"/>
  <c r="V83" i="1"/>
  <c r="AC146" i="6"/>
  <c r="AC145" i="6"/>
  <c r="AC142" i="6"/>
  <c r="AC141" i="6"/>
  <c r="AC138" i="6"/>
  <c r="AC137" i="6"/>
  <c r="AC134" i="6"/>
  <c r="AC133" i="6"/>
  <c r="AC130" i="6"/>
  <c r="AC129" i="6"/>
  <c r="AC126" i="6"/>
  <c r="AC125" i="6"/>
  <c r="AC123" i="6"/>
  <c r="AC121" i="6"/>
  <c r="AC119" i="6"/>
  <c r="AC118" i="6"/>
  <c r="AC115" i="6"/>
  <c r="AC114" i="6"/>
  <c r="AC111" i="6"/>
  <c r="AC110" i="6"/>
  <c r="AC107" i="6"/>
  <c r="AC106" i="6"/>
  <c r="AC103" i="6"/>
  <c r="AC102" i="6"/>
  <c r="AC99" i="6"/>
  <c r="AC98" i="6"/>
  <c r="AC147" i="6"/>
  <c r="AC144" i="6"/>
  <c r="AC143" i="6"/>
  <c r="AC140" i="6"/>
  <c r="AC139" i="6"/>
  <c r="AC136" i="6"/>
  <c r="AC135" i="6"/>
  <c r="AC132" i="6"/>
  <c r="AC131" i="6"/>
  <c r="AC128" i="6"/>
  <c r="AC127" i="6"/>
  <c r="AC124" i="6"/>
  <c r="AC122" i="6"/>
  <c r="AC120" i="6"/>
  <c r="AC117" i="6"/>
  <c r="AC116" i="6"/>
  <c r="AC113" i="6"/>
  <c r="AC112" i="6"/>
  <c r="AC109" i="6"/>
  <c r="AC108" i="6"/>
  <c r="AC105" i="6"/>
  <c r="AC104" i="6"/>
  <c r="AC101" i="6"/>
  <c r="AC100" i="6"/>
  <c r="AC97" i="6"/>
  <c r="AC96" i="6"/>
  <c r="AC93" i="6"/>
  <c r="AC92" i="6"/>
  <c r="AC95" i="6"/>
  <c r="AC90" i="6"/>
  <c r="AC87" i="6"/>
  <c r="AC86" i="6"/>
  <c r="AC83" i="6"/>
  <c r="AC82" i="6"/>
  <c r="AC79" i="6"/>
  <c r="AC78" i="6"/>
  <c r="AC75" i="6"/>
  <c r="AC74" i="6"/>
  <c r="AC72" i="6"/>
  <c r="AC70" i="6"/>
  <c r="AC68" i="6"/>
  <c r="AC67" i="6"/>
  <c r="AC94" i="6"/>
  <c r="AC91" i="6"/>
  <c r="AC89" i="6"/>
  <c r="AC88" i="6"/>
  <c r="AC85" i="6"/>
  <c r="AC84" i="6"/>
  <c r="AC81" i="6"/>
  <c r="AC80" i="6"/>
  <c r="AC77" i="6"/>
  <c r="AC76" i="6"/>
  <c r="AC73" i="6"/>
  <c r="AC71" i="6"/>
  <c r="AC69" i="6"/>
  <c r="AC66" i="6"/>
  <c r="AC65" i="6"/>
  <c r="AC64" i="6"/>
  <c r="AJ34" i="1"/>
  <c r="AJ35" i="1"/>
  <c r="AJ38" i="1"/>
  <c r="AJ39" i="1"/>
  <c r="AJ42" i="1"/>
  <c r="AJ43" i="1"/>
  <c r="AJ46" i="1"/>
  <c r="AJ47" i="1"/>
  <c r="AJ50" i="1"/>
  <c r="AJ51" i="1"/>
  <c r="AJ54" i="1"/>
  <c r="AJ55" i="1"/>
  <c r="AJ58" i="1"/>
  <c r="AJ59" i="1"/>
  <c r="AJ62" i="1"/>
  <c r="AJ63" i="1"/>
  <c r="AJ66" i="1"/>
  <c r="AJ67" i="1"/>
  <c r="AJ70" i="1"/>
  <c r="AJ71" i="1"/>
  <c r="AJ74" i="1"/>
  <c r="AJ75" i="1"/>
  <c r="AJ78" i="1"/>
  <c r="AJ79" i="1"/>
  <c r="AJ82" i="1"/>
  <c r="AJ83" i="1"/>
  <c r="AJ86" i="1"/>
  <c r="AJ87" i="1"/>
  <c r="AJ90" i="1"/>
  <c r="AJ91" i="1"/>
  <c r="AJ94" i="1"/>
  <c r="AJ95" i="1"/>
  <c r="AJ98" i="1"/>
  <c r="AJ99" i="1"/>
  <c r="AJ102" i="1"/>
  <c r="AJ103" i="1"/>
  <c r="AJ106" i="1"/>
  <c r="AJ107" i="1"/>
  <c r="AJ110" i="1"/>
  <c r="AJ111" i="1"/>
  <c r="AJ114" i="1"/>
  <c r="AJ115" i="1"/>
  <c r="AJ118" i="1"/>
  <c r="AJ40" i="1"/>
  <c r="AJ41" i="1"/>
  <c r="AJ48" i="1"/>
  <c r="AJ49" i="1"/>
  <c r="AJ56" i="1"/>
  <c r="AJ57" i="1"/>
  <c r="AJ64" i="1"/>
  <c r="AJ65" i="1"/>
  <c r="AJ72" i="1"/>
  <c r="AJ73" i="1"/>
  <c r="AJ80" i="1"/>
  <c r="AJ81" i="1"/>
  <c r="AJ88" i="1"/>
  <c r="AJ89" i="1"/>
  <c r="AJ96" i="1"/>
  <c r="AJ97" i="1"/>
  <c r="AJ104" i="1"/>
  <c r="AJ105" i="1"/>
  <c r="AJ112" i="1"/>
  <c r="AJ113" i="1"/>
  <c r="AJ36" i="1"/>
  <c r="AJ37" i="1"/>
  <c r="AJ44" i="1"/>
  <c r="AJ45" i="1"/>
  <c r="AJ52" i="1"/>
  <c r="AJ53" i="1"/>
  <c r="AJ60" i="1"/>
  <c r="AJ61" i="1"/>
  <c r="AJ68" i="1"/>
  <c r="AJ69" i="1"/>
  <c r="AJ76" i="1"/>
  <c r="AJ77" i="1"/>
  <c r="AJ84" i="1"/>
  <c r="AJ85" i="1"/>
  <c r="AJ92" i="1"/>
  <c r="AJ93" i="1"/>
  <c r="AJ100" i="1"/>
  <c r="AJ101" i="1"/>
  <c r="AJ108" i="1"/>
  <c r="AJ109" i="1"/>
  <c r="AJ116" i="1"/>
  <c r="AJ117" i="1"/>
  <c r="AJ119" i="1"/>
  <c r="AJ33" i="1"/>
  <c r="AM33" i="1"/>
  <c r="AI83" i="1" l="1"/>
  <c r="W82" i="1"/>
  <c r="V82" i="1"/>
  <c r="X81" i="1"/>
  <c r="AF82" i="1"/>
  <c r="AA80" i="1"/>
  <c r="Y81" i="1"/>
  <c r="Z81" i="1"/>
  <c r="AH81" i="1"/>
  <c r="U81" i="1"/>
  <c r="T82" i="1"/>
  <c r="AD82" i="1"/>
  <c r="S82" i="1"/>
  <c r="U44" i="5"/>
  <c r="U45" i="5"/>
  <c r="U46" i="5"/>
  <c r="U47" i="5"/>
  <c r="U48" i="5"/>
  <c r="U49" i="5"/>
  <c r="U50" i="5"/>
  <c r="U51" i="5"/>
  <c r="U52" i="5"/>
  <c r="U53" i="5"/>
  <c r="U54" i="5"/>
  <c r="U55" i="5"/>
  <c r="U43" i="5"/>
  <c r="H93" i="5"/>
  <c r="H94" i="5"/>
  <c r="H95" i="5"/>
  <c r="H96" i="5"/>
  <c r="H97" i="5"/>
  <c r="H98" i="5"/>
  <c r="H99" i="5"/>
  <c r="H100" i="5"/>
  <c r="H101" i="5"/>
  <c r="H102" i="5"/>
  <c r="H103" i="5"/>
  <c r="H92" i="5"/>
  <c r="H81" i="5"/>
  <c r="H82" i="5"/>
  <c r="H83" i="5"/>
  <c r="H84" i="5"/>
  <c r="H85" i="5"/>
  <c r="H86" i="5"/>
  <c r="H87" i="5"/>
  <c r="H88" i="5"/>
  <c r="H89" i="5"/>
  <c r="H90" i="5"/>
  <c r="H91" i="5"/>
  <c r="H80" i="5"/>
  <c r="H69" i="5"/>
  <c r="H70" i="5"/>
  <c r="H71" i="5"/>
  <c r="H72" i="5"/>
  <c r="H73" i="5"/>
  <c r="H74" i="5"/>
  <c r="H75" i="5"/>
  <c r="H76" i="5"/>
  <c r="H77" i="5"/>
  <c r="H78" i="5"/>
  <c r="H79" i="5"/>
  <c r="H68" i="5"/>
  <c r="H57" i="5"/>
  <c r="H58" i="5"/>
  <c r="H59" i="5"/>
  <c r="H60" i="5"/>
  <c r="H61" i="5"/>
  <c r="H62" i="5"/>
  <c r="H63" i="5"/>
  <c r="H64" i="5"/>
  <c r="H65" i="5"/>
  <c r="H66" i="5"/>
  <c r="H67" i="5"/>
  <c r="H56" i="5"/>
  <c r="H45" i="5"/>
  <c r="H46" i="5"/>
  <c r="H47" i="5"/>
  <c r="H48" i="5"/>
  <c r="H49" i="5"/>
  <c r="H50" i="5"/>
  <c r="H51" i="5"/>
  <c r="H52" i="5"/>
  <c r="H53" i="5"/>
  <c r="H54" i="5"/>
  <c r="H55" i="5"/>
  <c r="H44" i="5"/>
  <c r="H33" i="5"/>
  <c r="H34" i="5"/>
  <c r="H35" i="5"/>
  <c r="H36" i="5"/>
  <c r="H37" i="5"/>
  <c r="H38" i="5"/>
  <c r="H39" i="5"/>
  <c r="H40" i="5"/>
  <c r="H41" i="5"/>
  <c r="H42" i="5"/>
  <c r="H43" i="5"/>
  <c r="H32" i="5"/>
  <c r="H23" i="5"/>
  <c r="H24" i="5"/>
  <c r="H25" i="5"/>
  <c r="H26" i="5"/>
  <c r="H27" i="5"/>
  <c r="H28" i="5"/>
  <c r="H29" i="5"/>
  <c r="H30" i="5"/>
  <c r="H31" i="5"/>
  <c r="H21" i="5"/>
  <c r="H22" i="5"/>
  <c r="H20" i="5"/>
  <c r="H16" i="5"/>
  <c r="G103" i="5"/>
  <c r="H14" i="5"/>
  <c r="H10" i="5"/>
  <c r="G91" i="5"/>
  <c r="G79" i="5"/>
  <c r="G67" i="5"/>
  <c r="G55" i="5"/>
  <c r="G43" i="5"/>
  <c r="G31" i="5"/>
  <c r="Y69" i="5"/>
  <c r="Y70" i="5"/>
  <c r="Y71" i="5"/>
  <c r="Y72" i="5"/>
  <c r="Y73" i="5"/>
  <c r="Y74" i="5"/>
  <c r="Y75" i="5"/>
  <c r="Y76" i="5"/>
  <c r="Y77" i="5"/>
  <c r="Y78" i="5"/>
  <c r="Y79" i="5"/>
  <c r="Y68" i="5"/>
  <c r="Y57" i="5"/>
  <c r="Y58" i="5"/>
  <c r="Y59" i="5"/>
  <c r="Y60" i="5"/>
  <c r="Y61" i="5"/>
  <c r="Y62" i="5"/>
  <c r="Y63" i="5"/>
  <c r="Y64" i="5"/>
  <c r="Y65" i="5"/>
  <c r="Y66" i="5"/>
  <c r="Y67" i="5"/>
  <c r="Y56" i="5"/>
  <c r="Y45" i="5"/>
  <c r="Y46" i="5"/>
  <c r="Y47" i="5"/>
  <c r="Y48" i="5"/>
  <c r="Y49" i="5"/>
  <c r="Y50" i="5"/>
  <c r="Y51" i="5"/>
  <c r="Y52" i="5"/>
  <c r="Y53" i="5"/>
  <c r="Y54" i="5"/>
  <c r="Y55" i="5"/>
  <c r="Y44" i="5"/>
  <c r="Y33" i="5"/>
  <c r="Y34" i="5"/>
  <c r="Y35" i="5"/>
  <c r="Y36" i="5"/>
  <c r="Y37" i="5"/>
  <c r="Y38" i="5"/>
  <c r="Y39" i="5"/>
  <c r="Y40" i="5"/>
  <c r="Y41" i="5"/>
  <c r="Y42" i="5"/>
  <c r="Y43" i="5"/>
  <c r="Y32" i="5"/>
  <c r="X62" i="5"/>
  <c r="X63" i="5"/>
  <c r="X64" i="5"/>
  <c r="X65" i="5"/>
  <c r="X66" i="5"/>
  <c r="X67" i="5"/>
  <c r="X68" i="5"/>
  <c r="X69" i="5"/>
  <c r="X70" i="5"/>
  <c r="X71" i="5"/>
  <c r="X72" i="5"/>
  <c r="X61" i="5"/>
  <c r="X50" i="5"/>
  <c r="X51" i="5"/>
  <c r="X52" i="5"/>
  <c r="X53" i="5"/>
  <c r="X54" i="5"/>
  <c r="X55" i="5"/>
  <c r="X56" i="5"/>
  <c r="X57" i="5"/>
  <c r="X58" i="5"/>
  <c r="X59" i="5"/>
  <c r="X60" i="5"/>
  <c r="X49" i="5"/>
  <c r="X38" i="5"/>
  <c r="X39" i="5"/>
  <c r="X40" i="5"/>
  <c r="X41" i="5"/>
  <c r="X42" i="5"/>
  <c r="X43" i="5"/>
  <c r="X44" i="5"/>
  <c r="X45" i="5"/>
  <c r="X46" i="5"/>
  <c r="X47" i="5"/>
  <c r="X48" i="5"/>
  <c r="X37" i="5"/>
  <c r="X26" i="5"/>
  <c r="X27" i="5"/>
  <c r="X28" i="5"/>
  <c r="X29" i="5"/>
  <c r="X30" i="5"/>
  <c r="X31" i="5"/>
  <c r="X32" i="5"/>
  <c r="X33" i="5"/>
  <c r="X34" i="5"/>
  <c r="X35" i="5"/>
  <c r="X36" i="5"/>
  <c r="X25" i="5"/>
  <c r="U69" i="5"/>
  <c r="U70" i="5"/>
  <c r="U71" i="5"/>
  <c r="U72" i="5"/>
  <c r="U73" i="5"/>
  <c r="U74" i="5"/>
  <c r="U75" i="5"/>
  <c r="U76" i="5"/>
  <c r="U77" i="5"/>
  <c r="U78" i="5"/>
  <c r="U79" i="5"/>
  <c r="U68" i="5"/>
  <c r="U57" i="5"/>
  <c r="U58" i="5"/>
  <c r="U59" i="5"/>
  <c r="U60" i="5"/>
  <c r="U61" i="5"/>
  <c r="U62" i="5"/>
  <c r="U63" i="5"/>
  <c r="U64" i="5"/>
  <c r="U65" i="5"/>
  <c r="U66" i="5"/>
  <c r="U67" i="5"/>
  <c r="U56" i="5"/>
  <c r="U33" i="5"/>
  <c r="U34" i="5"/>
  <c r="U7" i="5" s="1"/>
  <c r="U35" i="5"/>
  <c r="U36" i="5"/>
  <c r="U9" i="5" s="1"/>
  <c r="U37" i="5"/>
  <c r="U38" i="5"/>
  <c r="U11" i="5" s="1"/>
  <c r="U39" i="5"/>
  <c r="U12" i="5" s="1"/>
  <c r="U40" i="5"/>
  <c r="U13" i="5" s="1"/>
  <c r="U41" i="5"/>
  <c r="U14" i="5" s="1"/>
  <c r="U42" i="5"/>
  <c r="U15" i="5" s="1"/>
  <c r="U32" i="5"/>
  <c r="T62" i="5"/>
  <c r="T63" i="5"/>
  <c r="T64" i="5"/>
  <c r="T65" i="5"/>
  <c r="T66" i="5"/>
  <c r="T67" i="5"/>
  <c r="T68" i="5"/>
  <c r="T69" i="5"/>
  <c r="T70" i="5"/>
  <c r="T71" i="5"/>
  <c r="T72" i="5"/>
  <c r="T61" i="5"/>
  <c r="T50" i="5"/>
  <c r="T51" i="5"/>
  <c r="T52" i="5"/>
  <c r="T53" i="5"/>
  <c r="T54" i="5"/>
  <c r="T55" i="5"/>
  <c r="T56" i="5"/>
  <c r="T57" i="5"/>
  <c r="T58" i="5"/>
  <c r="T59" i="5"/>
  <c r="T60" i="5"/>
  <c r="T49" i="5"/>
  <c r="T38" i="5"/>
  <c r="T39" i="5"/>
  <c r="T40" i="5"/>
  <c r="T41" i="5"/>
  <c r="T42" i="5"/>
  <c r="T43" i="5"/>
  <c r="T44" i="5"/>
  <c r="T45" i="5"/>
  <c r="T46" i="5"/>
  <c r="T47" i="5"/>
  <c r="T48" i="5"/>
  <c r="T37" i="5"/>
  <c r="T26" i="5"/>
  <c r="T27" i="5"/>
  <c r="T28" i="5"/>
  <c r="T29" i="5"/>
  <c r="T30" i="5"/>
  <c r="T31" i="5"/>
  <c r="T32" i="5"/>
  <c r="T33" i="5"/>
  <c r="T34" i="5"/>
  <c r="T35" i="5"/>
  <c r="T36" i="5"/>
  <c r="T25" i="5"/>
  <c r="W79" i="5"/>
  <c r="W72" i="5"/>
  <c r="W67" i="5"/>
  <c r="W60" i="5"/>
  <c r="W55" i="5"/>
  <c r="W48" i="5"/>
  <c r="W43" i="5"/>
  <c r="W36" i="5"/>
  <c r="S79" i="5"/>
  <c r="S72" i="5"/>
  <c r="S67" i="5"/>
  <c r="S60" i="5"/>
  <c r="S55" i="5"/>
  <c r="S48" i="5"/>
  <c r="S43" i="5"/>
  <c r="S36" i="5"/>
  <c r="P45" i="5"/>
  <c r="P46" i="5"/>
  <c r="P47" i="5"/>
  <c r="P48" i="5"/>
  <c r="P49" i="5"/>
  <c r="P50" i="5"/>
  <c r="P51" i="5"/>
  <c r="P52" i="5"/>
  <c r="P53" i="5"/>
  <c r="P54" i="5"/>
  <c r="P55" i="5"/>
  <c r="P44" i="5"/>
  <c r="P69" i="5"/>
  <c r="P70" i="5"/>
  <c r="P71" i="5"/>
  <c r="P72" i="5"/>
  <c r="P73" i="5"/>
  <c r="P74" i="5"/>
  <c r="P75" i="5"/>
  <c r="P76" i="5"/>
  <c r="P77" i="5"/>
  <c r="P78" i="5"/>
  <c r="P79" i="5"/>
  <c r="P68" i="5"/>
  <c r="P57" i="5"/>
  <c r="P58" i="5"/>
  <c r="P59" i="5"/>
  <c r="P60" i="5"/>
  <c r="P61" i="5"/>
  <c r="P62" i="5"/>
  <c r="P63" i="5"/>
  <c r="P64" i="5"/>
  <c r="P65" i="5"/>
  <c r="P66" i="5"/>
  <c r="P67" i="5"/>
  <c r="P56" i="5"/>
  <c r="O62" i="5"/>
  <c r="O63" i="5"/>
  <c r="O64" i="5"/>
  <c r="O65" i="5"/>
  <c r="O66" i="5"/>
  <c r="O67" i="5"/>
  <c r="O68" i="5"/>
  <c r="O69" i="5"/>
  <c r="O70" i="5"/>
  <c r="O71" i="5"/>
  <c r="O72" i="5"/>
  <c r="O61" i="5"/>
  <c r="O50" i="5"/>
  <c r="O51" i="5"/>
  <c r="O52" i="5"/>
  <c r="O53" i="5"/>
  <c r="O54" i="5"/>
  <c r="O55" i="5"/>
  <c r="O56" i="5"/>
  <c r="O57" i="5"/>
  <c r="O58" i="5"/>
  <c r="O59" i="5"/>
  <c r="O60" i="5"/>
  <c r="O49" i="5"/>
  <c r="O38" i="5"/>
  <c r="O39" i="5"/>
  <c r="O40" i="5"/>
  <c r="O41" i="5"/>
  <c r="O42" i="5"/>
  <c r="O43" i="5"/>
  <c r="O44" i="5"/>
  <c r="O45" i="5"/>
  <c r="O46" i="5"/>
  <c r="O47" i="5"/>
  <c r="O48" i="5"/>
  <c r="O37" i="5"/>
  <c r="P37" i="5"/>
  <c r="P38" i="5"/>
  <c r="P39" i="5"/>
  <c r="P40" i="5"/>
  <c r="P41" i="5"/>
  <c r="P42" i="5"/>
  <c r="P43" i="5"/>
  <c r="P33" i="5"/>
  <c r="P34" i="5"/>
  <c r="P35" i="5"/>
  <c r="P36" i="5"/>
  <c r="O32" i="5"/>
  <c r="O33" i="5"/>
  <c r="O34" i="5"/>
  <c r="O35" i="5"/>
  <c r="O36" i="5"/>
  <c r="P32" i="5"/>
  <c r="O26" i="5"/>
  <c r="O27" i="5"/>
  <c r="O28" i="5"/>
  <c r="O29" i="5"/>
  <c r="O30" i="5"/>
  <c r="O31" i="5"/>
  <c r="O25" i="5"/>
  <c r="N79" i="5"/>
  <c r="N67" i="5"/>
  <c r="N55" i="5"/>
  <c r="N43" i="5"/>
  <c r="N72" i="5"/>
  <c r="N60" i="5"/>
  <c r="N48" i="5"/>
  <c r="N36" i="5"/>
  <c r="E93" i="5"/>
  <c r="E94" i="5"/>
  <c r="AB94" i="5" s="1"/>
  <c r="E95" i="5"/>
  <c r="E96" i="5"/>
  <c r="AB96" i="5" s="1"/>
  <c r="E97" i="5"/>
  <c r="E98" i="5"/>
  <c r="AB98" i="5" s="1"/>
  <c r="E99" i="5"/>
  <c r="E100" i="5"/>
  <c r="AB100" i="5" s="1"/>
  <c r="E101" i="5"/>
  <c r="E102" i="5"/>
  <c r="AB102" i="5" s="1"/>
  <c r="E103" i="5"/>
  <c r="E92" i="5"/>
  <c r="AB92" i="5" s="1"/>
  <c r="E81" i="5"/>
  <c r="E82" i="5"/>
  <c r="AB82" i="5" s="1"/>
  <c r="E83" i="5"/>
  <c r="E84" i="5"/>
  <c r="AB84" i="5" s="1"/>
  <c r="E85" i="5"/>
  <c r="E86" i="5"/>
  <c r="AB86" i="5" s="1"/>
  <c r="E87" i="5"/>
  <c r="E88" i="5"/>
  <c r="AB88" i="5" s="1"/>
  <c r="E89" i="5"/>
  <c r="E90" i="5"/>
  <c r="AB90" i="5" s="1"/>
  <c r="E91" i="5"/>
  <c r="E80" i="5"/>
  <c r="AB80" i="5" s="1"/>
  <c r="E69" i="5"/>
  <c r="E70" i="5"/>
  <c r="AB70" i="5" s="1"/>
  <c r="E71" i="5"/>
  <c r="E72" i="5"/>
  <c r="AB72" i="5" s="1"/>
  <c r="E73" i="5"/>
  <c r="E74" i="5"/>
  <c r="AB74" i="5" s="1"/>
  <c r="E75" i="5"/>
  <c r="E76" i="5"/>
  <c r="AB76" i="5" s="1"/>
  <c r="E77" i="5"/>
  <c r="E78" i="5"/>
  <c r="AB78" i="5" s="1"/>
  <c r="E79" i="5"/>
  <c r="E68" i="5"/>
  <c r="AB68" i="5" s="1"/>
  <c r="E57" i="5"/>
  <c r="E58" i="5"/>
  <c r="AB58" i="5" s="1"/>
  <c r="E59" i="5"/>
  <c r="E60" i="5"/>
  <c r="AB60" i="5" s="1"/>
  <c r="E61" i="5"/>
  <c r="E62" i="5"/>
  <c r="AB62" i="5" s="1"/>
  <c r="E63" i="5"/>
  <c r="E64" i="5"/>
  <c r="AB64" i="5" s="1"/>
  <c r="E65" i="5"/>
  <c r="E66" i="5"/>
  <c r="AB66" i="5" s="1"/>
  <c r="E67" i="5"/>
  <c r="E56" i="5"/>
  <c r="AB56" i="5" s="1"/>
  <c r="E45" i="5"/>
  <c r="E46" i="5"/>
  <c r="AB46" i="5" s="1"/>
  <c r="E47" i="5"/>
  <c r="E48" i="5"/>
  <c r="AB48" i="5" s="1"/>
  <c r="E49" i="5"/>
  <c r="E50" i="5"/>
  <c r="AB50" i="5" s="1"/>
  <c r="E51" i="5"/>
  <c r="E52" i="5"/>
  <c r="AB52" i="5" s="1"/>
  <c r="E53" i="5"/>
  <c r="E54" i="5"/>
  <c r="AB54" i="5" s="1"/>
  <c r="E55" i="5"/>
  <c r="E44" i="5"/>
  <c r="AB44" i="5" s="1"/>
  <c r="E33" i="5"/>
  <c r="E34" i="5"/>
  <c r="AB34" i="5" s="1"/>
  <c r="E35" i="5"/>
  <c r="E36" i="5"/>
  <c r="AB36" i="5" s="1"/>
  <c r="E37" i="5"/>
  <c r="E38" i="5"/>
  <c r="AB38" i="5" s="1"/>
  <c r="E39" i="5"/>
  <c r="E40" i="5"/>
  <c r="AB40" i="5" s="1"/>
  <c r="E41" i="5"/>
  <c r="E42" i="5"/>
  <c r="AB42" i="5" s="1"/>
  <c r="E43" i="5"/>
  <c r="E32" i="5"/>
  <c r="AB32" i="5" s="1"/>
  <c r="E21" i="5"/>
  <c r="E22" i="5"/>
  <c r="E23" i="5"/>
  <c r="E24" i="5"/>
  <c r="E25" i="5"/>
  <c r="E26" i="5"/>
  <c r="AB26" i="5" s="1"/>
  <c r="E27" i="5"/>
  <c r="E28" i="5"/>
  <c r="AB28" i="5" s="1"/>
  <c r="E29" i="5"/>
  <c r="E30" i="5"/>
  <c r="AB30" i="5" s="1"/>
  <c r="E31" i="5"/>
  <c r="E20" i="5"/>
  <c r="D103" i="5"/>
  <c r="D91" i="5"/>
  <c r="D79" i="5"/>
  <c r="D67" i="5"/>
  <c r="D55" i="5"/>
  <c r="D43" i="5"/>
  <c r="D31" i="5"/>
  <c r="AI82" i="1" l="1"/>
  <c r="U80" i="1"/>
  <c r="T81" i="1"/>
  <c r="S81" i="1"/>
  <c r="AD81" i="1"/>
  <c r="Z80" i="1"/>
  <c r="Y80" i="1"/>
  <c r="AA79" i="1"/>
  <c r="AH80" i="1"/>
  <c r="X80" i="1"/>
  <c r="V81" i="1"/>
  <c r="W81" i="1"/>
  <c r="AF81" i="1"/>
  <c r="H12" i="5"/>
  <c r="H8" i="5"/>
  <c r="AB31" i="5"/>
  <c r="AB29" i="5"/>
  <c r="AB27" i="5"/>
  <c r="AB25" i="5"/>
  <c r="AB43" i="5"/>
  <c r="AB41" i="5"/>
  <c r="AB39" i="5"/>
  <c r="AB37" i="5"/>
  <c r="AB35" i="5"/>
  <c r="AB33" i="5"/>
  <c r="AB55" i="5"/>
  <c r="AB53" i="5"/>
  <c r="AB51" i="5"/>
  <c r="AB49" i="5"/>
  <c r="AB47" i="5"/>
  <c r="AB45" i="5"/>
  <c r="AB67" i="5"/>
  <c r="AB65" i="5"/>
  <c r="AB63" i="5"/>
  <c r="AB61" i="5"/>
  <c r="AB59" i="5"/>
  <c r="AB57" i="5"/>
  <c r="AB79" i="5"/>
  <c r="AB77" i="5"/>
  <c r="AB75" i="5"/>
  <c r="AB73" i="5"/>
  <c r="AB71" i="5"/>
  <c r="AB69" i="5"/>
  <c r="AB91" i="5"/>
  <c r="AB89" i="5"/>
  <c r="V89" i="5" s="1"/>
  <c r="AB87" i="5"/>
  <c r="AB85" i="5"/>
  <c r="V85" i="5" s="1"/>
  <c r="AB83" i="5"/>
  <c r="AB81" i="5"/>
  <c r="V81" i="5" s="1"/>
  <c r="AB103" i="5"/>
  <c r="AB101" i="5"/>
  <c r="AB14" i="5" s="1"/>
  <c r="AB99" i="5"/>
  <c r="AB97" i="5"/>
  <c r="AB10" i="5" s="1"/>
  <c r="AB95" i="5"/>
  <c r="AB93" i="5"/>
  <c r="AB6" i="5" s="1"/>
  <c r="H6" i="5"/>
  <c r="V91" i="5"/>
  <c r="R91" i="5"/>
  <c r="M91" i="5"/>
  <c r="R89" i="5"/>
  <c r="V87" i="5"/>
  <c r="R87" i="5"/>
  <c r="M87" i="5"/>
  <c r="R85" i="5"/>
  <c r="V83" i="5"/>
  <c r="R83" i="5"/>
  <c r="M83" i="5"/>
  <c r="R81" i="5"/>
  <c r="AB16" i="5"/>
  <c r="AB12" i="5"/>
  <c r="AB8" i="5"/>
  <c r="V80" i="5"/>
  <c r="R80" i="5"/>
  <c r="M80" i="5"/>
  <c r="V90" i="5"/>
  <c r="R90" i="5"/>
  <c r="M90" i="5"/>
  <c r="V88" i="5"/>
  <c r="R88" i="5"/>
  <c r="M88" i="5"/>
  <c r="V86" i="5"/>
  <c r="R86" i="5"/>
  <c r="M86" i="5"/>
  <c r="V84" i="5"/>
  <c r="R84" i="5"/>
  <c r="M84" i="5"/>
  <c r="V82" i="5"/>
  <c r="R82" i="5"/>
  <c r="M82" i="5"/>
  <c r="AB5" i="5"/>
  <c r="AB15" i="5"/>
  <c r="AB13" i="5"/>
  <c r="AB11" i="5"/>
  <c r="AB9" i="5"/>
  <c r="AB7" i="5"/>
  <c r="H5" i="5"/>
  <c r="H15" i="5"/>
  <c r="H13" i="5"/>
  <c r="H11" i="5"/>
  <c r="H9" i="5"/>
  <c r="H7" i="5"/>
  <c r="E16" i="5"/>
  <c r="E14" i="5"/>
  <c r="E12" i="5"/>
  <c r="E10" i="5"/>
  <c r="E8" i="5"/>
  <c r="E6" i="5"/>
  <c r="O9" i="5"/>
  <c r="O7" i="5"/>
  <c r="O5" i="5"/>
  <c r="O15" i="5"/>
  <c r="O13" i="5"/>
  <c r="O11" i="5"/>
  <c r="P16" i="5"/>
  <c r="P14" i="5"/>
  <c r="P12" i="5"/>
  <c r="P10" i="5"/>
  <c r="P8" i="5"/>
  <c r="P6" i="5"/>
  <c r="T9" i="5"/>
  <c r="T7" i="5"/>
  <c r="T5" i="5"/>
  <c r="T15" i="5"/>
  <c r="T13" i="5"/>
  <c r="T11" i="5"/>
  <c r="U5" i="5"/>
  <c r="X10" i="5"/>
  <c r="X8" i="5"/>
  <c r="X6" i="5"/>
  <c r="X16" i="5"/>
  <c r="X14" i="5"/>
  <c r="X12" i="5"/>
  <c r="Y5" i="5"/>
  <c r="Y15" i="5"/>
  <c r="Y13" i="5"/>
  <c r="Y11" i="5"/>
  <c r="Y9" i="5"/>
  <c r="Y7" i="5"/>
  <c r="E5" i="5"/>
  <c r="E15" i="5"/>
  <c r="E13" i="5"/>
  <c r="E11" i="5"/>
  <c r="E9" i="5"/>
  <c r="E7" i="5"/>
  <c r="O10" i="5"/>
  <c r="O8" i="5"/>
  <c r="O6" i="5"/>
  <c r="O16" i="5"/>
  <c r="O14" i="5"/>
  <c r="O12" i="5"/>
  <c r="P5" i="5"/>
  <c r="P15" i="5"/>
  <c r="P13" i="5"/>
  <c r="P11" i="5"/>
  <c r="P9" i="5"/>
  <c r="P7" i="5"/>
  <c r="T10" i="5"/>
  <c r="T8" i="5"/>
  <c r="T6" i="5"/>
  <c r="T16" i="5"/>
  <c r="T14" i="5"/>
  <c r="T12" i="5"/>
  <c r="X9" i="5"/>
  <c r="X7" i="5"/>
  <c r="X5" i="5"/>
  <c r="X15" i="5"/>
  <c r="X13" i="5"/>
  <c r="X11" i="5"/>
  <c r="Y16" i="5"/>
  <c r="Y14" i="5"/>
  <c r="Y12" i="5"/>
  <c r="Y10" i="5"/>
  <c r="Y8" i="5"/>
  <c r="Y6" i="5"/>
  <c r="U10" i="5"/>
  <c r="U8" i="5"/>
  <c r="U6" i="5"/>
  <c r="E17" i="5"/>
  <c r="P17" i="5"/>
  <c r="U16" i="5"/>
  <c r="H17" i="5"/>
  <c r="AI81" i="1" l="1"/>
  <c r="W80" i="1"/>
  <c r="V80" i="1"/>
  <c r="X79" i="1"/>
  <c r="AF80" i="1"/>
  <c r="Z79" i="1"/>
  <c r="AH79" i="1"/>
  <c r="AA78" i="1"/>
  <c r="Y79" i="1"/>
  <c r="U79" i="1"/>
  <c r="T80" i="1"/>
  <c r="AD80" i="1"/>
  <c r="S80" i="1"/>
  <c r="O17" i="5"/>
  <c r="M81" i="5"/>
  <c r="M85" i="5"/>
  <c r="J85" i="5" s="1"/>
  <c r="M89" i="5"/>
  <c r="X17" i="5"/>
  <c r="T17" i="5"/>
  <c r="J12" i="5"/>
  <c r="J16" i="5"/>
  <c r="J8" i="5"/>
  <c r="J13" i="5"/>
  <c r="J5" i="5"/>
  <c r="J9" i="5"/>
  <c r="J14" i="5"/>
  <c r="J6" i="5"/>
  <c r="J10" i="5"/>
  <c r="J11" i="5"/>
  <c r="J15" i="5"/>
  <c r="J7" i="5"/>
  <c r="J82" i="5"/>
  <c r="J86" i="5"/>
  <c r="J90" i="5"/>
  <c r="J81" i="5"/>
  <c r="J89" i="5"/>
  <c r="AB17" i="5"/>
  <c r="J84" i="5"/>
  <c r="J88" i="5"/>
  <c r="J80" i="5"/>
  <c r="J83" i="5"/>
  <c r="J87" i="5"/>
  <c r="J91" i="5"/>
  <c r="Y17" i="5"/>
  <c r="U17" i="5"/>
  <c r="AI80" i="1" l="1"/>
  <c r="U78" i="1"/>
  <c r="S79" i="1"/>
  <c r="T79" i="1"/>
  <c r="AD79" i="1"/>
  <c r="AA77" i="1"/>
  <c r="AH78" i="1"/>
  <c r="Z78" i="1"/>
  <c r="Y78" i="1"/>
  <c r="W79" i="1"/>
  <c r="AF79" i="1"/>
  <c r="X78" i="1"/>
  <c r="V79" i="1"/>
  <c r="J17" i="5"/>
  <c r="AI79" i="1" l="1"/>
  <c r="X77" i="1"/>
  <c r="AF78" i="1"/>
  <c r="W78" i="1"/>
  <c r="V78" i="1"/>
  <c r="AA76" i="1"/>
  <c r="Y77" i="1"/>
  <c r="Z77" i="1"/>
  <c r="AH77" i="1"/>
  <c r="U77" i="1"/>
  <c r="S78" i="1"/>
  <c r="T78" i="1"/>
  <c r="AD78" i="1"/>
  <c r="AI78" i="1" s="1"/>
  <c r="U76" i="1" l="1"/>
  <c r="T77" i="1"/>
  <c r="S77" i="1"/>
  <c r="AD77" i="1"/>
  <c r="Z76" i="1"/>
  <c r="Y76" i="1"/>
  <c r="AH76" i="1"/>
  <c r="AA75" i="1"/>
  <c r="X76" i="1"/>
  <c r="V77" i="1"/>
  <c r="W77" i="1"/>
  <c r="AF77" i="1"/>
  <c r="AI77" i="1" l="1"/>
  <c r="AA74" i="1"/>
  <c r="Y75" i="1"/>
  <c r="Z75" i="1"/>
  <c r="AH75" i="1"/>
  <c r="W76" i="1"/>
  <c r="V76" i="1"/>
  <c r="AF76" i="1"/>
  <c r="X75" i="1"/>
  <c r="U75" i="1"/>
  <c r="S76" i="1"/>
  <c r="T76" i="1"/>
  <c r="AD76" i="1"/>
  <c r="AI76" i="1" s="1"/>
  <c r="X74" i="1" l="1"/>
  <c r="V75" i="1"/>
  <c r="W75" i="1"/>
  <c r="AF75" i="1"/>
  <c r="S75" i="1"/>
  <c r="U74" i="1"/>
  <c r="T75" i="1"/>
  <c r="AD75" i="1"/>
  <c r="AI75" i="1" s="1"/>
  <c r="AA73" i="1"/>
  <c r="AH74" i="1"/>
  <c r="Y74" i="1"/>
  <c r="Z74" i="1"/>
  <c r="U73" i="1" l="1"/>
  <c r="S74" i="1"/>
  <c r="T74" i="1"/>
  <c r="AD74" i="1"/>
  <c r="Z73" i="1"/>
  <c r="AH73" i="1"/>
  <c r="Y73" i="1"/>
  <c r="AA72" i="1"/>
  <c r="X73" i="1"/>
  <c r="AF74" i="1"/>
  <c r="W74" i="1"/>
  <c r="V74" i="1"/>
  <c r="AI74" i="1" l="1"/>
  <c r="AA71" i="1"/>
  <c r="AH72" i="1"/>
  <c r="Z72" i="1"/>
  <c r="Y72" i="1"/>
  <c r="W73" i="1"/>
  <c r="AF73" i="1"/>
  <c r="X72" i="1"/>
  <c r="V73" i="1"/>
  <c r="S73" i="1"/>
  <c r="U72" i="1"/>
  <c r="T73" i="1"/>
  <c r="AD73" i="1"/>
  <c r="AI73" i="1" s="1"/>
  <c r="X71" i="1" l="1"/>
  <c r="AF72" i="1"/>
  <c r="W72" i="1"/>
  <c r="V72" i="1"/>
  <c r="U71" i="1"/>
  <c r="T72" i="1"/>
  <c r="S72" i="1"/>
  <c r="AD72" i="1"/>
  <c r="AI72" i="1" s="1"/>
  <c r="Z71" i="1"/>
  <c r="AH71" i="1"/>
  <c r="AA70" i="1"/>
  <c r="Y71" i="1"/>
  <c r="AA69" i="1" l="1"/>
  <c r="AH70" i="1"/>
  <c r="Z70" i="1"/>
  <c r="Y70" i="1"/>
  <c r="U70" i="1"/>
  <c r="T71" i="1"/>
  <c r="S71" i="1"/>
  <c r="AD71" i="1"/>
  <c r="W71" i="1"/>
  <c r="AF71" i="1"/>
  <c r="X70" i="1"/>
  <c r="V71" i="1"/>
  <c r="AI71" i="1" l="1"/>
  <c r="X69" i="1"/>
  <c r="AF70" i="1"/>
  <c r="W70" i="1"/>
  <c r="V70" i="1"/>
  <c r="U69" i="1"/>
  <c r="S70" i="1"/>
  <c r="T70" i="1"/>
  <c r="AD70" i="1"/>
  <c r="AI70" i="1" s="1"/>
  <c r="Z69" i="1"/>
  <c r="AH69" i="1"/>
  <c r="AA68" i="1"/>
  <c r="Y69" i="1"/>
  <c r="Z68" i="1" l="1"/>
  <c r="Y68" i="1"/>
  <c r="AH68" i="1"/>
  <c r="AA67" i="1"/>
  <c r="S69" i="1"/>
  <c r="U68" i="1"/>
  <c r="T69" i="1"/>
  <c r="AD69" i="1"/>
  <c r="W69" i="1"/>
  <c r="AF69" i="1"/>
  <c r="X68" i="1"/>
  <c r="V69" i="1"/>
  <c r="AI69" i="1" l="1"/>
  <c r="U67" i="1"/>
  <c r="S68" i="1"/>
  <c r="T68" i="1"/>
  <c r="AD68" i="1"/>
  <c r="Z67" i="1"/>
  <c r="AH67" i="1"/>
  <c r="AA66" i="1"/>
  <c r="Y67" i="1"/>
  <c r="W68" i="1"/>
  <c r="V68" i="1"/>
  <c r="X67" i="1"/>
  <c r="AF68" i="1"/>
  <c r="AI68" i="1" l="1"/>
  <c r="W67" i="1"/>
  <c r="AF67" i="1"/>
  <c r="X66" i="1"/>
  <c r="V67" i="1"/>
  <c r="AA65" i="1"/>
  <c r="AH66" i="1"/>
  <c r="Z66" i="1"/>
  <c r="Y66" i="1"/>
  <c r="AD67" i="1"/>
  <c r="AI67" i="1" s="1"/>
  <c r="U66" i="1"/>
  <c r="S67" i="1"/>
  <c r="T67" i="1"/>
  <c r="AA64" i="1" l="1"/>
  <c r="Y65" i="1"/>
  <c r="Z65" i="1"/>
  <c r="AH65" i="1"/>
  <c r="X65" i="1"/>
  <c r="AF66" i="1"/>
  <c r="W66" i="1"/>
  <c r="V66" i="1"/>
  <c r="S66" i="1"/>
  <c r="T66" i="1"/>
  <c r="U65" i="1"/>
  <c r="AD66" i="1"/>
  <c r="AI66" i="1" s="1"/>
  <c r="U64" i="1" l="1"/>
  <c r="T65" i="1"/>
  <c r="S65" i="1"/>
  <c r="AD65" i="1"/>
  <c r="X64" i="1"/>
  <c r="V65" i="1"/>
  <c r="W65" i="1"/>
  <c r="AF65" i="1"/>
  <c r="AA63" i="1"/>
  <c r="AH64" i="1"/>
  <c r="Z64" i="1"/>
  <c r="Y64" i="1"/>
  <c r="AI65" i="1" l="1"/>
  <c r="Z63" i="1"/>
  <c r="AH63" i="1"/>
  <c r="Y63" i="1"/>
  <c r="AA62" i="1"/>
  <c r="X63" i="1"/>
  <c r="AF64" i="1"/>
  <c r="W64" i="1"/>
  <c r="V64" i="1"/>
  <c r="S64" i="1"/>
  <c r="T64" i="1"/>
  <c r="U63" i="1"/>
  <c r="AD64" i="1"/>
  <c r="AI64" i="1" s="1"/>
  <c r="AA61" i="1" l="1"/>
  <c r="AH62" i="1"/>
  <c r="Z62" i="1"/>
  <c r="Y62" i="1"/>
  <c r="S63" i="1"/>
  <c r="AD63" i="1"/>
  <c r="U62" i="1"/>
  <c r="T63" i="1"/>
  <c r="W63" i="1"/>
  <c r="AF63" i="1"/>
  <c r="V63" i="1"/>
  <c r="X62" i="1"/>
  <c r="AI63" i="1" l="1"/>
  <c r="X61" i="1"/>
  <c r="AF62" i="1"/>
  <c r="W62" i="1"/>
  <c r="V62" i="1"/>
  <c r="U61" i="1"/>
  <c r="AD62" i="1"/>
  <c r="AI62" i="1" s="1"/>
  <c r="S62" i="1"/>
  <c r="T62" i="1"/>
  <c r="Z61" i="1"/>
  <c r="AH61" i="1"/>
  <c r="AA60" i="1"/>
  <c r="Y61" i="1"/>
  <c r="Z60" i="1" l="1"/>
  <c r="Y60" i="1"/>
  <c r="AH60" i="1"/>
  <c r="AA59" i="1"/>
  <c r="U60" i="1"/>
  <c r="T61" i="1"/>
  <c r="S61" i="1"/>
  <c r="AD61" i="1"/>
  <c r="W61" i="1"/>
  <c r="AF61" i="1"/>
  <c r="X60" i="1"/>
  <c r="V61" i="1"/>
  <c r="AI61" i="1" l="1"/>
  <c r="Z59" i="1"/>
  <c r="AH59" i="1"/>
  <c r="Y59" i="1"/>
  <c r="AA58" i="1"/>
  <c r="W60" i="1"/>
  <c r="V60" i="1"/>
  <c r="AF60" i="1"/>
  <c r="X59" i="1"/>
  <c r="S60" i="1"/>
  <c r="T60" i="1"/>
  <c r="AD60" i="1"/>
  <c r="AI60" i="1" s="1"/>
  <c r="U59" i="1"/>
  <c r="U58" i="1" l="1"/>
  <c r="T59" i="1"/>
  <c r="S59" i="1"/>
  <c r="AD59" i="1"/>
  <c r="W59" i="1"/>
  <c r="AF59" i="1"/>
  <c r="X58" i="1"/>
  <c r="V59" i="1"/>
  <c r="Z58" i="1"/>
  <c r="Y58" i="1"/>
  <c r="AA57" i="1"/>
  <c r="AH58" i="1"/>
  <c r="AI59" i="1" l="1"/>
  <c r="Z57" i="1"/>
  <c r="AH57" i="1"/>
  <c r="AA56" i="1"/>
  <c r="Y57" i="1"/>
  <c r="W58" i="1"/>
  <c r="V58" i="1"/>
  <c r="X57" i="1"/>
  <c r="AF58" i="1"/>
  <c r="U57" i="1"/>
  <c r="AD58" i="1"/>
  <c r="AI58" i="1" s="1"/>
  <c r="S58" i="1"/>
  <c r="T58" i="1"/>
  <c r="S57" i="1" l="1"/>
  <c r="AD57" i="1"/>
  <c r="U56" i="1"/>
  <c r="T57" i="1"/>
  <c r="W57" i="1"/>
  <c r="AF57" i="1"/>
  <c r="X56" i="1"/>
  <c r="V57" i="1"/>
  <c r="Z56" i="1"/>
  <c r="Y56" i="1"/>
  <c r="AA55" i="1"/>
  <c r="AH56" i="1"/>
  <c r="AI57" i="1" l="1"/>
  <c r="Z55" i="1"/>
  <c r="AH55" i="1"/>
  <c r="AA54" i="1"/>
  <c r="Y55" i="1"/>
  <c r="W56" i="1"/>
  <c r="V56" i="1"/>
  <c r="X55" i="1"/>
  <c r="AF56" i="1"/>
  <c r="U55" i="1"/>
  <c r="AD56" i="1"/>
  <c r="AI56" i="1" s="1"/>
  <c r="S56" i="1"/>
  <c r="T56" i="1"/>
  <c r="S55" i="1" l="1"/>
  <c r="AD55" i="1"/>
  <c r="U54" i="1"/>
  <c r="T55" i="1"/>
  <c r="W55" i="1"/>
  <c r="AF55" i="1"/>
  <c r="V55" i="1"/>
  <c r="X54" i="1"/>
  <c r="Z54" i="1"/>
  <c r="Y54" i="1"/>
  <c r="AH54" i="1"/>
  <c r="AA53" i="1"/>
  <c r="AI55" i="1" l="1"/>
  <c r="Z53" i="1"/>
  <c r="AH53" i="1"/>
  <c r="AA52" i="1"/>
  <c r="Y53" i="1"/>
  <c r="W54" i="1"/>
  <c r="V54" i="1"/>
  <c r="X53" i="1"/>
  <c r="AF54" i="1"/>
  <c r="U53" i="1"/>
  <c r="AD54" i="1"/>
  <c r="AI54" i="1" s="1"/>
  <c r="S54" i="1"/>
  <c r="T54" i="1"/>
  <c r="AD53" i="1" l="1"/>
  <c r="AI53" i="1" s="1"/>
  <c r="U52" i="1"/>
  <c r="T53" i="1"/>
  <c r="S53" i="1"/>
  <c r="W53" i="1"/>
  <c r="AF53" i="1"/>
  <c r="X52" i="1"/>
  <c r="V53" i="1"/>
  <c r="Z52" i="1"/>
  <c r="Y52" i="1"/>
  <c r="AA51" i="1"/>
  <c r="AH52" i="1"/>
  <c r="S52" i="1" l="1"/>
  <c r="T52" i="1"/>
  <c r="U51" i="1"/>
  <c r="AD52" i="1"/>
  <c r="Z51" i="1"/>
  <c r="AH51" i="1"/>
  <c r="Y51" i="1"/>
  <c r="AA50" i="1"/>
  <c r="W52" i="1"/>
  <c r="V52" i="1"/>
  <c r="X51" i="1"/>
  <c r="AF52" i="1"/>
  <c r="AI52" i="1" l="1"/>
  <c r="Z50" i="1"/>
  <c r="Y50" i="1"/>
  <c r="AA49" i="1"/>
  <c r="AH50" i="1"/>
  <c r="W51" i="1"/>
  <c r="AF51" i="1"/>
  <c r="X50" i="1"/>
  <c r="V51" i="1"/>
  <c r="S51" i="1"/>
  <c r="AD51" i="1"/>
  <c r="AI51" i="1" s="1"/>
  <c r="U50" i="1"/>
  <c r="T51" i="1"/>
  <c r="U49" i="1" l="1"/>
  <c r="AD50" i="1"/>
  <c r="S50" i="1"/>
  <c r="T50" i="1"/>
  <c r="W50" i="1"/>
  <c r="V50" i="1"/>
  <c r="X49" i="1"/>
  <c r="AF50" i="1"/>
  <c r="Z49" i="1"/>
  <c r="AH49" i="1"/>
  <c r="AA48" i="1"/>
  <c r="Y49" i="1"/>
  <c r="AI50" i="1" l="1"/>
  <c r="AA47" i="1"/>
  <c r="AH48" i="1"/>
  <c r="Z48" i="1"/>
  <c r="Y48" i="1"/>
  <c r="W49" i="1"/>
  <c r="AF49" i="1"/>
  <c r="X48" i="1"/>
  <c r="V49" i="1"/>
  <c r="U48" i="1"/>
  <c r="T49" i="1"/>
  <c r="AD49" i="1"/>
  <c r="S49" i="1"/>
  <c r="AI49" i="1" l="1"/>
  <c r="U47" i="1"/>
  <c r="AD48" i="1"/>
  <c r="T48" i="1"/>
  <c r="S48" i="1"/>
  <c r="X47" i="1"/>
  <c r="AF48" i="1"/>
  <c r="W48" i="1"/>
  <c r="V48" i="1"/>
  <c r="AA46" i="1"/>
  <c r="Y47" i="1"/>
  <c r="Z47" i="1"/>
  <c r="AH47" i="1"/>
  <c r="AI48" i="1" l="1"/>
  <c r="Z46" i="1"/>
  <c r="Y46" i="1"/>
  <c r="AH46" i="1"/>
  <c r="AA45" i="1"/>
  <c r="X46" i="1"/>
  <c r="V47" i="1"/>
  <c r="W47" i="1"/>
  <c r="AF47" i="1"/>
  <c r="S47" i="1"/>
  <c r="AD47" i="1"/>
  <c r="AI47" i="1" s="1"/>
  <c r="T47" i="1"/>
  <c r="U46" i="1"/>
  <c r="W46" i="1" l="1"/>
  <c r="V46" i="1"/>
  <c r="AF46" i="1"/>
  <c r="X45" i="1"/>
  <c r="U45" i="1"/>
  <c r="S46" i="1"/>
  <c r="T46" i="1"/>
  <c r="AD46" i="1"/>
  <c r="AA44" i="1"/>
  <c r="Y45" i="1"/>
  <c r="Z45" i="1"/>
  <c r="AH45" i="1"/>
  <c r="AI46" i="1" l="1"/>
  <c r="X44" i="1"/>
  <c r="V45" i="1"/>
  <c r="AF45" i="1"/>
  <c r="W45" i="1"/>
  <c r="AA43" i="1"/>
  <c r="Y44" i="1"/>
  <c r="Z44" i="1"/>
  <c r="AH44" i="1"/>
  <c r="S45" i="1"/>
  <c r="AD45" i="1"/>
  <c r="AI45" i="1" s="1"/>
  <c r="U44" i="1"/>
  <c r="T45" i="1"/>
  <c r="S44" i="1" l="1"/>
  <c r="T44" i="1"/>
  <c r="AD44" i="1"/>
  <c r="U43" i="1"/>
  <c r="Z43" i="1"/>
  <c r="AH43" i="1"/>
  <c r="AA42" i="1"/>
  <c r="Y43" i="1"/>
  <c r="AF44" i="1"/>
  <c r="W44" i="1"/>
  <c r="V44" i="1"/>
  <c r="X43" i="1"/>
  <c r="AI44" i="1" l="1"/>
  <c r="S43" i="1"/>
  <c r="AD43" i="1"/>
  <c r="U42" i="1"/>
  <c r="T43" i="1"/>
  <c r="W43" i="1"/>
  <c r="AF43" i="1"/>
  <c r="X42" i="1"/>
  <c r="V43" i="1"/>
  <c r="Z42" i="1"/>
  <c r="Y42" i="1"/>
  <c r="AA41" i="1"/>
  <c r="AH42" i="1"/>
  <c r="AI43" i="1" l="1"/>
  <c r="AA40" i="1"/>
  <c r="Y41" i="1"/>
  <c r="Z41" i="1"/>
  <c r="AH41" i="1"/>
  <c r="W42" i="1"/>
  <c r="V42" i="1"/>
  <c r="X41" i="1"/>
  <c r="AF42" i="1"/>
  <c r="S42" i="1"/>
  <c r="T42" i="1"/>
  <c r="U41" i="1"/>
  <c r="AD42" i="1"/>
  <c r="AI42" i="1" s="1"/>
  <c r="S41" i="1" l="1"/>
  <c r="AD41" i="1"/>
  <c r="AI41" i="1" s="1"/>
  <c r="U40" i="1"/>
  <c r="T41" i="1"/>
  <c r="X40" i="1"/>
  <c r="V41" i="1"/>
  <c r="AF41" i="1"/>
  <c r="W41" i="1"/>
  <c r="AA39" i="1"/>
  <c r="Y40" i="1"/>
  <c r="Z40" i="1"/>
  <c r="AH40" i="1"/>
  <c r="Z39" i="1" l="1"/>
  <c r="AH39" i="1"/>
  <c r="AA38" i="1"/>
  <c r="Y39" i="1"/>
  <c r="X39" i="1"/>
  <c r="AF40" i="1"/>
  <c r="W40" i="1"/>
  <c r="V40" i="1"/>
  <c r="S40" i="1"/>
  <c r="T40" i="1"/>
  <c r="U39" i="1"/>
  <c r="AD40" i="1"/>
  <c r="AI40" i="1" s="1"/>
  <c r="S39" i="1" l="1"/>
  <c r="AD39" i="1"/>
  <c r="T39" i="1"/>
  <c r="U38" i="1"/>
  <c r="W39" i="1"/>
  <c r="AF39" i="1"/>
  <c r="V39" i="1"/>
  <c r="X38" i="1"/>
  <c r="Y38" i="1"/>
  <c r="AH38" i="1"/>
  <c r="AA37" i="1"/>
  <c r="Z38" i="1"/>
  <c r="AI39" i="1" l="1"/>
  <c r="W38" i="1"/>
  <c r="AF38" i="1"/>
  <c r="X37" i="1"/>
  <c r="V38" i="1"/>
  <c r="S38" i="1"/>
  <c r="T38" i="1"/>
  <c r="U37" i="1"/>
  <c r="AD38" i="1"/>
  <c r="AI38" i="1" s="1"/>
  <c r="Y37" i="1"/>
  <c r="AH37" i="1"/>
  <c r="AA36" i="1"/>
  <c r="Z37" i="1"/>
  <c r="AH36" i="1" l="1"/>
  <c r="Z36" i="1"/>
  <c r="Y36" i="1"/>
  <c r="S37" i="1"/>
  <c r="AD37" i="1"/>
  <c r="U36" i="1"/>
  <c r="T37" i="1"/>
  <c r="W37" i="1"/>
  <c r="AF37" i="1"/>
  <c r="X36" i="1"/>
  <c r="V37" i="1"/>
  <c r="AI37" i="1" l="1"/>
  <c r="W36" i="1"/>
  <c r="AF36" i="1"/>
  <c r="V36" i="1"/>
  <c r="S36" i="1"/>
  <c r="AD36" i="1"/>
  <c r="T36" i="1"/>
  <c r="AI36" i="1" l="1"/>
  <c r="K58" i="1" l="1"/>
  <c r="K55" i="1"/>
</calcChain>
</file>

<file path=xl/sharedStrings.xml><?xml version="1.0" encoding="utf-8"?>
<sst xmlns="http://schemas.openxmlformats.org/spreadsheetml/2006/main" count="1903" uniqueCount="732">
  <si>
    <t>合計</t>
  </si>
  <si>
    <t>ぱいじん(飛灰)</t>
  </si>
  <si>
    <t>Cs134</t>
  </si>
  <si>
    <t>Cs137</t>
  </si>
  <si>
    <t>焼却灰(主灰)※</t>
    <phoneticPr fontId="5"/>
  </si>
  <si>
    <t>年度</t>
    <rPh sb="0" eb="2">
      <t>ネンド</t>
    </rPh>
    <phoneticPr fontId="7"/>
  </si>
  <si>
    <t>年度
(H17以降)</t>
    <rPh sb="0" eb="2">
      <t>ネンド</t>
    </rPh>
    <phoneticPr fontId="5"/>
  </si>
  <si>
    <t>市町村コード</t>
    <rPh sb="0" eb="3">
      <t>シチョウソン</t>
    </rPh>
    <phoneticPr fontId="5"/>
  </si>
  <si>
    <t>市町村</t>
    <rPh sb="0" eb="3">
      <t>シチョウソン</t>
    </rPh>
    <phoneticPr fontId="5"/>
  </si>
  <si>
    <t>総人口
A</t>
    <rPh sb="0" eb="3">
      <t>ソウジンコウ</t>
    </rPh>
    <phoneticPr fontId="5"/>
  </si>
  <si>
    <t>計画収集人口
Ｂ</t>
    <rPh sb="0" eb="2">
      <t>ケイカク</t>
    </rPh>
    <rPh sb="2" eb="4">
      <t>シュウシュウ</t>
    </rPh>
    <rPh sb="4" eb="6">
      <t>ジンコウ</t>
    </rPh>
    <phoneticPr fontId="5"/>
  </si>
  <si>
    <t>計画収集量  D</t>
    <rPh sb="0" eb="2">
      <t>ケイカク</t>
    </rPh>
    <rPh sb="2" eb="4">
      <t>シュウシュウ</t>
    </rPh>
    <rPh sb="4" eb="5">
      <t>リョウ</t>
    </rPh>
    <phoneticPr fontId="5"/>
  </si>
  <si>
    <t>直接最終処分量 G</t>
    <phoneticPr fontId="5"/>
  </si>
  <si>
    <t>焼却以外の中間処理量 H</t>
    <rPh sb="0" eb="2">
      <t>ショウキャク</t>
    </rPh>
    <rPh sb="2" eb="4">
      <t>イガイ</t>
    </rPh>
    <rPh sb="5" eb="7">
      <t>チュウカン</t>
    </rPh>
    <rPh sb="7" eb="9">
      <t>ショリ</t>
    </rPh>
    <rPh sb="9" eb="10">
      <t>リョウ</t>
    </rPh>
    <phoneticPr fontId="5"/>
  </si>
  <si>
    <t>直接資源化量  I</t>
    <rPh sb="0" eb="2">
      <t>チョクセツ</t>
    </rPh>
    <rPh sb="2" eb="4">
      <t>シゲン</t>
    </rPh>
    <rPh sb="4" eb="5">
      <t>カ</t>
    </rPh>
    <rPh sb="5" eb="6">
      <t>リョウ</t>
    </rPh>
    <phoneticPr fontId="5"/>
  </si>
  <si>
    <t>ごみ処理量 X=F+G+H+I</t>
    <rPh sb="2" eb="4">
      <t>ショリ</t>
    </rPh>
    <rPh sb="4" eb="5">
      <t>リョウ</t>
    </rPh>
    <phoneticPr fontId="5"/>
  </si>
  <si>
    <t>減量処理率 N=(F+H+I)/X</t>
    <rPh sb="0" eb="2">
      <t>ショリ</t>
    </rPh>
    <rPh sb="2" eb="3">
      <t>リツ</t>
    </rPh>
    <phoneticPr fontId="5"/>
  </si>
  <si>
    <t>リサイクル率 R=(I+J+E)/(X+E)</t>
    <rPh sb="3" eb="4">
      <t>リツ</t>
    </rPh>
    <phoneticPr fontId="5"/>
  </si>
  <si>
    <t>焼却残渣量 K</t>
    <rPh sb="0" eb="2">
      <t>ショウキャク</t>
    </rPh>
    <rPh sb="2" eb="4">
      <t>ザンサ</t>
    </rPh>
    <rPh sb="4" eb="5">
      <t>リョウ</t>
    </rPh>
    <phoneticPr fontId="5"/>
  </si>
  <si>
    <t>処理残渣量 L</t>
    <rPh sb="0" eb="2">
      <t>ショリ</t>
    </rPh>
    <rPh sb="2" eb="4">
      <t>ザンサ</t>
    </rPh>
    <rPh sb="4" eb="5">
      <t>リョウ</t>
    </rPh>
    <phoneticPr fontId="5"/>
  </si>
  <si>
    <t>最終処分量 M=G+K+L</t>
    <rPh sb="0" eb="2">
      <t>サイシュウ</t>
    </rPh>
    <rPh sb="2" eb="4">
      <t>ショブン</t>
    </rPh>
    <rPh sb="4" eb="5">
      <t>リョウ</t>
    </rPh>
    <phoneticPr fontId="5"/>
  </si>
  <si>
    <t>備考</t>
    <rPh sb="0" eb="2">
      <t>ビコウ</t>
    </rPh>
    <phoneticPr fontId="5"/>
  </si>
  <si>
    <t>平成10年度</t>
  </si>
  <si>
    <t>平成11年度</t>
  </si>
  <si>
    <t>平成12年度</t>
  </si>
  <si>
    <t>平成13年度</t>
  </si>
  <si>
    <t>平成14年度</t>
  </si>
  <si>
    <t>平成15年度</t>
  </si>
  <si>
    <t>平成16年度</t>
  </si>
  <si>
    <t>平成17年度</t>
  </si>
  <si>
    <t>平成18年度</t>
  </si>
  <si>
    <t>平成19年度</t>
  </si>
  <si>
    <t>平成20年度</t>
  </si>
  <si>
    <t>平成21年度</t>
  </si>
  <si>
    <t>平成22年度</t>
  </si>
  <si>
    <t>平成23年度</t>
  </si>
  <si>
    <t>平成26年度</t>
  </si>
  <si>
    <t>平成27年度</t>
  </si>
  <si>
    <t>平成28年度</t>
  </si>
  <si>
    <t>ごみ総排出量  C=D+直接搬入量+E</t>
    <rPh sb="2" eb="3">
      <t>ソウ</t>
    </rPh>
    <rPh sb="3" eb="5">
      <t>ハイシュツ</t>
    </rPh>
    <rPh sb="5" eb="6">
      <t>リョウ</t>
    </rPh>
    <rPh sb="12" eb="14">
      <t>チョクセツ</t>
    </rPh>
    <rPh sb="14" eb="16">
      <t>ハンニュウ</t>
    </rPh>
    <rPh sb="16" eb="17">
      <t>リョウ</t>
    </rPh>
    <phoneticPr fontId="5"/>
  </si>
  <si>
    <t>230(115tx2炉〉</t>
  </si>
  <si>
    <t>宮城東部</t>
    <rPh sb="0" eb="2">
      <t>ミヤギ</t>
    </rPh>
    <rPh sb="2" eb="4">
      <t>トウブ</t>
    </rPh>
    <phoneticPr fontId="5"/>
  </si>
  <si>
    <t>180(90tx2炉〉</t>
  </si>
  <si>
    <t>今泉</t>
    <rPh sb="0" eb="2">
      <t>イマイズミ</t>
    </rPh>
    <phoneticPr fontId="5"/>
  </si>
  <si>
    <t>葛岡</t>
    <rPh sb="0" eb="2">
      <t>クズオカ</t>
    </rPh>
    <phoneticPr fontId="5"/>
  </si>
  <si>
    <t>松森</t>
    <rPh sb="0" eb="2">
      <t>マツモリ</t>
    </rPh>
    <phoneticPr fontId="5"/>
  </si>
  <si>
    <t>600(200tx3炉)</t>
  </si>
  <si>
    <t>600(300tx2炉〉</t>
  </si>
  <si>
    <t>600(200tx3炉〉</t>
  </si>
  <si>
    <t>石巻広域クリセ</t>
    <rPh sb="0" eb="2">
      <t>イシノマキ</t>
    </rPh>
    <rPh sb="2" eb="4">
      <t>コウイキ</t>
    </rPh>
    <phoneticPr fontId="10"/>
  </si>
  <si>
    <t>年間</t>
    <rPh sb="0" eb="2">
      <t>ネンカン</t>
    </rPh>
    <phoneticPr fontId="5"/>
  </si>
  <si>
    <t>割合</t>
    <rPh sb="0" eb="2">
      <t>ワリアイ</t>
    </rPh>
    <phoneticPr fontId="5"/>
  </si>
  <si>
    <t>4月</t>
    <rPh sb="1" eb="2">
      <t>ガツ</t>
    </rPh>
    <phoneticPr fontId="5"/>
  </si>
  <si>
    <t>5月</t>
  </si>
  <si>
    <t>6月</t>
  </si>
  <si>
    <t>7月</t>
  </si>
  <si>
    <t>8月</t>
  </si>
  <si>
    <t>9月</t>
  </si>
  <si>
    <t>10月</t>
  </si>
  <si>
    <t>11月</t>
  </si>
  <si>
    <t>12月</t>
  </si>
  <si>
    <t>1月</t>
  </si>
  <si>
    <t>2月</t>
  </si>
  <si>
    <t>3月</t>
  </si>
  <si>
    <t>計</t>
    <rPh sb="0" eb="1">
      <t>ケイ</t>
    </rPh>
    <phoneticPr fontId="5"/>
  </si>
  <si>
    <t>年間焼却量を月別に割り当てる係数</t>
    <rPh sb="0" eb="2">
      <t>ネンカン</t>
    </rPh>
    <rPh sb="2" eb="5">
      <t>ショウキャクリョウ</t>
    </rPh>
    <rPh sb="6" eb="8">
      <t>ツキベツ</t>
    </rPh>
    <rPh sb="9" eb="10">
      <t>ワ</t>
    </rPh>
    <rPh sb="11" eb="12">
      <t>ア</t>
    </rPh>
    <rPh sb="14" eb="16">
      <t>ケイスウ</t>
    </rPh>
    <phoneticPr fontId="5"/>
  </si>
  <si>
    <t>年間計</t>
    <rPh sb="0" eb="2">
      <t>ネンカン</t>
    </rPh>
    <rPh sb="2" eb="3">
      <t>ケイ</t>
    </rPh>
    <phoneticPr fontId="5"/>
  </si>
  <si>
    <t>一般廃棄物処理事業実態調査(環境省)</t>
    <rPh sb="0" eb="2">
      <t>イッパン</t>
    </rPh>
    <rPh sb="2" eb="5">
      <t>ハイキブツ</t>
    </rPh>
    <rPh sb="5" eb="7">
      <t>ショリ</t>
    </rPh>
    <rPh sb="7" eb="9">
      <t>ジギョウ</t>
    </rPh>
    <rPh sb="9" eb="11">
      <t>ジッタイ</t>
    </rPh>
    <rPh sb="11" eb="13">
      <t>チョウサ</t>
    </rPh>
    <rPh sb="14" eb="17">
      <t>カンキョウショウ</t>
    </rPh>
    <phoneticPr fontId="5"/>
  </si>
  <si>
    <t>焼却残さ量</t>
    <rPh sb="4" eb="5">
      <t>リョウ</t>
    </rPh>
    <phoneticPr fontId="2"/>
  </si>
  <si>
    <t>：淡緑色セルは計算式含む</t>
    <rPh sb="1" eb="2">
      <t>タン</t>
    </rPh>
    <rPh sb="7" eb="10">
      <t>ケイサンシキ</t>
    </rPh>
    <rPh sb="10" eb="11">
      <t>フク</t>
    </rPh>
    <phoneticPr fontId="10"/>
  </si>
  <si>
    <t>年月日</t>
    <rPh sb="0" eb="3">
      <t>ネンガッピ</t>
    </rPh>
    <phoneticPr fontId="2"/>
  </si>
  <si>
    <t>←半減期(年)</t>
    <rPh sb="1" eb="4">
      <t>ハンゲンキ</t>
    </rPh>
    <rPh sb="5" eb="6">
      <t>ネン</t>
    </rPh>
    <phoneticPr fontId="10"/>
  </si>
  <si>
    <t>I-131当日1から減衰</t>
    <rPh sb="5" eb="7">
      <t>トウジツ</t>
    </rPh>
    <rPh sb="10" eb="12">
      <t>ゲンスイ</t>
    </rPh>
    <phoneticPr fontId="2"/>
  </si>
  <si>
    <t xml:space="preserve">両Cs当日各1から減衰  </t>
    <rPh sb="0" eb="1">
      <t>リョウ</t>
    </rPh>
    <rPh sb="3" eb="5">
      <t>トウジツ</t>
    </rPh>
    <rPh sb="5" eb="6">
      <t>カク</t>
    </rPh>
    <rPh sb="9" eb="11">
      <t>ゲンスイ</t>
    </rPh>
    <phoneticPr fontId="2"/>
  </si>
  <si>
    <t>両Cs 1万から理論減衰</t>
    <rPh sb="0" eb="1">
      <t>リョウ</t>
    </rPh>
    <rPh sb="5" eb="6">
      <t>マン</t>
    </rPh>
    <rPh sb="8" eb="10">
      <t>リロン</t>
    </rPh>
    <rPh sb="10" eb="12">
      <t>ゲンスイ</t>
    </rPh>
    <phoneticPr fontId="2"/>
  </si>
  <si>
    <t>Cs月間量MBq(飛灰)</t>
    <rPh sb="2" eb="4">
      <t>ゲッカン</t>
    </rPh>
    <rPh sb="4" eb="5">
      <t>リョウ</t>
    </rPh>
    <rPh sb="9" eb="11">
      <t>ヒバイ</t>
    </rPh>
    <phoneticPr fontId="2"/>
  </si>
  <si>
    <t>Cs月間量MBq(主灰)</t>
    <rPh sb="2" eb="4">
      <t>ゲッカン</t>
    </rPh>
    <rPh sb="4" eb="5">
      <t>リョウ</t>
    </rPh>
    <rPh sb="9" eb="10">
      <t>シュ</t>
    </rPh>
    <rPh sb="10" eb="11">
      <t>ハイ</t>
    </rPh>
    <phoneticPr fontId="2"/>
  </si>
  <si>
    <t>主灰と飛灰中の月間Cs集積量(MBq)</t>
    <rPh sb="0" eb="1">
      <t>シュ</t>
    </rPh>
    <rPh sb="1" eb="2">
      <t>ハイ</t>
    </rPh>
    <rPh sb="3" eb="5">
      <t>ヒバイ</t>
    </rPh>
    <rPh sb="5" eb="6">
      <t>チュウ</t>
    </rPh>
    <rPh sb="7" eb="9">
      <t>ゲッカン</t>
    </rPh>
    <rPh sb="11" eb="13">
      <t>シュウセキ</t>
    </rPh>
    <rPh sb="13" eb="14">
      <t>リョウ</t>
    </rPh>
    <phoneticPr fontId="2"/>
  </si>
  <si>
    <t>ごみ焼却量 (t/月)</t>
    <rPh sb="2" eb="5">
      <t>ショウキャクリョウ</t>
    </rPh>
    <rPh sb="9" eb="10">
      <t>ツキ</t>
    </rPh>
    <phoneticPr fontId="2"/>
  </si>
  <si>
    <t>両Cs濃度 (Bq/kg)</t>
    <rPh sb="0" eb="1">
      <t>リョウ</t>
    </rPh>
    <rPh sb="3" eb="5">
      <t>ノウド</t>
    </rPh>
    <phoneticPr fontId="2"/>
  </si>
  <si>
    <t>GBq</t>
    <phoneticPr fontId="2"/>
  </si>
  <si>
    <t>←　最終処分場での両Cs現在ストック量(MBq)</t>
    <phoneticPr fontId="2"/>
  </si>
  <si>
    <t>H30年度末まで最終処分された放射性セシウムの総量は今日現在､</t>
    <rPh sb="3" eb="6">
      <t>ネンドマツ</t>
    </rPh>
    <rPh sb="8" eb="10">
      <t>サイシュウ</t>
    </rPh>
    <rPh sb="10" eb="12">
      <t>ショブン</t>
    </rPh>
    <rPh sb="15" eb="18">
      <t>ホウシャセイ</t>
    </rPh>
    <rPh sb="23" eb="25">
      <t>ソウリョウ</t>
    </rPh>
    <phoneticPr fontId="2"/>
  </si>
  <si>
    <t>上表の宮城東部採用↓</t>
    <rPh sb="0" eb="2">
      <t>ジョウヒョウ</t>
    </rPh>
    <rPh sb="3" eb="5">
      <t>ミヤギ</t>
    </rPh>
    <rPh sb="5" eb="7">
      <t>トウブ</t>
    </rPh>
    <rPh sb="7" eb="9">
      <t>サイヨウ</t>
    </rPh>
    <phoneticPr fontId="2"/>
  </si>
  <si>
    <t>↓上表23列の比率採用</t>
    <rPh sb="1" eb="3">
      <t>ジョウヒョウ</t>
    </rPh>
    <rPh sb="5" eb="6">
      <t>レツ</t>
    </rPh>
    <rPh sb="7" eb="9">
      <t>ヒリツ</t>
    </rPh>
    <rPh sb="9" eb="11">
      <t>サイヨウ</t>
    </rPh>
    <phoneticPr fontId="2"/>
  </si>
  <si>
    <t>◇ 焼却灰中放射性Csの月間集積量推移と最終処分場での現存量</t>
    <rPh sb="2" eb="4">
      <t>ショウキャク</t>
    </rPh>
    <rPh sb="4" eb="5">
      <t>ハイ</t>
    </rPh>
    <rPh sb="5" eb="6">
      <t>チュウ</t>
    </rPh>
    <rPh sb="6" eb="9">
      <t>ホウシャセイ</t>
    </rPh>
    <rPh sb="12" eb="14">
      <t>ゲッカン</t>
    </rPh>
    <rPh sb="14" eb="16">
      <t>シュウセキ</t>
    </rPh>
    <rPh sb="16" eb="17">
      <t>リョウ</t>
    </rPh>
    <rPh sb="17" eb="19">
      <t>スイイ</t>
    </rPh>
    <rPh sb="20" eb="22">
      <t>サイシュウ</t>
    </rPh>
    <rPh sb="22" eb="25">
      <t>ショブンジョウ</t>
    </rPh>
    <rPh sb="27" eb="29">
      <t>ゲンゾン</t>
    </rPh>
    <rPh sb="29" eb="30">
      <t>リョウ</t>
    </rPh>
    <phoneticPr fontId="10"/>
  </si>
  <si>
    <t>昭和58年度</t>
  </si>
  <si>
    <t>分類なし</t>
  </si>
  <si>
    <t>昭和59年度</t>
  </si>
  <si>
    <t>昭和60年度</t>
  </si>
  <si>
    <t>昭和61年度</t>
  </si>
  <si>
    <t>昭和62年度</t>
  </si>
  <si>
    <t>昭和63年度</t>
  </si>
  <si>
    <t>平成02年度</t>
  </si>
  <si>
    <t>平成03年度</t>
  </si>
  <si>
    <t>平成04年度</t>
  </si>
  <si>
    <t>平成05年度</t>
  </si>
  <si>
    <t>平成06年度</t>
  </si>
  <si>
    <t>平成07年度</t>
  </si>
  <si>
    <t>平成08年度</t>
  </si>
  <si>
    <t>H10以降？集団回収量が新設されたが､ごみ総排出量に含まない､自家処理量はごみ総排出量に含む､ごみ総排出量 &lt; &gt; ごみ処理量</t>
    <rPh sb="3" eb="5">
      <t>イコウ</t>
    </rPh>
    <phoneticPr fontId="4"/>
  </si>
  <si>
    <t>H17以降：集団回収量が､ごみ総排出量に含む､自家処理量はごみ総排出量に含まない､単位：(人)､(t)､(％)､環境省の元値X,N,R,M欄</t>
    <rPh sb="3" eb="5">
      <t>イコウ</t>
    </rPh>
    <phoneticPr fontId="4"/>
  </si>
  <si>
    <t>仙台市合計</t>
    <rPh sb="0" eb="3">
      <t>センダイシ</t>
    </rPh>
    <rPh sb="3" eb="5">
      <t>ゴウケイ</t>
    </rPh>
    <phoneticPr fontId="5"/>
  </si>
  <si>
    <t>1800(200*6+300*2)</t>
  </si>
  <si>
    <t>1800(200*6+300*2)</t>
    <phoneticPr fontId="5"/>
  </si>
  <si>
    <t>3事業体平均</t>
    <rPh sb="1" eb="4">
      <t>ジギョウタイ</t>
    </rPh>
    <rPh sb="4" eb="6">
      <t>ヘイキン</t>
    </rPh>
    <phoneticPr fontId="5"/>
  </si>
  <si>
    <t>仙台市平均</t>
    <rPh sb="0" eb="3">
      <t>センダイシ</t>
    </rPh>
    <rPh sb="3" eb="5">
      <t>ヘイキン</t>
    </rPh>
    <phoneticPr fontId="5"/>
  </si>
  <si>
    <t>月別割合※</t>
    <rPh sb="0" eb="2">
      <t>ツキベツ</t>
    </rPh>
    <rPh sb="2" eb="4">
      <t>ワリアイ</t>
    </rPh>
    <phoneticPr fontId="10"/>
  </si>
  <si>
    <t>焼却 t/年</t>
    <rPh sb="5" eb="6">
      <t>ネン</t>
    </rPh>
    <phoneticPr fontId="2"/>
  </si>
  <si>
    <t>平均</t>
    <rPh sb="0" eb="2">
      <t>ヘイキン</t>
    </rPh>
    <phoneticPr fontId="2"/>
  </si>
  <si>
    <t>月</t>
    <rPh sb="0" eb="1">
      <t>ツキ</t>
    </rPh>
    <phoneticPr fontId="2"/>
  </si>
  <si>
    <t>年度</t>
    <rPh sb="0" eb="2">
      <t>ネンド</t>
    </rPh>
    <phoneticPr fontId="2"/>
  </si>
  <si>
    <t>：飛灰発生率</t>
    <rPh sb="1" eb="2">
      <t>ヒ</t>
    </rPh>
    <rPh sb="2" eb="3">
      <t>バイ</t>
    </rPh>
    <rPh sb="3" eb="5">
      <t>ハッセイ</t>
    </rPh>
    <rPh sb="5" eb="6">
      <t>リツ</t>
    </rPh>
    <phoneticPr fontId="2"/>
  </si>
  <si>
    <t>：主灰発生率</t>
    <rPh sb="1" eb="2">
      <t>シュ</t>
    </rPh>
    <rPh sb="2" eb="3">
      <t>バイ</t>
    </rPh>
    <rPh sb="3" eb="5">
      <t>ハッセイ</t>
    </rPh>
    <rPh sb="5" eb="6">
      <t>リツ</t>
    </rPh>
    <phoneticPr fontId="2"/>
  </si>
  <si>
    <t>飛灰の量</t>
    <rPh sb="0" eb="2">
      <t>ヒバイ</t>
    </rPh>
    <rPh sb="3" eb="4">
      <t>リョウ</t>
    </rPh>
    <phoneticPr fontId="2"/>
  </si>
  <si>
    <t>濃度比(飛灰/主灰)</t>
    <rPh sb="0" eb="2">
      <t>ノウド</t>
    </rPh>
    <rPh sb="2" eb="3">
      <t>ヒ</t>
    </rPh>
    <rPh sb="4" eb="6">
      <t>ヒバイ</t>
    </rPh>
    <rPh sb="7" eb="8">
      <t>シュ</t>
    </rPh>
    <rPh sb="8" eb="9">
      <t>バイ</t>
    </rPh>
    <phoneticPr fontId="2"/>
  </si>
  <si>
    <t>宮城東部</t>
    <rPh sb="0" eb="2">
      <t>ミヤギ</t>
    </rPh>
    <rPh sb="2" eb="4">
      <t>トウブ</t>
    </rPh>
    <phoneticPr fontId="2"/>
  </si>
  <si>
    <t>黒川組</t>
    <rPh sb="0" eb="2">
      <t>クロカワ</t>
    </rPh>
    <rPh sb="2" eb="3">
      <t>クミ</t>
    </rPh>
    <phoneticPr fontId="2"/>
  </si>
  <si>
    <t>名取クリンセ</t>
    <rPh sb="0" eb="2">
      <t>ナトリ</t>
    </rPh>
    <phoneticPr fontId="2"/>
  </si>
  <si>
    <t>亘理清掃セ</t>
    <rPh sb="0" eb="2">
      <t>ワタリ</t>
    </rPh>
    <rPh sb="2" eb="4">
      <t>セイソウ</t>
    </rPh>
    <phoneticPr fontId="2"/>
  </si>
  <si>
    <t>気仙沼</t>
    <rPh sb="0" eb="3">
      <t>ケセンヌマ</t>
    </rPh>
    <phoneticPr fontId="2"/>
  </si>
  <si>
    <t>塩竃市</t>
    <rPh sb="0" eb="2">
      <t>シオガマ</t>
    </rPh>
    <rPh sb="2" eb="3">
      <t>シ</t>
    </rPh>
    <phoneticPr fontId="2"/>
  </si>
  <si>
    <t>※ 石巻広域､宮城東部､仙台3工場の月間焼却量の平均</t>
    <rPh sb="15" eb="17">
      <t>コウジョウ</t>
    </rPh>
    <phoneticPr fontId="2"/>
  </si>
  <si>
    <t>←飛灰/主灰の濃度比から推定</t>
    <rPh sb="1" eb="3">
      <t>ヒバイ</t>
    </rPh>
    <rPh sb="4" eb="5">
      <t>シュ</t>
    </rPh>
    <rPh sb="5" eb="6">
      <t>バイ</t>
    </rPh>
    <rPh sb="7" eb="9">
      <t>ノウド</t>
    </rPh>
    <rPh sb="9" eb="10">
      <t>ヒ</t>
    </rPh>
    <rPh sb="12" eb="14">
      <t>スイテイ</t>
    </rPh>
    <phoneticPr fontId="2"/>
  </si>
  <si>
    <t>←年度焼却量に月別割合を掛けて推定</t>
    <rPh sb="1" eb="3">
      <t>ネンド</t>
    </rPh>
    <rPh sb="3" eb="5">
      <t>ショウキャク</t>
    </rPh>
    <rPh sb="5" eb="6">
      <t>リョウ</t>
    </rPh>
    <rPh sb="7" eb="9">
      <t>ツキベツ</t>
    </rPh>
    <rPh sb="9" eb="11">
      <t>ワリアイ</t>
    </rPh>
    <rPh sb="12" eb="13">
      <t>カ</t>
    </rPh>
    <rPh sb="15" eb="17">
      <t>スイテイ</t>
    </rPh>
    <phoneticPr fontId="2"/>
  </si>
  <si>
    <t>←左欄の飛灰の量ｘ両Cs濃度</t>
    <rPh sb="1" eb="3">
      <t>サラン</t>
    </rPh>
    <rPh sb="4" eb="6">
      <t>ヒバイ</t>
    </rPh>
    <rPh sb="7" eb="8">
      <t>リョウ</t>
    </rPh>
    <rPh sb="9" eb="10">
      <t>リョウ</t>
    </rPh>
    <rPh sb="12" eb="14">
      <t>ノウド</t>
    </rPh>
    <phoneticPr fontId="2"/>
  </si>
  <si>
    <t>主灰の量</t>
    <rPh sb="0" eb="1">
      <t>シュ</t>
    </rPh>
    <rPh sb="1" eb="2">
      <t>バイ</t>
    </rPh>
    <rPh sb="3" eb="4">
      <t>リョウ</t>
    </rPh>
    <phoneticPr fontId="2"/>
  </si>
  <si>
    <t>←月間焼却量ｘ飛灰発生率</t>
    <rPh sb="1" eb="3">
      <t>ゲッカン</t>
    </rPh>
    <rPh sb="3" eb="5">
      <t>ショウキャク</t>
    </rPh>
    <rPh sb="5" eb="6">
      <t>リョウ</t>
    </rPh>
    <rPh sb="7" eb="9">
      <t>ヒバイ</t>
    </rPh>
    <rPh sb="9" eb="11">
      <t>ハッセイ</t>
    </rPh>
    <rPh sb="11" eb="12">
      <t>リツ</t>
    </rPh>
    <phoneticPr fontId="2"/>
  </si>
  <si>
    <t>←月間焼却量ｘ主灰発生率</t>
    <rPh sb="1" eb="3">
      <t>ゲッカン</t>
    </rPh>
    <rPh sb="3" eb="5">
      <t>ショウキャク</t>
    </rPh>
    <rPh sb="5" eb="6">
      <t>リョウ</t>
    </rPh>
    <rPh sb="7" eb="8">
      <t>シュ</t>
    </rPh>
    <rPh sb="8" eb="9">
      <t>バイ</t>
    </rPh>
    <rPh sb="9" eb="11">
      <t>ハッセイ</t>
    </rPh>
    <rPh sb="11" eb="12">
      <t>リツ</t>
    </rPh>
    <phoneticPr fontId="2"/>
  </si>
  <si>
    <t>焼却量に対する灰の生成割合</t>
    <rPh sb="0" eb="2">
      <t>ショウキャク</t>
    </rPh>
    <rPh sb="2" eb="3">
      <t>リョウ</t>
    </rPh>
    <rPh sb="4" eb="5">
      <t>タイ</t>
    </rPh>
    <rPh sb="7" eb="8">
      <t>ハイ</t>
    </rPh>
    <rPh sb="9" eb="11">
      <t>セイセイ</t>
    </rPh>
    <rPh sb="11" eb="13">
      <t>ワリアイ</t>
    </rPh>
    <phoneticPr fontId="2"/>
  </si>
  <si>
    <t>年度別焼却量</t>
    <rPh sb="0" eb="2">
      <t>ネンド</t>
    </rPh>
    <rPh sb="2" eb="3">
      <t>ベツ</t>
    </rPh>
    <rPh sb="3" eb="5">
      <t>ショウキャク</t>
    </rPh>
    <rPh sb="5" eb="6">
      <t>リョウ</t>
    </rPh>
    <phoneticPr fontId="2"/>
  </si>
  <si>
    <t>=事故日の濃度1*2.71828^(-0.69315/半1*(RC[-8]-事故日)/365.25)</t>
    <phoneticPr fontId="2"/>
  </si>
  <si>
    <t>=下駄1-(RC[-8]-40999)/除数11</t>
    <phoneticPr fontId="2"/>
  </si>
  <si>
    <t>←石巻広域の回帰式：Cs-134</t>
    <rPh sb="1" eb="3">
      <t>イシノマキ</t>
    </rPh>
    <rPh sb="3" eb="5">
      <t>コウイキ</t>
    </rPh>
    <rPh sb="6" eb="8">
      <t>カイキ</t>
    </rPh>
    <rPh sb="8" eb="9">
      <t>シキ</t>
    </rPh>
    <phoneticPr fontId="2"/>
  </si>
  <si>
    <t>←石巻広域の回帰式：Cs-137</t>
    <rPh sb="1" eb="3">
      <t>イシノマキ</t>
    </rPh>
    <rPh sb="3" eb="5">
      <t>コウイキ</t>
    </rPh>
    <rPh sb="6" eb="8">
      <t>カイキ</t>
    </rPh>
    <rPh sb="8" eb="9">
      <t>シキ</t>
    </rPh>
    <phoneticPr fontId="2"/>
  </si>
  <si>
    <t>ファイル"ごみ灰Cs_石巻広域.xlsx"のシート”濃度回帰”参照</t>
    <rPh sb="7" eb="8">
      <t>ハイ</t>
    </rPh>
    <rPh sb="11" eb="13">
      <t>イシノマキ</t>
    </rPh>
    <rPh sb="13" eb="15">
      <t>コウイキ</t>
    </rPh>
    <rPh sb="26" eb="28">
      <t>ノウド</t>
    </rPh>
    <rPh sb="28" eb="30">
      <t>カイキ</t>
    </rPh>
    <rPh sb="31" eb="33">
      <t>サンショウ</t>
    </rPh>
    <phoneticPr fontId="2"/>
  </si>
  <si>
    <t>5･6月をピークとする周期変動していると判断し､回帰式から推定した｡</t>
    <rPh sb="20" eb="22">
      <t>ハンダン</t>
    </rPh>
    <rPh sb="24" eb="26">
      <t>カイキ</t>
    </rPh>
    <rPh sb="26" eb="27">
      <t>シキ</t>
    </rPh>
    <rPh sb="29" eb="31">
      <t>スイテイ</t>
    </rPh>
    <phoneticPr fontId="2"/>
  </si>
  <si>
    <t>Cs-134用</t>
    <rPh sb="6" eb="7">
      <t>ヨウ</t>
    </rPh>
    <phoneticPr fontId="10"/>
  </si>
  <si>
    <t>Cs-137用</t>
    <rPh sb="6" eb="7">
      <t>ヨウ</t>
    </rPh>
    <phoneticPr fontId="10"/>
  </si>
  <si>
    <t>任意の半減期1:</t>
    <rPh sb="0" eb="2">
      <t>ニンイ</t>
    </rPh>
    <rPh sb="3" eb="6">
      <t>ハンゲンキ</t>
    </rPh>
    <phoneticPr fontId="10"/>
  </si>
  <si>
    <t>15,19列の計算式=事故日の濃度1*2.71828^(-0.69315/半1*(RC[-8]-事故日)/365.25)</t>
    <rPh sb="4" eb="5">
      <t>レツ</t>
    </rPh>
    <rPh sb="6" eb="9">
      <t>ケイサンシキ</t>
    </rPh>
    <phoneticPr fontId="10"/>
  </si>
  <si>
    <t>除数11:</t>
    <rPh sb="0" eb="2">
      <t>ジョスウ</t>
    </rPh>
    <phoneticPr fontId="10"/>
  </si>
  <si>
    <t>16,20列の計算式=下駄1-(RC[-8]-40999)/除数11</t>
    <rPh sb="4" eb="5">
      <t>レツ</t>
    </rPh>
    <rPh sb="6" eb="9">
      <t>ケイサンシキ</t>
    </rPh>
    <phoneticPr fontId="10"/>
  </si>
  <si>
    <t>下駄1:</t>
    <rPh sb="0" eb="2">
      <t>ゲタ</t>
    </rPh>
    <phoneticPr fontId="10"/>
  </si>
  <si>
    <t>17,21列の計算式=(RC[-2]+RC[-1])*(1-RC[9]/除数12)</t>
    <rPh sb="4" eb="5">
      <t>レツ</t>
    </rPh>
    <rPh sb="6" eb="9">
      <t>ケイサンシキ</t>
    </rPh>
    <phoneticPr fontId="10"/>
  </si>
  <si>
    <t>事故日の濃度1:</t>
    <rPh sb="0" eb="2">
      <t>ジコ</t>
    </rPh>
    <rPh sb="2" eb="3">
      <t>ビ</t>
    </rPh>
    <rPh sb="4" eb="6">
      <t>ノウド</t>
    </rPh>
    <phoneticPr fontId="10"/>
  </si>
  <si>
    <t>除数12:</t>
    <rPh sb="0" eb="2">
      <t>ジョスウ</t>
    </rPh>
    <phoneticPr fontId="10"/>
  </si>
  <si>
    <t>放射性3物質の減衰曲線</t>
    <rPh sb="0" eb="3">
      <t>ホウシャセイ</t>
    </rPh>
    <rPh sb="4" eb="6">
      <t>ブッシツ</t>
    </rPh>
    <rPh sb="7" eb="9">
      <t>ゲンスイ</t>
    </rPh>
    <rPh sb="9" eb="11">
      <t>キョクセン</t>
    </rPh>
    <phoneticPr fontId="10"/>
  </si>
  <si>
    <t>焼却灰中の濃度</t>
    <rPh sb="0" eb="2">
      <t>ショウキャク</t>
    </rPh>
    <rPh sb="2" eb="3">
      <t>ハイ</t>
    </rPh>
    <rPh sb="3" eb="4">
      <t>チュウ</t>
    </rPh>
    <rPh sb="5" eb="7">
      <t>ノウド</t>
    </rPh>
    <phoneticPr fontId="10"/>
  </si>
  <si>
    <t>熔融スラグ中の濃度</t>
    <rPh sb="0" eb="2">
      <t>ヨウユウ</t>
    </rPh>
    <rPh sb="5" eb="6">
      <t>チュウ</t>
    </rPh>
    <rPh sb="7" eb="9">
      <t>ノウド</t>
    </rPh>
    <phoneticPr fontId="10"/>
  </si>
  <si>
    <t>連番</t>
    <phoneticPr fontId="10"/>
  </si>
  <si>
    <t>事故日と採取日</t>
    <phoneticPr fontId="10"/>
  </si>
  <si>
    <t>ごみ焼却量 t/月</t>
    <phoneticPr fontId="10"/>
  </si>
  <si>
    <t>多項式回帰_ごみ量</t>
    <rPh sb="0" eb="3">
      <t>タコウシキ</t>
    </rPh>
    <rPh sb="3" eb="5">
      <t>カイキ</t>
    </rPh>
    <rPh sb="8" eb="9">
      <t>リョウ</t>
    </rPh>
    <phoneticPr fontId="10"/>
  </si>
  <si>
    <t>多項式回帰-cos()*1000-500</t>
    <rPh sb="0" eb="3">
      <t>タコウシキ</t>
    </rPh>
    <rPh sb="3" eb="5">
      <t>カイキ</t>
    </rPh>
    <phoneticPr fontId="10"/>
  </si>
  <si>
    <t>Cs-134</t>
    <phoneticPr fontId="10"/>
  </si>
  <si>
    <t>Cs-137</t>
    <phoneticPr fontId="10"/>
  </si>
  <si>
    <t>焼却灰中両Cs濃度</t>
    <rPh sb="4" eb="5">
      <t>リョウ</t>
    </rPh>
    <rPh sb="7" eb="9">
      <t>ノウド</t>
    </rPh>
    <phoneticPr fontId="10"/>
  </si>
  <si>
    <t>Cs-134</t>
    <phoneticPr fontId="10"/>
  </si>
  <si>
    <t>Cs-137</t>
    <phoneticPr fontId="10"/>
  </si>
  <si>
    <t>熔融スラグ中両Cs濃度</t>
    <rPh sb="6" eb="7">
      <t>リョウ</t>
    </rPh>
    <rPh sb="9" eb="11">
      <t>ノウド</t>
    </rPh>
    <phoneticPr fontId="10"/>
  </si>
  <si>
    <t>下駄+(採取日-40999)/除数11</t>
    <rPh sb="4" eb="6">
      <t>サイシュ</t>
    </rPh>
    <rPh sb="6" eb="7">
      <t>ビ</t>
    </rPh>
    <rPh sb="15" eb="16">
      <t>ジョ</t>
    </rPh>
    <phoneticPr fontId="10"/>
  </si>
  <si>
    <t>回帰式_Cs-134</t>
    <rPh sb="0" eb="2">
      <t>カイキ</t>
    </rPh>
    <rPh sb="2" eb="3">
      <t>シキ</t>
    </rPh>
    <phoneticPr fontId="10"/>
  </si>
  <si>
    <t>下駄+(採取日-41000)/除数1</t>
    <rPh sb="4" eb="6">
      <t>サイシュ</t>
    </rPh>
    <rPh sb="6" eb="7">
      <t>ビ</t>
    </rPh>
    <rPh sb="15" eb="16">
      <t>ジョ</t>
    </rPh>
    <phoneticPr fontId="10"/>
  </si>
  <si>
    <t>回帰式_Cs-137</t>
    <rPh sb="0" eb="2">
      <t>カイキ</t>
    </rPh>
    <rPh sb="2" eb="3">
      <t>シキ</t>
    </rPh>
    <phoneticPr fontId="10"/>
  </si>
  <si>
    <t>度(等間隔でないことに注意)</t>
    <rPh sb="0" eb="1">
      <t>ド</t>
    </rPh>
    <rPh sb="2" eb="5">
      <t>トウカンカク</t>
    </rPh>
    <rPh sb="11" eb="13">
      <t>チュウイ</t>
    </rPh>
    <phoneticPr fontId="10"/>
  </si>
  <si>
    <t>ラジアン</t>
    <phoneticPr fontId="10"/>
  </si>
  <si>
    <t>30°(360度/12ヶ月)等間隔</t>
    <rPh sb="7" eb="8">
      <t>ド</t>
    </rPh>
    <rPh sb="12" eb="13">
      <t>ゲツ</t>
    </rPh>
    <rPh sb="14" eb="17">
      <t>トウカンカク</t>
    </rPh>
    <phoneticPr fontId="10"/>
  </si>
  <si>
    <t>ラジアン</t>
    <phoneticPr fontId="10"/>
  </si>
  <si>
    <t>I-131当日1から減衰</t>
    <rPh sb="5" eb="7">
      <t>トウジツ</t>
    </rPh>
    <rPh sb="10" eb="12">
      <t>ゲンスイ</t>
    </rPh>
    <phoneticPr fontId="10"/>
  </si>
  <si>
    <r>
      <rPr>
        <sz val="6"/>
        <color theme="1"/>
        <rFont val="Meiryo UI"/>
        <family val="3"/>
        <charset val="128"/>
      </rPr>
      <t>Cs134</t>
    </r>
    <r>
      <rPr>
        <sz val="7"/>
        <color theme="1"/>
        <rFont val="Meiryo UI"/>
        <family val="3"/>
        <charset val="128"/>
      </rPr>
      <t>当日1から減衰</t>
    </r>
    <phoneticPr fontId="10"/>
  </si>
  <si>
    <r>
      <rPr>
        <sz val="6"/>
        <color theme="1"/>
        <rFont val="Meiryo UI"/>
        <family val="3"/>
        <charset val="128"/>
      </rPr>
      <t>Cs137</t>
    </r>
    <r>
      <rPr>
        <sz val="7"/>
        <color theme="1"/>
        <rFont val="Meiryo UI"/>
        <family val="3"/>
        <charset val="128"/>
      </rPr>
      <t>当日1から減衰</t>
    </r>
    <phoneticPr fontId="10"/>
  </si>
  <si>
    <t xml:space="preserve">両Cs当日各1から減衰  </t>
    <rPh sb="0" eb="1">
      <t>リョウ</t>
    </rPh>
    <rPh sb="3" eb="5">
      <t>トウジツ</t>
    </rPh>
    <rPh sb="5" eb="6">
      <t>カク</t>
    </rPh>
    <rPh sb="9" eb="11">
      <t>ゲンスイ</t>
    </rPh>
    <phoneticPr fontId="10"/>
  </si>
  <si>
    <t>両Cs1万から理論減衰</t>
    <rPh sb="0" eb="1">
      <t>リョウ</t>
    </rPh>
    <rPh sb="4" eb="5">
      <t>マン</t>
    </rPh>
    <rPh sb="7" eb="9">
      <t>リロン</t>
    </rPh>
    <rPh sb="9" eb="11">
      <t>ゲンスイ</t>
    </rPh>
    <phoneticPr fontId="10"/>
  </si>
  <si>
    <r>
      <rPr>
        <sz val="6"/>
        <color theme="1"/>
        <rFont val="Meiryo UI"/>
        <family val="3"/>
        <charset val="128"/>
      </rPr>
      <t>Cs134</t>
    </r>
    <r>
      <rPr>
        <sz val="7"/>
        <color theme="1"/>
        <rFont val="Meiryo UI"/>
        <family val="3"/>
        <charset val="128"/>
      </rPr>
      <t>当日500から減衰</t>
    </r>
    <rPh sb="5" eb="7">
      <t>トウジツ</t>
    </rPh>
    <rPh sb="12" eb="14">
      <t>ゲンスイ</t>
    </rPh>
    <phoneticPr fontId="10"/>
  </si>
  <si>
    <r>
      <rPr>
        <sz val="6"/>
        <color theme="1"/>
        <rFont val="Meiryo UI"/>
        <family val="3"/>
        <charset val="128"/>
      </rPr>
      <t>Cs137</t>
    </r>
    <r>
      <rPr>
        <sz val="7"/>
        <color theme="1"/>
        <rFont val="Meiryo UI"/>
        <family val="3"/>
        <charset val="128"/>
      </rPr>
      <t>当日500から減衰</t>
    </r>
    <rPh sb="5" eb="7">
      <t>トウジツ</t>
    </rPh>
    <rPh sb="12" eb="14">
      <t>ゲンスイ</t>
    </rPh>
    <phoneticPr fontId="10"/>
  </si>
  <si>
    <t>Bq/kg</t>
  </si>
  <si>
    <t>Bq/kg</t>
    <phoneticPr fontId="10"/>
  </si>
  <si>
    <t>Bq/kg</t>
    <phoneticPr fontId="10"/>
  </si>
  <si>
    <t>直接搬入量</t>
  </si>
  <si>
    <t>平成24年度</t>
    <phoneticPr fontId="5"/>
  </si>
  <si>
    <t>平成25年度</t>
    <phoneticPr fontId="5"/>
  </si>
  <si>
    <t>平成29年度</t>
    <rPh sb="0" eb="2">
      <t>ヘイセイ</t>
    </rPh>
    <rPh sb="4" eb="6">
      <t>ネンド</t>
    </rPh>
    <phoneticPr fontId="30"/>
  </si>
  <si>
    <t>H24</t>
  </si>
  <si>
    <t>H25</t>
  </si>
  <si>
    <t>H26</t>
  </si>
  <si>
    <t>H27</t>
  </si>
  <si>
    <t>H28</t>
  </si>
  <si>
    <t>H29</t>
  </si>
  <si>
    <r>
      <rPr>
        <sz val="6.5"/>
        <rFont val="Meiryo UI"/>
        <family val="3"/>
        <charset val="128"/>
      </rPr>
      <t>Cs134</t>
    </r>
    <r>
      <rPr>
        <sz val="8"/>
        <rFont val="Meiryo UI"/>
        <family val="3"/>
        <charset val="128"/>
      </rPr>
      <t>当日1から減衰</t>
    </r>
    <phoneticPr fontId="2"/>
  </si>
  <si>
    <r>
      <rPr>
        <sz val="6.5"/>
        <rFont val="Meiryo UI"/>
        <family val="3"/>
        <charset val="128"/>
      </rPr>
      <t>Cs137</t>
    </r>
    <r>
      <rPr>
        <sz val="8"/>
        <rFont val="Meiryo UI"/>
        <family val="3"/>
        <charset val="128"/>
      </rPr>
      <t>当日1から減衰</t>
    </r>
    <phoneticPr fontId="2"/>
  </si>
  <si>
    <r>
      <rPr>
        <sz val="6.5"/>
        <rFont val="Meiryo UI"/>
        <family val="3"/>
        <charset val="128"/>
      </rPr>
      <t>Cs134</t>
    </r>
    <r>
      <rPr>
        <sz val="8"/>
        <rFont val="Meiryo UI"/>
        <family val="3"/>
        <charset val="128"/>
      </rPr>
      <t>当日500から減衰</t>
    </r>
    <rPh sb="5" eb="7">
      <t>トウジツ</t>
    </rPh>
    <rPh sb="12" eb="14">
      <t>ゲンスイ</t>
    </rPh>
    <phoneticPr fontId="2"/>
  </si>
  <si>
    <r>
      <rPr>
        <sz val="6.5"/>
        <rFont val="Meiryo UI"/>
        <family val="3"/>
        <charset val="128"/>
      </rPr>
      <t>Cs137</t>
    </r>
    <r>
      <rPr>
        <sz val="8"/>
        <rFont val="Meiryo UI"/>
        <family val="3"/>
        <charset val="128"/>
      </rPr>
      <t>当日500から減衰</t>
    </r>
    <rPh sb="5" eb="7">
      <t>トウジツ</t>
    </rPh>
    <rPh sb="12" eb="14">
      <t>ゲンスイ</t>
    </rPh>
    <phoneticPr fontId="2"/>
  </si>
  <si>
    <t>※2018年度はh23~29の平均</t>
    <rPh sb="5" eb="7">
      <t>ネンド</t>
    </rPh>
    <rPh sb="15" eb="17">
      <t>ヘイキン</t>
    </rPh>
    <phoneticPr fontId="2"/>
  </si>
  <si>
    <t>焼却灰(主灰)</t>
    <phoneticPr fontId="5"/>
  </si>
  <si>
    <t>混合灰中のCs濃度が不明→登米市クリンセンターのデータ借用！</t>
    <rPh sb="0" eb="2">
      <t>コンゴウ</t>
    </rPh>
    <rPh sb="2" eb="3">
      <t>バイ</t>
    </rPh>
    <rPh sb="3" eb="4">
      <t>チュウ</t>
    </rPh>
    <rPh sb="7" eb="9">
      <t>ノウド</t>
    </rPh>
    <rPh sb="10" eb="12">
      <t>フメイ</t>
    </rPh>
    <rPh sb="13" eb="16">
      <t>トメシ</t>
    </rPh>
    <rPh sb="27" eb="29">
      <t>シャクヨウ</t>
    </rPh>
    <phoneticPr fontId="2"/>
  </si>
  <si>
    <t>↓シート"月間量回帰式"から転記</t>
    <rPh sb="5" eb="7">
      <t>ゲッカン</t>
    </rPh>
    <rPh sb="7" eb="8">
      <t>リョウ</t>
    </rPh>
    <rPh sb="8" eb="10">
      <t>カイキ</t>
    </rPh>
    <rPh sb="10" eb="11">
      <t>シキ</t>
    </rPh>
    <rPh sb="14" eb="16">
      <t>テンキ</t>
    </rPh>
    <phoneticPr fontId="2"/>
  </si>
  <si>
    <t>角度間隔ゆらぎCOS()</t>
    <rPh sb="0" eb="2">
      <t>カクド</t>
    </rPh>
    <rPh sb="2" eb="4">
      <t>カンカク</t>
    </rPh>
    <phoneticPr fontId="10"/>
  </si>
  <si>
    <t>30°等間隔COS()</t>
    <rPh sb="3" eb="4">
      <t>トウ</t>
    </rPh>
    <rPh sb="4" eb="6">
      <t>カンカク</t>
    </rPh>
    <phoneticPr fontId="11"/>
  </si>
  <si>
    <t>濃度データ推定法</t>
    <rPh sb="0" eb="2">
      <t>ノウド</t>
    </rPh>
    <rPh sb="5" eb="8">
      <t>スイテイホウ</t>
    </rPh>
    <phoneticPr fontId="5"/>
  </si>
  <si>
    <t>(毎月濃度データ不足の場合､減衰曲線と年間周期振動から推定)</t>
    <rPh sb="14" eb="16">
      <t>ゲンスイ</t>
    </rPh>
    <rPh sb="16" eb="18">
      <t>キョクセン</t>
    </rPh>
    <rPh sb="19" eb="21">
      <t>ネンカン</t>
    </rPh>
    <rPh sb="21" eb="23">
      <t>シュウキ</t>
    </rPh>
    <rPh sb="23" eb="25">
      <t>シンドウ</t>
    </rPh>
    <rPh sb="27" eb="29">
      <t>スイテイ</t>
    </rPh>
    <phoneticPr fontId="5"/>
  </si>
  <si>
    <t>毎月のデータが揃う石巻広域･宮城東部･仙台市･･から、焼却量と濃度が2･3月を底とし､</t>
    <rPh sb="0" eb="2">
      <t>マイツキ</t>
    </rPh>
    <rPh sb="7" eb="8">
      <t>ソロ</t>
    </rPh>
    <rPh sb="9" eb="11">
      <t>イシノマキ</t>
    </rPh>
    <rPh sb="11" eb="13">
      <t>コウイキ</t>
    </rPh>
    <rPh sb="14" eb="16">
      <t>ミヤギ</t>
    </rPh>
    <rPh sb="16" eb="18">
      <t>トウブ</t>
    </rPh>
    <rPh sb="19" eb="22">
      <t>センダイシ</t>
    </rPh>
    <rPh sb="27" eb="29">
      <t>ショウキャク</t>
    </rPh>
    <rPh sb="29" eb="30">
      <t>リョウ</t>
    </rPh>
    <rPh sb="31" eb="33">
      <t>ノウド</t>
    </rPh>
    <rPh sb="37" eb="38">
      <t>ガツ</t>
    </rPh>
    <rPh sb="39" eb="40">
      <t>ソコ</t>
    </rPh>
    <phoneticPr fontId="2"/>
  </si>
  <si>
    <t>←石巻広域と同じパターン変動するとして、H29実測値平均から推定</t>
    <rPh sb="23" eb="26">
      <t>ジッソクチ</t>
    </rPh>
    <rPh sb="26" eb="28">
      <t>ヘイキン</t>
    </rPh>
    <rPh sb="30" eb="32">
      <t>スイテイ</t>
    </rPh>
    <phoneticPr fontId="2"/>
  </si>
  <si>
    <t>90(90tx炉〉</t>
    <phoneticPr fontId="39"/>
  </si>
  <si>
    <t>年度
(H10以降？)</t>
    <rPh sb="0" eb="2">
      <t>ネンド</t>
    </rPh>
    <rPh sb="7" eb="9">
      <t>イコウ</t>
    </rPh>
    <phoneticPr fontId="5"/>
  </si>
  <si>
    <r>
      <t xml:space="preserve">ごみ総排出量
</t>
    </r>
    <r>
      <rPr>
        <sz val="7"/>
        <rFont val="Meiryo UI"/>
        <family val="3"/>
        <charset val="128"/>
      </rPr>
      <t>C=D+直接搬入量+Y</t>
    </r>
    <rPh sb="2" eb="3">
      <t>ソウ</t>
    </rPh>
    <rPh sb="3" eb="5">
      <t>ハイシュツ</t>
    </rPh>
    <rPh sb="5" eb="6">
      <t>リョウ</t>
    </rPh>
    <phoneticPr fontId="5"/>
  </si>
  <si>
    <t>計画収集量
D</t>
    <rPh sb="0" eb="2">
      <t>ケイカク</t>
    </rPh>
    <rPh sb="2" eb="4">
      <t>シュウシュウ</t>
    </rPh>
    <rPh sb="4" eb="5">
      <t>リョウ</t>
    </rPh>
    <phoneticPr fontId="5"/>
  </si>
  <si>
    <t>自家処理量
Y</t>
    <phoneticPr fontId="5"/>
  </si>
  <si>
    <t>集団回収量
E</t>
    <phoneticPr fontId="5"/>
  </si>
  <si>
    <t>直接焼却量
F</t>
    <phoneticPr fontId="5"/>
  </si>
  <si>
    <t>直接最終処分量
G</t>
    <phoneticPr fontId="5"/>
  </si>
  <si>
    <t>焼却以外の中間処理量
H</t>
    <rPh sb="0" eb="2">
      <t>ショウキャク</t>
    </rPh>
    <rPh sb="2" eb="4">
      <t>イガイ</t>
    </rPh>
    <rPh sb="5" eb="7">
      <t>チュウカン</t>
    </rPh>
    <rPh sb="7" eb="9">
      <t>ショリ</t>
    </rPh>
    <rPh sb="9" eb="10">
      <t>リョウ</t>
    </rPh>
    <phoneticPr fontId="5"/>
  </si>
  <si>
    <t>直接資源化量
I</t>
    <rPh sb="0" eb="2">
      <t>チョクセツ</t>
    </rPh>
    <rPh sb="2" eb="4">
      <t>シゲン</t>
    </rPh>
    <rPh sb="4" eb="5">
      <t>カ</t>
    </rPh>
    <rPh sb="5" eb="6">
      <t>リョウ</t>
    </rPh>
    <phoneticPr fontId="5"/>
  </si>
  <si>
    <t>減量処理率N=(F+H+I)/X</t>
    <rPh sb="0" eb="2">
      <t>ショリ</t>
    </rPh>
    <rPh sb="2" eb="3">
      <t>リツ</t>
    </rPh>
    <phoneticPr fontId="5"/>
  </si>
  <si>
    <t>中間処理後再生利用量 J</t>
    <phoneticPr fontId="5"/>
  </si>
  <si>
    <t>焼却残渣量
K</t>
    <rPh sb="0" eb="2">
      <t>ショウキャク</t>
    </rPh>
    <rPh sb="2" eb="4">
      <t>ザンサ</t>
    </rPh>
    <rPh sb="4" eb="5">
      <t>リョウ</t>
    </rPh>
    <phoneticPr fontId="5"/>
  </si>
  <si>
    <t>処理残渣量
L</t>
    <rPh sb="0" eb="2">
      <t>ショリ</t>
    </rPh>
    <rPh sb="2" eb="4">
      <t>ザンサ</t>
    </rPh>
    <rPh sb="4" eb="5">
      <t>リョウ</t>
    </rPh>
    <phoneticPr fontId="5"/>
  </si>
  <si>
    <t>最終処分量
M=G+K+L</t>
    <rPh sb="0" eb="2">
      <t>サイシュウ</t>
    </rPh>
    <rPh sb="2" eb="4">
      <t>ショブン</t>
    </rPh>
    <rPh sb="4" eb="5">
      <t>リョウ</t>
    </rPh>
    <phoneticPr fontId="5"/>
  </si>
  <si>
    <t>H10以降？</t>
    <rPh sb="3" eb="5">
      <t>イコウ</t>
    </rPh>
    <phoneticPr fontId="5"/>
  </si>
  <si>
    <t>集団回収量が新設されたが､ごみ総排出量に含まない
自家処理量はごみ総排出量に含む
ごみ総排出量 &lt; &gt; ごみ処理量</t>
    <rPh sb="0" eb="2">
      <t>シュウダン</t>
    </rPh>
    <rPh sb="2" eb="4">
      <t>カイシュウ</t>
    </rPh>
    <rPh sb="4" eb="5">
      <t>リョウ</t>
    </rPh>
    <rPh sb="6" eb="8">
      <t>シンセツ</t>
    </rPh>
    <rPh sb="25" eb="27">
      <t>ジカ</t>
    </rPh>
    <rPh sb="27" eb="29">
      <t>ショリ</t>
    </rPh>
    <rPh sb="29" eb="30">
      <t>リョウ</t>
    </rPh>
    <rPh sb="33" eb="34">
      <t>ソウ</t>
    </rPh>
    <rPh sb="34" eb="36">
      <t>ハイシュツ</t>
    </rPh>
    <rPh sb="36" eb="37">
      <t>リョウ</t>
    </rPh>
    <rPh sb="38" eb="39">
      <t>フク</t>
    </rPh>
    <rPh sb="43" eb="44">
      <t>ソウ</t>
    </rPh>
    <rPh sb="44" eb="46">
      <t>ハイシュツ</t>
    </rPh>
    <rPh sb="46" eb="47">
      <t>リョウ</t>
    </rPh>
    <rPh sb="54" eb="56">
      <t>ショリ</t>
    </rPh>
    <rPh sb="56" eb="57">
      <t>リョウ</t>
    </rPh>
    <phoneticPr fontId="5"/>
  </si>
  <si>
    <t>計画収集人口 Ｂ</t>
    <rPh sb="0" eb="2">
      <t>ケイカク</t>
    </rPh>
    <rPh sb="2" eb="4">
      <t>シュウシュウ</t>
    </rPh>
    <rPh sb="4" eb="6">
      <t>ジンコウ</t>
    </rPh>
    <phoneticPr fontId="5"/>
  </si>
  <si>
    <t>自家処理量  Y</t>
    <phoneticPr fontId="5"/>
  </si>
  <si>
    <t>集団回収量  E</t>
    <phoneticPr fontId="5"/>
  </si>
  <si>
    <t>直接焼却量 F</t>
    <phoneticPr fontId="5"/>
  </si>
  <si>
    <t>H17以降</t>
    <rPh sb="3" eb="5">
      <t>イコウ</t>
    </rPh>
    <phoneticPr fontId="5"/>
  </si>
  <si>
    <t>集団回収量が､ごみ総排出量に含む
自家処理量はごみ総排出量に含まない
単位：(人)､(t)､(％)
環境省の元値X,N,R,M欄</t>
    <rPh sb="0" eb="2">
      <t>シュウダン</t>
    </rPh>
    <rPh sb="2" eb="4">
      <t>カイシュウ</t>
    </rPh>
    <rPh sb="4" eb="5">
      <t>リョウ</t>
    </rPh>
    <rPh sb="17" eb="19">
      <t>ジカ</t>
    </rPh>
    <rPh sb="19" eb="21">
      <t>ショリ</t>
    </rPh>
    <rPh sb="21" eb="22">
      <t>リョウ</t>
    </rPh>
    <rPh sb="25" eb="26">
      <t>ソウ</t>
    </rPh>
    <rPh sb="26" eb="28">
      <t>ハイシュツ</t>
    </rPh>
    <rPh sb="28" eb="29">
      <t>リョウ</t>
    </rPh>
    <rPh sb="35" eb="37">
      <t>タンイ</t>
    </rPh>
    <rPh sb="39" eb="40">
      <t>ニン</t>
    </rPh>
    <rPh sb="50" eb="53">
      <t>カンキョウショウ</t>
    </rPh>
    <rPh sb="54" eb="56">
      <t>モトネ</t>
    </rPh>
    <rPh sb="63" eb="64">
      <t>ラン</t>
    </rPh>
    <phoneticPr fontId="5"/>
  </si>
  <si>
    <t>04205</t>
  </si>
  <si>
    <t>気仙沼市</t>
  </si>
  <si>
    <t>04603</t>
  </si>
  <si>
    <t>本吉町</t>
  </si>
  <si>
    <t>04604</t>
  </si>
  <si>
    <t>唐桑町</t>
  </si>
  <si>
    <t>平成01年度</t>
    <phoneticPr fontId="5"/>
  </si>
  <si>
    <t>平成09年度</t>
    <phoneticPr fontId="5"/>
  </si>
  <si>
    <t>https://www.kesennuma.miyagi.jp/li/life/020/070/030/index.html</t>
    <phoneticPr fontId="39"/>
  </si>
  <si>
    <t>気仙沼市ごみ焼却場(クリーン･ヒル･センター)の維持管理データ　(平成27年度)　</t>
    <rPh sb="0" eb="4">
      <t>ケセンヌマシ</t>
    </rPh>
    <rPh sb="6" eb="9">
      <t>ショウキャクジョウ</t>
    </rPh>
    <rPh sb="24" eb="26">
      <t>イジ</t>
    </rPh>
    <rPh sb="26" eb="28">
      <t>カンリ</t>
    </rPh>
    <phoneticPr fontId="5"/>
  </si>
  <si>
    <t>ダイオキシン測定記録</t>
    <rPh sb="6" eb="8">
      <t>ソクテイ</t>
    </rPh>
    <phoneticPr fontId="5"/>
  </si>
  <si>
    <t>単位:ng-TEQ/m3N</t>
  </si>
  <si>
    <t>年度</t>
  </si>
  <si>
    <t>測　定　項　目</t>
  </si>
  <si>
    <t>排ガス</t>
  </si>
  <si>
    <t>飛　　灰</t>
  </si>
  <si>
    <t>焼却灰</t>
  </si>
  <si>
    <t>作業環境(灰出し作業所)</t>
  </si>
  <si>
    <t>1号炉</t>
  </si>
  <si>
    <t>2号炉</t>
  </si>
  <si>
    <t>６月25日測定</t>
  </si>
  <si>
    <t>12月18日測定</t>
  </si>
  <si>
    <t>0.45(5.00)</t>
  </si>
  <si>
    <t>0.27(5.00)</t>
  </si>
  <si>
    <t>0.62(3.00)</t>
  </si>
  <si>
    <t>0.65(3.00)</t>
  </si>
  <si>
    <t>0.087(2.5pg-TEQ/・)</t>
  </si>
  <si>
    <t>(1027(2.5pg-TEQ/・)</t>
  </si>
  <si>
    <t>※（　）内の数値は，環境省が定めるダイオキシン類対策特別柑置法に基づいた排出基準値です。</t>
    <phoneticPr fontId="5"/>
  </si>
  <si>
    <t>ばい煙測定記録【１号炉】</t>
    <rPh sb="2" eb="3">
      <t>エン</t>
    </rPh>
    <rPh sb="3" eb="5">
      <t>ソクテイ</t>
    </rPh>
    <phoneticPr fontId="5"/>
  </si>
  <si>
    <t>測定項目</t>
  </si>
  <si>
    <t>5月14日</t>
    <phoneticPr fontId="5"/>
  </si>
  <si>
    <t>7月16日</t>
    <phoneticPr fontId="5"/>
  </si>
  <si>
    <t>9月11日</t>
    <phoneticPr fontId="5"/>
  </si>
  <si>
    <t>11月11日</t>
    <phoneticPr fontId="5"/>
  </si>
  <si>
    <t>1月21日</t>
    <phoneticPr fontId="5"/>
  </si>
  <si>
    <t>3月10日</t>
    <phoneticPr fontId="5"/>
  </si>
  <si>
    <t>排出基準値</t>
    <rPh sb="0" eb="2">
      <t>ハイシュツ</t>
    </rPh>
    <rPh sb="2" eb="4">
      <t>キジュン</t>
    </rPh>
    <rPh sb="4" eb="5">
      <t>チ</t>
    </rPh>
    <phoneticPr fontId="5"/>
  </si>
  <si>
    <t>ばいじん濃度(g/m3N)</t>
    <phoneticPr fontId="5"/>
  </si>
  <si>
    <t>SOX濃度（m3N/H）</t>
    <phoneticPr fontId="5"/>
  </si>
  <si>
    <t>NOX濃度　（ppm）</t>
  </si>
  <si>
    <t>HC2濃度（mg/m3N）</t>
    <phoneticPr fontId="5"/>
  </si>
  <si>
    <t>排ガス温度　（゜C）</t>
  </si>
  <si>
    <t>一</t>
  </si>
  <si>
    <t>排ガス水分量（％）</t>
  </si>
  <si>
    <t>酸素濃度　　（％）</t>
  </si>
  <si>
    <t>窒素濃度　　（％）</t>
  </si>
  <si>
    <t>※　排出基準値は、環境省が定める大気汚染防止法に基づいた値です。</t>
    <phoneticPr fontId="5"/>
  </si>
  <si>
    <t>ばい煙測定記録【２号炉】</t>
    <rPh sb="2" eb="3">
      <t>エン</t>
    </rPh>
    <rPh sb="3" eb="5">
      <t>ソクテイ</t>
    </rPh>
    <phoneticPr fontId="5"/>
  </si>
  <si>
    <t xml:space="preserve">
一</t>
  </si>
  <si>
    <t>平成28年度(前期)　</t>
    <rPh sb="0" eb="2">
      <t>ヘイセイ</t>
    </rPh>
    <rPh sb="4" eb="6">
      <t>ネンド</t>
    </rPh>
    <rPh sb="7" eb="9">
      <t>ゼンキ</t>
    </rPh>
    <phoneticPr fontId="5"/>
  </si>
  <si>
    <t>気仙沼市ごみ焼却場(クリーン･ヒル･センター)の維持管理データ</t>
    <rPh sb="0" eb="4">
      <t>ケセンヌマシ</t>
    </rPh>
    <rPh sb="6" eb="9">
      <t>ショウキャクジョウ</t>
    </rPh>
    <rPh sb="24" eb="26">
      <t>イジ</t>
    </rPh>
    <rPh sb="26" eb="28">
      <t>カンリ</t>
    </rPh>
    <phoneticPr fontId="5"/>
  </si>
  <si>
    <t>ばい煙測定記録</t>
    <rPh sb="2" eb="3">
      <t>エン</t>
    </rPh>
    <rPh sb="3" eb="5">
      <t>ソクテイ</t>
    </rPh>
    <rPh sb="5" eb="7">
      <t>キロク</t>
    </rPh>
    <phoneticPr fontId="5"/>
  </si>
  <si>
    <t>１号炉</t>
  </si>
  <si>
    <t>排出基準値</t>
  </si>
  <si>
    <t>測定項目＼測定月日</t>
    <phoneticPr fontId="5"/>
  </si>
  <si>
    <t>5月12日</t>
  </si>
  <si>
    <t>7月21日</t>
  </si>
  <si>
    <t>9月9日</t>
  </si>
  <si>
    <t>/</t>
  </si>
  <si>
    <t>SOX濃度(m3N/h）</t>
    <phoneticPr fontId="5"/>
  </si>
  <si>
    <t>ＮＯＸ濃度(ppm）</t>
    <phoneticPr fontId="5"/>
  </si>
  <si>
    <t>HCℓ濃度(mg/m3N）</t>
    <phoneticPr fontId="5"/>
  </si>
  <si>
    <t>排ガス温度　　（゜C）</t>
  </si>
  <si>
    <t>排ガス水分量　（％）</t>
  </si>
  <si>
    <t>酸素濃度　　　（％）</t>
  </si>
  <si>
    <t>窒素濃度　　　（％）</t>
  </si>
  <si>
    <t>※排出基準値は，環境省が定める「大気汚染防止法」に基づいた値です。</t>
    <phoneticPr fontId="5"/>
  </si>
  <si>
    <t>ダイオキシン類測定記録(7月26曰測定)</t>
    <rPh sb="6" eb="7">
      <t>ルイ</t>
    </rPh>
    <rPh sb="7" eb="9">
      <t>ソクテイ</t>
    </rPh>
    <rPh sb="17" eb="19">
      <t>ソクテイ</t>
    </rPh>
    <phoneticPr fontId="5"/>
  </si>
  <si>
    <t>単位:ng-TEQ/m3N</t>
    <phoneticPr fontId="5"/>
  </si>
  <si>
    <t>作業環境(灰出し作業所)</t>
    <phoneticPr fontId="5"/>
  </si>
  <si>
    <t>0.17(5.00)</t>
  </si>
  <si>
    <t>0.16(5.00)</t>
  </si>
  <si>
    <t>1.9(3.00)</t>
  </si>
  <si>
    <t>0.0025(3.00)</t>
  </si>
  <si>
    <t>0.3(2.5pg-TEQ/m3N)</t>
    <phoneticPr fontId="5"/>
  </si>
  <si>
    <t>※（　）内の数値は，環境省が定める「ダイオキシン類対策特別措置法」に基づいた排出基準値です。</t>
    <phoneticPr fontId="5"/>
  </si>
  <si>
    <t>平成28年度(後期)　</t>
    <rPh sb="0" eb="2">
      <t>ヘイセイ</t>
    </rPh>
    <rPh sb="4" eb="6">
      <t>ネンド</t>
    </rPh>
    <rPh sb="7" eb="9">
      <t>コウキ</t>
    </rPh>
    <phoneticPr fontId="5"/>
  </si>
  <si>
    <t>11月9日</t>
    <phoneticPr fontId="5"/>
  </si>
  <si>
    <t>1月20日</t>
    <phoneticPr fontId="5"/>
  </si>
  <si>
    <t>3月24日</t>
    <phoneticPr fontId="5"/>
  </si>
  <si>
    <t>ダイオキシン類測定記録</t>
    <rPh sb="6" eb="7">
      <t>ルイ</t>
    </rPh>
    <rPh sb="7" eb="9">
      <t>ソクテイ</t>
    </rPh>
    <phoneticPr fontId="5"/>
  </si>
  <si>
    <t>排ガス･飛灰･焼却灰：7月26日測定、測定作業環境：7月26日､12月27日測定</t>
    <rPh sb="0" eb="1">
      <t>ハイ</t>
    </rPh>
    <rPh sb="4" eb="6">
      <t>ヒバイ</t>
    </rPh>
    <rPh sb="7" eb="9">
      <t>ショウキャク</t>
    </rPh>
    <rPh sb="9" eb="10">
      <t>ハイ</t>
    </rPh>
    <rPh sb="12" eb="13">
      <t>ガツ</t>
    </rPh>
    <rPh sb="15" eb="16">
      <t>ニチ</t>
    </rPh>
    <rPh sb="16" eb="18">
      <t>ソクテイ</t>
    </rPh>
    <rPh sb="19" eb="21">
      <t>ソクテイ</t>
    </rPh>
    <rPh sb="21" eb="23">
      <t>サギョウ</t>
    </rPh>
    <rPh sb="23" eb="25">
      <t>カンキョウ</t>
    </rPh>
    <rPh sb="27" eb="28">
      <t>ガツ</t>
    </rPh>
    <rPh sb="30" eb="31">
      <t>ニチ</t>
    </rPh>
    <rPh sb="34" eb="35">
      <t>ガツ</t>
    </rPh>
    <rPh sb="37" eb="38">
      <t>ニチ</t>
    </rPh>
    <rPh sb="38" eb="40">
      <t>ソクテイ</t>
    </rPh>
    <phoneticPr fontId="5"/>
  </si>
  <si>
    <t>排ガス：ng-TEQ/m3N</t>
    <phoneticPr fontId="5"/>
  </si>
  <si>
    <t>飛灰：ng-TEQ/g</t>
    <phoneticPr fontId="5"/>
  </si>
  <si>
    <t>焼却灰：ng-TEQ/g</t>
    <phoneticPr fontId="5"/>
  </si>
  <si>
    <t>0.3(2.5ng-TEQ/m3N)</t>
    <phoneticPr fontId="5"/>
  </si>
  <si>
    <t>0.056(2.5ng-TEQ/m3N)</t>
    <phoneticPr fontId="5"/>
  </si>
  <si>
    <t>　　平成２９年度（前期）気仙沼市ごみ焼却場　（クリーン･ヒル･センター）各種測定･検査結果</t>
    <phoneticPr fontId="5"/>
  </si>
  <si>
    <t>◆ばい煙濃度測定結果</t>
    <phoneticPr fontId="5"/>
  </si>
  <si>
    <t>焼却炉</t>
    <rPh sb="0" eb="2">
      <t>ショウキャク</t>
    </rPh>
    <rPh sb="2" eb="3">
      <t>ロ</t>
    </rPh>
    <phoneticPr fontId="5"/>
  </si>
  <si>
    <t>5月25日</t>
    <phoneticPr fontId="5"/>
  </si>
  <si>
    <t>7月25日</t>
    <phoneticPr fontId="5"/>
  </si>
  <si>
    <t>9月22日</t>
    <phoneticPr fontId="5"/>
  </si>
  <si>
    <t>硫黄酸化濃度(m3N/h)</t>
    <phoneticPr fontId="5"/>
  </si>
  <si>
    <t>窒素酸化物濃度(ppm)</t>
    <phoneticPr fontId="5"/>
  </si>
  <si>
    <t>塩化水素濃度(mg/m3N)</t>
  </si>
  <si>
    <t>◆焼却灰の放射性セシウム濃度測定結果　　単位:Bq/kg</t>
    <phoneticPr fontId="5"/>
  </si>
  <si>
    <t>測定項目</t>
    <phoneticPr fontId="5"/>
  </si>
  <si>
    <t>セシウム134+137</t>
    <phoneticPr fontId="5"/>
  </si>
  <si>
    <t>測定月日</t>
    <phoneticPr fontId="5"/>
  </si>
  <si>
    <t>4月28日</t>
    <phoneticPr fontId="5"/>
  </si>
  <si>
    <t>5月26日</t>
    <phoneticPr fontId="5"/>
  </si>
  <si>
    <t>6月27日</t>
    <phoneticPr fontId="5"/>
  </si>
  <si>
    <t>8月25日</t>
    <phoneticPr fontId="5"/>
  </si>
  <si>
    <t>9月25日</t>
    <phoneticPr fontId="5"/>
  </si>
  <si>
    <t>主灰</t>
  </si>
  <si>
    <t>飛灰</t>
  </si>
  <si>
    <t>混合灰</t>
  </si>
  <si>
    <t>※環境省が定める一般廃棄物の基準値:8,000Bq/kg</t>
    <phoneticPr fontId="5"/>
  </si>
  <si>
    <t>◆ダイオキシン類濃度測定結果</t>
    <phoneticPr fontId="5"/>
  </si>
  <si>
    <t>排ガス・飛灰・焼却灰：6月21日測定　　作業環境：6月29日測定</t>
    <rPh sb="0" eb="1">
      <t>ハイ</t>
    </rPh>
    <rPh sb="16" eb="18">
      <t>ソクテイ</t>
    </rPh>
    <rPh sb="22" eb="24">
      <t>カンキョウ</t>
    </rPh>
    <rPh sb="26" eb="27">
      <t>ガツ</t>
    </rPh>
    <rPh sb="29" eb="30">
      <t>ニチ</t>
    </rPh>
    <rPh sb="30" eb="32">
      <t>ソクテイ</t>
    </rPh>
    <phoneticPr fontId="5"/>
  </si>
  <si>
    <t>0.23(5.00)</t>
  </si>
  <si>
    <t>0.63(3.00)</t>
  </si>
  <si>
    <t>0.079(3.00)</t>
  </si>
  <si>
    <t>0.13(2.5ng-TEQ/m3N)</t>
    <phoneticPr fontId="5"/>
  </si>
  <si>
    <t>　平成２９年度(後期)気仙沼市ごみ焼却場(クリーン･ヒル･センター)各種測定･検査結果</t>
    <phoneticPr fontId="5"/>
  </si>
  <si>
    <t>11月16日</t>
    <phoneticPr fontId="5"/>
  </si>
  <si>
    <t>1月16日</t>
    <phoneticPr fontId="5"/>
  </si>
  <si>
    <t>3月15日</t>
    <phoneticPr fontId="5"/>
  </si>
  <si>
    <t>12月25日</t>
    <phoneticPr fontId="5"/>
  </si>
  <si>
    <t>&lt;0.0009</t>
  </si>
  <si>
    <t>※赤宇は検出下限値未満の値です。※排出基準値は，環境省が定める「大気汚染防止法」に基づいた値です。</t>
    <phoneticPr fontId="5"/>
  </si>
  <si>
    <t>◆焼却灰の放射性セシウム濃度測定結果　　単位：Ｂｑ／ｋｇ</t>
    <phoneticPr fontId="5"/>
  </si>
  <si>
    <t>10月30日</t>
    <phoneticPr fontId="5"/>
  </si>
  <si>
    <t>11月29日</t>
    <phoneticPr fontId="5"/>
  </si>
  <si>
    <t>12月20日</t>
    <phoneticPr fontId="5"/>
  </si>
  <si>
    <t>1月30日</t>
    <phoneticPr fontId="5"/>
  </si>
  <si>
    <t>2月13日</t>
    <phoneticPr fontId="5"/>
  </si>
  <si>
    <t>3月6日</t>
    <phoneticPr fontId="5"/>
  </si>
  <si>
    <t>不検出</t>
  </si>
  <si>
    <t>排ガス・飛灰・焼却灰：6月21日測定　　作業環境：1回目 6月29日測定､2回目　12月13日</t>
    <rPh sb="0" eb="1">
      <t>ハイ</t>
    </rPh>
    <rPh sb="16" eb="18">
      <t>ソクテイ</t>
    </rPh>
    <rPh sb="22" eb="24">
      <t>カンキョウ</t>
    </rPh>
    <rPh sb="26" eb="28">
      <t>カイメ</t>
    </rPh>
    <rPh sb="30" eb="31">
      <t>ガツ</t>
    </rPh>
    <rPh sb="33" eb="34">
      <t>ニチ</t>
    </rPh>
    <rPh sb="34" eb="36">
      <t>ソクテイ</t>
    </rPh>
    <rPh sb="38" eb="40">
      <t>カイメ</t>
    </rPh>
    <rPh sb="43" eb="44">
      <t>ガツ</t>
    </rPh>
    <rPh sb="46" eb="47">
      <t>ニチ</t>
    </rPh>
    <phoneticPr fontId="5"/>
  </si>
  <si>
    <t>作業環境(灰出し作業所)(2.5ng-TEQ/m3N)</t>
    <phoneticPr fontId="5"/>
  </si>
  <si>
    <t>1回目</t>
    <rPh sb="1" eb="3">
      <t>カイメ</t>
    </rPh>
    <phoneticPr fontId="5"/>
  </si>
  <si>
    <t>0.13(2.5)</t>
    <phoneticPr fontId="5"/>
  </si>
  <si>
    <t>2回目</t>
    <rPh sb="1" eb="3">
      <t>カイメ</t>
    </rPh>
    <phoneticPr fontId="5"/>
  </si>
  <si>
    <t>0.65(2.5)</t>
  </si>
  <si>
    <t>※（　）内の数値は，環境省が定める「ダイオキシン類対策特別措置法」に基づいた　排出基準値です。</t>
    <phoneticPr fontId="5"/>
  </si>
  <si>
    <t>　　平成３０年度(前期)気仙沼市ごみ焼却場　(クリーン･ヒル･センター)各種測定･検査結果</t>
    <phoneticPr fontId="5"/>
  </si>
  <si>
    <t>◆ばい煙濃度測定結果　</t>
    <phoneticPr fontId="5"/>
  </si>
  <si>
    <t>5月15日</t>
    <phoneticPr fontId="5"/>
  </si>
  <si>
    <t>7月10日</t>
    <phoneticPr fontId="5"/>
  </si>
  <si>
    <t>9月20日</t>
    <phoneticPr fontId="5"/>
  </si>
  <si>
    <t>5月15日</t>
  </si>
  <si>
    <t>7月10日</t>
  </si>
  <si>
    <t>9月20日</t>
  </si>
  <si>
    <t>4月18日</t>
    <phoneticPr fontId="5"/>
  </si>
  <si>
    <t>6月8日</t>
    <phoneticPr fontId="5"/>
  </si>
  <si>
    <t>7月20日</t>
    <phoneticPr fontId="5"/>
  </si>
  <si>
    <t>8月14日</t>
    <phoneticPr fontId="5"/>
  </si>
  <si>
    <t>※環境省が定める一般廃棄物の基準値:8,000Bq/kg◆</t>
    <phoneticPr fontId="5"/>
  </si>
  <si>
    <t>ダイオキシン類濃度測定結果</t>
    <phoneticPr fontId="5"/>
  </si>
  <si>
    <t>排ガス･飛灰･焼却灰:7月19日･20日測定作業環境:7月19日測定</t>
    <phoneticPr fontId="5"/>
  </si>
  <si>
    <t>0.28(5.00)</t>
    <phoneticPr fontId="5"/>
  </si>
  <si>
    <t>0.23(5.00)</t>
    <phoneticPr fontId="5"/>
  </si>
  <si>
    <t>0.69(3.00)</t>
  </si>
  <si>
    <t>0.12(3.00)</t>
  </si>
  <si>
    <t>0.36(2.5pg-TEQ/m3)</t>
    <phoneticPr fontId="5"/>
  </si>
  <si>
    <t>※（　）内の数値は，環境省が定める「ダイオキシン類対策特別楷置法」に基づいた　排出基準値です。</t>
    <phoneticPr fontId="5"/>
  </si>
  <si>
    <t>自家処理量
Y</t>
    <phoneticPr fontId="5"/>
  </si>
  <si>
    <t>集団回収量
E</t>
    <phoneticPr fontId="5"/>
  </si>
  <si>
    <t>直接焼却量
F</t>
    <phoneticPr fontId="5"/>
  </si>
  <si>
    <t>直接最終処分量
G</t>
    <phoneticPr fontId="5"/>
  </si>
  <si>
    <t>中間処理後再生利用量 J</t>
    <phoneticPr fontId="5"/>
  </si>
  <si>
    <r>
      <t xml:space="preserve">ごみ総排出量  </t>
    </r>
    <r>
      <rPr>
        <sz val="7"/>
        <rFont val="Meiryo UI"/>
        <family val="3"/>
        <charset val="128"/>
      </rPr>
      <t>C=D+直接搬入量+E</t>
    </r>
    <rPh sb="2" eb="3">
      <t>ソウ</t>
    </rPh>
    <rPh sb="3" eb="5">
      <t>ハイシュツ</t>
    </rPh>
    <rPh sb="5" eb="6">
      <t>リョウ</t>
    </rPh>
    <rPh sb="12" eb="14">
      <t>チョクセツ</t>
    </rPh>
    <rPh sb="14" eb="16">
      <t>ハンニュウ</t>
    </rPh>
    <rPh sb="16" eb="17">
      <t>リョウ</t>
    </rPh>
    <phoneticPr fontId="5"/>
  </si>
  <si>
    <t>自家処理量  Y</t>
    <phoneticPr fontId="5"/>
  </si>
  <si>
    <t>集団回収量  E</t>
    <phoneticPr fontId="5"/>
  </si>
  <si>
    <t>直接焼却量 F</t>
    <phoneticPr fontId="5"/>
  </si>
  <si>
    <t>直接最終処分量 G</t>
    <phoneticPr fontId="5"/>
  </si>
  <si>
    <t>平成01年度</t>
    <phoneticPr fontId="5"/>
  </si>
  <si>
    <t>平成09年度</t>
    <phoneticPr fontId="5"/>
  </si>
  <si>
    <t>平成24年度</t>
    <phoneticPr fontId="5"/>
  </si>
  <si>
    <t>平成25年度</t>
    <phoneticPr fontId="5"/>
  </si>
  <si>
    <t>h27</t>
  </si>
  <si>
    <t>h28</t>
  </si>
  <si>
    <t>平成２９年度(前期)気仙沼市一般廃棄物最終処分場各種測定･検査結果</t>
    <phoneticPr fontId="5"/>
  </si>
  <si>
    <t>◆放流水・地下水の放射性セシウム濃度測定結果</t>
  </si>
  <si>
    <t>●
4月20日</t>
  </si>
  <si>
    <t>I
134</t>
  </si>
  <si>
    <t>圖
不検出</t>
  </si>
  <si>
    <t>圖
不挨出</t>
  </si>
  <si>
    <t>ぺ
圖
1;･
不挨出</t>
  </si>
  <si>
    <t>聊</t>
  </si>
  <si>
    <t>リ
圃
e;･
不挨出</t>
  </si>
  <si>
    <t>I
不検出</t>
  </si>
  <si>
    <t>圃
不検出</t>
  </si>
  <si>
    <t xml:space="preserve">
5月11日</t>
  </si>
  <si>
    <t xml:space="preserve">
6月8日</t>
  </si>
  <si>
    <t xml:space="preserve">
7月13日</t>
  </si>
  <si>
    <t xml:space="preserve">
8月3日</t>
  </si>
  <si>
    <t xml:space="preserve">
9月14日</t>
  </si>
  <si>
    <t>※１　検出結果が検出下限値未満であった場合は，不検出と表示する。</t>
    <phoneticPr fontId="5"/>
  </si>
  <si>
    <t>※2　134‥･セシウム134，137‥･セシウム137，合計‥･セシウム134十セシウム137</t>
  </si>
  <si>
    <t>◆放流水･地下水のダイオキシン類濃度測定結果測定日:9月１３日</t>
    <phoneticPr fontId="5"/>
  </si>
  <si>
    <t>　　　　　　測定値　　　0.052　　　　0.40　　　　　　　0.071</t>
  </si>
  <si>
    <t>基準値</t>
  </si>
  <si>
    <t>lpg-TEO/L以下</t>
  </si>
  <si>
    <t>10pg-TEO/L以下</t>
  </si>
  <si>
    <t>※基準値は，環境省が定める「ダイオキシン類対策特別措置法」に基づく値です。</t>
  </si>
  <si>
    <t>平成２９年度(後期)気仙沼市一般廃棄物最終処分場各種測定･検査結果</t>
    <phoneticPr fontId="5"/>
  </si>
  <si>
    <t>●
10月12日</t>
  </si>
  <si>
    <t>Ｉ</t>
  </si>
  <si>
    <t>瞬</t>
  </si>
  <si>
    <t>・
不検出</t>
  </si>
  <si>
    <t xml:space="preserve">
11月9日</t>
  </si>
  <si>
    <t xml:space="preserve">
12月14日</t>
  </si>
  <si>
    <t xml:space="preserve">
１月11日</t>
  </si>
  <si>
    <t xml:space="preserve">
2月8日</t>
  </si>
  <si>
    <t xml:space="preserve">
3月１日</t>
  </si>
  <si>
    <t>※2　134･‥セシウム134，137･‥セシウム137，合計‥･セシウム134十セシウム137</t>
  </si>
  <si>
    <t>◆放流水･地下水のダイオキシン類濃度測定結果測定日:9月13日</t>
    <phoneticPr fontId="5"/>
  </si>
  <si>
    <t>測定値　　　0.052　　　　0.40　　　　　　　0.071</t>
    <phoneticPr fontId="5"/>
  </si>
  <si>
    <t>平成３０年度(前期)</t>
    <phoneticPr fontId="5"/>
  </si>
  <si>
    <t>気仙沼市一般廃棄物最終処分場各種測定･検査結果</t>
  </si>
  <si>
    <t>　　　◆放流水・地下水の放射性セシウム濃度測定結果</t>
  </si>
  <si>
    <t>■
4月19日</t>
  </si>
  <si>
    <t>㎜</t>
  </si>
  <si>
    <t>　　　　　　　　　　III　　Ψ　・　　　Z『
　　　　　　　　　　;･
不検出　　　　　　不検出</t>
  </si>
  <si>
    <t xml:space="preserve">
5月10日</t>
  </si>
  <si>
    <t xml:space="preserve">
6月14日</t>
  </si>
  <si>
    <t xml:space="preserve">
7月12日</t>
  </si>
  <si>
    <t xml:space="preserve">
8月16日</t>
  </si>
  <si>
    <t xml:space="preserve">
9月13日</t>
  </si>
  <si>
    <t>※１．検出結果が検出下限値未満であった場合は，不検出と表示する。</t>
    <phoneticPr fontId="5"/>
  </si>
  <si>
    <t>※2.134‥･セシウム134，137･‥セシウム137，合計‥･セシウム134十セシウム137</t>
  </si>
  <si>
    <t>◆放流水・地下水のダイオキシン類濃度測定結果測定日:7月１７日</t>
  </si>
  <si>
    <t>　　　　測定値　　0.0000045　　0.15　　　　　　　0.000028</t>
  </si>
  <si>
    <t>※基準値は，環境省が定める「ダイオキシン類対策特別措置法」に基づ＜値です。</t>
  </si>
  <si>
    <t>･W11■</t>
  </si>
  <si>
    <t>照1</t>
  </si>
  <si>
    <t>・一国Ｉ
曼出水|放流水</t>
  </si>
  <si>
    <t>嘔圖
浸出水|放流水</t>
  </si>
  <si>
    <t>9!119</t>
  </si>
  <si>
    <t>・i‐
漫出水I放流7k</t>
  </si>
  <si>
    <t>・
曼出冰</t>
  </si>
  <si>
    <t>‐
放流冰</t>
  </si>
  <si>
    <t xml:space="preserve">
基準値</t>
  </si>
  <si>
    <t>水素イオン濃度
　　（pH）</t>
  </si>
  <si>
    <t>　　｜
716 1 8.0</t>
  </si>
  <si>
    <t>7.51　7.9</t>
  </si>
  <si>
    <t>7.51　7.7</t>
  </si>
  <si>
    <t>　　｜
714 1 7.7</t>
  </si>
  <si>
    <t>7.41　7.6</t>
  </si>
  <si>
    <t xml:space="preserve">
5.8～8.6</t>
  </si>
  <si>
    <t>生物化学的酸素要求量
　　　　(BOD)</t>
  </si>
  <si>
    <t>4.61　&lt;0.5
　　1</t>
  </si>
  <si>
    <t>　　　｜
3.4 1　くO.5</t>
  </si>
  <si>
    <t>　　　｜
3.7 1　&lt;O.5</t>
  </si>
  <si>
    <t>5.91　1.3
　　1</t>
  </si>
  <si>
    <t>　　　｜
5.0 1　くO.5</t>
  </si>
  <si>
    <t xml:space="preserve">
&lt;0.5</t>
  </si>
  <si>
    <t>60mg/11</t>
  </si>
  <si>
    <t>化学的酸素要求量
　　　(COD)</t>
  </si>
  <si>
    <t>6.61　4.3</t>
  </si>
  <si>
    <t>　　｜
6.9　　4.0
　　1</t>
  </si>
  <si>
    <t>　　｜
6.6　　4.8
　　1</t>
  </si>
  <si>
    <t>7.11　4.7</t>
  </si>
  <si>
    <t>　　｜
6.1　　3.6
　　1</t>
  </si>
  <si>
    <t>90mg/11</t>
  </si>
  <si>
    <t>浮遊物質
　(SS)</t>
  </si>
  <si>
    <t>　　｜
114 1 &lt;0.5</t>
  </si>
  <si>
    <t>2.31　1.7</t>
  </si>
  <si>
    <t>2.81　0.6</t>
  </si>
  <si>
    <t>　　｜
416 1 0.8</t>
  </si>
  <si>
    <t>6.61　1.4</t>
  </si>
  <si>
    <t>大腸菌群数</t>
  </si>
  <si>
    <t>190 1　　0
　　1</t>
  </si>
  <si>
    <t xml:space="preserve">
200 1　　0</t>
  </si>
  <si>
    <t xml:space="preserve">
１３０ １　　０</t>
  </si>
  <si>
    <t>１１０ １ ３０
　　１</t>
  </si>
  <si>
    <t xml:space="preserve">
821　　0</t>
  </si>
  <si>
    <t>3,000個/c・</t>
  </si>
  <si>
    <t>窒素含有量</t>
  </si>
  <si>
    <t>12.0 1　12.0</t>
  </si>
  <si>
    <t>　　　｜
13.0　　12.0
　　　1</t>
  </si>
  <si>
    <t>12.0 1　11.0</t>
  </si>
  <si>
    <t>　　　｜
10.0　　9.5
　　　1</t>
  </si>
  <si>
    <t xml:space="preserve">
120mg/11</t>
  </si>
  <si>
    <t>唐桑最終処分場</t>
  </si>
  <si>
    <t>㎜W11■
　　試料名</t>
  </si>
  <si>
    <t>‐ー一ΞＩ
浸出水|放流水</t>
  </si>
  <si>
    <t>圖■‐
浸出水|放流水</t>
  </si>
  <si>
    <t>9!19</t>
  </si>
  <si>
    <t>●i一■
浸出水|放流水</t>
  </si>
  <si>
    <t>●
浸出水</t>
  </si>
  <si>
    <t>・
放流冰</t>
  </si>
  <si>
    <t xml:space="preserve">
6.6 1　8.2</t>
  </si>
  <si>
    <t>6.61　6.5
　　1</t>
  </si>
  <si>
    <t>6.61　6.8
　　1</t>
  </si>
  <si>
    <t xml:space="preserve">
6.7 1　6.5</t>
  </si>
  <si>
    <t>6.61　6.9
　　1</t>
  </si>
  <si>
    <t>　　｜
&lt;0.5　&lt;0.5
　　1</t>
  </si>
  <si>
    <t>&lt;0.51　&lt;0.5</t>
  </si>
  <si>
    <t xml:space="preserve">
60mg/11</t>
  </si>
  <si>
    <t>2.91　1.1</t>
  </si>
  <si>
    <t>　　｜
310 1 5.8</t>
  </si>
  <si>
    <t>　　｜
214 1 5.5</t>
  </si>
  <si>
    <t>2.41　3.8</t>
  </si>
  <si>
    <t>　　｜
310 1 4.5</t>
  </si>
  <si>
    <t xml:space="preserve">
3.6 1　0.8</t>
  </si>
  <si>
    <t>4.31　&lt;0.5
　　1</t>
  </si>
  <si>
    <t>1.61　&lt;0.5
　　1</t>
  </si>
  <si>
    <t xml:space="preserve">
&lt;O.51　&lt;O.5</t>
  </si>
  <si>
    <t>4.41　1.4
　　1</t>
  </si>
  <si>
    <t>　｜
０　　　０
　１</t>
  </si>
  <si>
    <t>Ｏ１　　０</t>
  </si>
  <si>
    <t>　｜
２　　　１
　１</t>
  </si>
  <si>
    <t>0.58 1　4.1</t>
  </si>
  <si>
    <t>　　　｜
O.78 1 7.2</t>
  </si>
  <si>
    <t>　　　｜
O.77 1 7.8</t>
  </si>
  <si>
    <t>0.63 1　4.8</t>
  </si>
  <si>
    <t>　　　｜
O.86 1 7.9</t>
  </si>
  <si>
    <t>120mg/11</t>
  </si>
  <si>
    <t>本吉最終処分場</t>
  </si>
  <si>
    <t>-W§1㎜
　　試料名</t>
  </si>
  <si>
    <t>・扁Ｉ
浸出水I放流水</t>
  </si>
  <si>
    <t>圖i一Ｉ
浸出水|放流水</t>
  </si>
  <si>
    <t>●嘔Ｉ
浸出水I放流水</t>
  </si>
  <si>
    <t>圖
放流水</t>
  </si>
  <si>
    <t>8.21　8.2</t>
  </si>
  <si>
    <t>　　｜
717 1 8.0</t>
  </si>
  <si>
    <t>　　｜
713 1 7.8</t>
  </si>
  <si>
    <t>7.51　8.0</t>
  </si>
  <si>
    <t>　　｜
716 1 7.8</t>
  </si>
  <si>
    <t>　　　｜
O.5 1 &lt;0.5</t>
  </si>
  <si>
    <t>&lt;0.51　&lt;0.5
　　1</t>
  </si>
  <si>
    <t>　　　｜
O.6 1 &lt;0.5</t>
  </si>
  <si>
    <t>3.81　3.3
　　1</t>
  </si>
  <si>
    <t xml:space="preserve">
4.0 1　3.1</t>
  </si>
  <si>
    <t xml:space="preserve">
4.0 1　3.0</t>
  </si>
  <si>
    <t>4.01　3.2
　1</t>
  </si>
  <si>
    <t xml:space="preserve">
3.6 1　3.0</t>
  </si>
  <si>
    <t>&lt;0.51　0.6</t>
  </si>
  <si>
    <t>　　｜
&lt;O.51　&lt;0.5</t>
  </si>
  <si>
    <t>　　｜
&lt;O.51　0.6</t>
  </si>
  <si>
    <t>&lt;0.51　0.8</t>
  </si>
  <si>
    <t>　　｜
114 1 2.4</t>
  </si>
  <si>
    <t>　　｜
301　　6</t>
  </si>
  <si>
    <t>４１　　１</t>
  </si>
  <si>
    <t>８１　　０</t>
  </si>
  <si>
    <t>　｜
２１　　５</t>
  </si>
  <si>
    <t>Ｏ１　　６</t>
  </si>
  <si>
    <t>2.41　2.0
　　1</t>
  </si>
  <si>
    <t xml:space="preserve">
3.1 1　1.8</t>
  </si>
  <si>
    <t xml:space="preserve">
3.8 1　5.0</t>
  </si>
  <si>
    <t>3.81　3.5
　　1</t>
  </si>
  <si>
    <t xml:space="preserve">
4.0 1　3.6</t>
  </si>
  <si>
    <t>※赤字は検出下限値未満の値です。</t>
    <phoneticPr fontId="5"/>
  </si>
  <si>
    <t>※基準値は,環境省の定める｢一般廃棄物の最終処分場及ぴ産業廃棄物の最終処分場に係る技術上</t>
  </si>
  <si>
    <t>　の基準を定める省令｣に基づいた値です。</t>
  </si>
  <si>
    <t>　平峰28年度（腱屠）気鯵沼φこ叢鰐棄狗髪終擢分摺醗厦劇厦症蛮
大曲最終処分場</t>
  </si>
  <si>
    <t>･Wil■</t>
  </si>
  <si>
    <t>■･誕!■
浸出水|放流水</t>
  </si>
  <si>
    <t>･ｰ臨■
浸出水|放流水</t>
  </si>
  <si>
    <t>一!119</t>
  </si>
  <si>
    <t>●一一Ｉ
溥出ﾌkl放流ﾌk</t>
  </si>
  <si>
    <t>‐
放流沖</t>
  </si>
  <si>
    <t xml:space="preserve">
7.61　7.7</t>
  </si>
  <si>
    <t>7.21　7.2
　1</t>
  </si>
  <si>
    <t>7.31　8.1
　　1</t>
  </si>
  <si>
    <t xml:space="preserve">
7.31　8.1</t>
  </si>
  <si>
    <t>7.11　8.1
　　1</t>
  </si>
  <si>
    <t>　　｜
6.0 1 0.5</t>
  </si>
  <si>
    <t>3.71　0.7
　1</t>
  </si>
  <si>
    <t>4.51　0.9
　1</t>
  </si>
  <si>
    <t>　　　｜
5.6 1 く0.5</t>
  </si>
  <si>
    <t>4.91　0.6
　1</t>
  </si>
  <si>
    <t xml:space="preserve">
く0.5</t>
  </si>
  <si>
    <t>60mg/12</t>
  </si>
  <si>
    <t>　　｜
7.8　　3.3
　　1</t>
  </si>
  <si>
    <t xml:space="preserve">
6.51　3.6</t>
  </si>
  <si>
    <t xml:space="preserve">
5.61　3.6</t>
  </si>
  <si>
    <t>　　｜
6.1　　3.1
　　1</t>
  </si>
  <si>
    <t xml:space="preserve">
6.01　4.1</t>
  </si>
  <si>
    <t>90mg/12</t>
  </si>
  <si>
    <t>12.01　3.6
　　1</t>
  </si>
  <si>
    <t>　　　｜
3.6 1 1.4</t>
  </si>
  <si>
    <t>　　　｜
4.4 1 4.0</t>
  </si>
  <si>
    <t>3.01　く0.5
　1</t>
  </si>
  <si>
    <t>　　　｜
2.3 1 1.3</t>
  </si>
  <si>
    <t xml:space="preserve">
60mg/12</t>
  </si>
  <si>
    <t xml:space="preserve">
１９０ １　　０</t>
  </si>
  <si>
    <t>　　｜
441　　0</t>
  </si>
  <si>
    <t>　　｜
１２０ １　　０</t>
  </si>
  <si>
    <t xml:space="preserve">
320 1　　0</t>
  </si>
  <si>
    <t>　　｜
250 1　　0</t>
  </si>
  <si>
    <t>　　　　｜
11.0 1　10.0</t>
  </si>
  <si>
    <t>14.0 1 12.0
　　1</t>
  </si>
  <si>
    <t>9.81　9.8
　1</t>
  </si>
  <si>
    <t>　　　　｜
10.0 1　9.3</t>
  </si>
  <si>
    <t>11.01　9.8
　　1</t>
  </si>
  <si>
    <t>120mg4</t>
  </si>
  <si>
    <t>-Wil㎜
　　試料名</t>
  </si>
  <si>
    <t>一一</t>
  </si>
  <si>
    <t>・il誕!■
浸出水|放流水</t>
  </si>
  <si>
    <t>･llli■
浸出水|放流水</t>
  </si>
  <si>
    <t>●一一■
浸出水|放流水</t>
  </si>
  <si>
    <t>●
放流水</t>
  </si>
  <si>
    <t xml:space="preserve">
6.71　7.3</t>
  </si>
  <si>
    <t>6.71　7.3
　1</t>
  </si>
  <si>
    <t>6.51　7.5
　1</t>
  </si>
  <si>
    <t xml:space="preserve">
6.71　6.5</t>
  </si>
  <si>
    <t>6.61　6.5
　1</t>
  </si>
  <si>
    <t>　　　｜
O.6 1 く0.5</t>
  </si>
  <si>
    <t>0.81　0.8
　1</t>
  </si>
  <si>
    <t>1.61　く0.5
　　1</t>
  </si>
  <si>
    <t>　　　｜
317 1 2.2</t>
  </si>
  <si>
    <t>60mg4</t>
  </si>
  <si>
    <t>2.11　1.9
　　1</t>
  </si>
  <si>
    <t xml:space="preserve">
2.01　2.0</t>
  </si>
  <si>
    <t xml:space="preserve">
3.71　2.7</t>
  </si>
  <si>
    <t>4.81　1.8
　1</t>
  </si>
  <si>
    <t xml:space="preserve">
2.31　5.4</t>
  </si>
  <si>
    <t>4.01　く0.5
　1</t>
  </si>
  <si>
    <t>　　　｜
6.3 1 く0.5</t>
  </si>
  <si>
    <t>　　　｜
3.7 1 く0.5</t>
  </si>
  <si>
    <t>4.81　2.6
　1</t>
  </si>
  <si>
    <t>　　　｜
2.3 1 く0.5</t>
  </si>
  <si>
    <t>　｜
Ｏ１　　０</t>
  </si>
  <si>
    <t>２１　　０</t>
  </si>
  <si>
    <t>　　　｜
1.1 1　2.5</t>
  </si>
  <si>
    <t>0.58 1 2.8
　　1</t>
  </si>
  <si>
    <t>1.21　1.9
　1</t>
  </si>
  <si>
    <t>　　　｜
2.2 1　13.0</t>
  </si>
  <si>
    <t>0.58 1 6.1
　　1</t>
  </si>
  <si>
    <t xml:space="preserve">
120mg/12</t>
  </si>
  <si>
    <t>　　jZ　　Z
99</t>
  </si>
  <si>
    <t>圖i凪!■
浸出水|放流水</t>
  </si>
  <si>
    <t>　　　　Z　jZ
919</t>
  </si>
  <si>
    <t>‐
放流水</t>
  </si>
  <si>
    <t xml:space="preserve">
8.01　7.9</t>
  </si>
  <si>
    <t>7.61　6.7
　1</t>
  </si>
  <si>
    <t>7.91　8.0
　1</t>
  </si>
  <si>
    <t xml:space="preserve">
8.01　8.2</t>
  </si>
  <si>
    <t>8.01　8.2
　1</t>
  </si>
  <si>
    <t>　　｜
2.3 1 1.9</t>
  </si>
  <si>
    <t>1.01　0.9
　1</t>
  </si>
  <si>
    <t>く0.51　く0.5
　　1</t>
  </si>
  <si>
    <t>く0.51　0.6
　　1</t>
  </si>
  <si>
    <t>4.21　3.4
　1</t>
  </si>
  <si>
    <t xml:space="preserve">
4.21　3.8</t>
  </si>
  <si>
    <t xml:space="preserve">
4.41　3.1</t>
  </si>
  <si>
    <t>4.41　4.0
　1</t>
  </si>
  <si>
    <t xml:space="preserve">
4.61　3.7</t>
  </si>
  <si>
    <t>1.41　く0.5
　1</t>
  </si>
  <si>
    <t>　　｜
1.7 1 く0.5</t>
  </si>
  <si>
    <t>　　｜
1.4 1 く0.5</t>
  </si>
  <si>
    <t>1.61　く0.5
　1</t>
  </si>
  <si>
    <t>　　　｜
くO.51　く0.5</t>
  </si>
  <si>
    <t xml:space="preserve">
１３ １　１２</t>
  </si>
  <si>
    <t>　｜
２１　　１</t>
  </si>
  <si>
    <t>　　｜
１５１　　２</t>
  </si>
  <si>
    <t xml:space="preserve">
451　　8</t>
  </si>
  <si>
    <t>　　｜
941　　0</t>
  </si>
  <si>
    <t>　　　｜
3.0 1　3.2</t>
  </si>
  <si>
    <t>2.31　2.4
　1</t>
  </si>
  <si>
    <t>2.91　2.7
　1</t>
  </si>
  <si>
    <t>　　　｜
2.6 1　2.7</t>
  </si>
  <si>
    <t>2.81　2.8
　1</t>
  </si>
  <si>
    <t>※赤宇は検出下限値未満の値です。</t>
    <phoneticPr fontId="5"/>
  </si>
  <si>
    <t>※基準値は,環境省の定める｢一般廃棄物の最終処分場及び産業廃棄物の最終処分場に係る技術上</t>
  </si>
  <si>
    <t>焼却量と残渣量を推定する」回帰式</t>
    <rPh sb="0" eb="3">
      <t>ショウキャクリョウ</t>
    </rPh>
    <rPh sb="4" eb="6">
      <t>ザンサ</t>
    </rPh>
    <rPh sb="6" eb="7">
      <t>リョウ</t>
    </rPh>
    <rPh sb="8" eb="10">
      <t>スイテイ</t>
    </rPh>
    <rPh sb="13" eb="15">
      <t>カイキ</t>
    </rPh>
    <rPh sb="15" eb="16">
      <t>シキ</t>
    </rPh>
    <phoneticPr fontId="5"/>
  </si>
  <si>
    <t>年度</t>
    <rPh sb="0" eb="2">
      <t>ネンド</t>
    </rPh>
    <phoneticPr fontId="5"/>
  </si>
  <si>
    <t>直接焼却量</t>
    <rPh sb="0" eb="2">
      <t>チョクセツ</t>
    </rPh>
    <phoneticPr fontId="5"/>
  </si>
  <si>
    <t>焼却量</t>
  </si>
  <si>
    <t>焼却残渣量</t>
    <rPh sb="0" eb="2">
      <t>ショウキャク</t>
    </rPh>
    <rPh sb="2" eb="4">
      <t>ザンサ</t>
    </rPh>
    <rPh sb="4" eb="5">
      <t>リョウ</t>
    </rPh>
    <phoneticPr fontId="5"/>
  </si>
  <si>
    <t>残渣率</t>
    <rPh sb="0" eb="2">
      <t>ザンサ</t>
    </rPh>
    <rPh sb="2" eb="3">
      <t>リツ</t>
    </rPh>
    <phoneticPr fontId="5"/>
  </si>
  <si>
    <t>H30</t>
  </si>
  <si>
    <t>平均</t>
    <rPh sb="0" eb="2">
      <t>ヘイキン</t>
    </rPh>
    <phoneticPr fontId="5"/>
  </si>
  <si>
    <t>H23</t>
    <phoneticPr fontId="5"/>
  </si>
  <si>
    <t>https://www.kesennuma.miyagi.jp/li/life/020/070/030/index.html</t>
    <phoneticPr fontId="2"/>
  </si>
  <si>
    <t>クリーン・ヒル・センター(気仙沼市ごみ焼却場)</t>
  </si>
  <si>
    <t>クリーン・ヒル・センター(気仙沼市ごみ焼却場)</t>
    <phoneticPr fontId="2"/>
  </si>
  <si>
    <t>混合灰</t>
    <rPh sb="0" eb="2">
      <t>コンゴウ</t>
    </rPh>
    <rPh sb="2" eb="3">
      <t>ハイ</t>
    </rPh>
    <phoneticPr fontId="5"/>
  </si>
  <si>
    <t>混合灰の量</t>
    <rPh sb="0" eb="2">
      <t>コンゴウ</t>
    </rPh>
    <rPh sb="2" eb="3">
      <t>バイ</t>
    </rPh>
    <rPh sb="4" eb="5">
      <t>リョウ</t>
    </rPh>
    <phoneticPr fontId="2"/>
  </si>
  <si>
    <t>Cs月間量MBq(混合灰)</t>
    <rPh sb="2" eb="4">
      <t>ゲッカン</t>
    </rPh>
    <rPh sb="4" eb="5">
      <t>リョウ</t>
    </rPh>
    <rPh sb="9" eb="11">
      <t>コンゴウ</t>
    </rPh>
    <rPh sb="11" eb="12">
      <t>ハイ</t>
    </rPh>
    <phoneticPr fontId="2"/>
  </si>
  <si>
    <t>：混合灰発生率</t>
    <rPh sb="1" eb="3">
      <t>コンゴウ</t>
    </rPh>
    <rPh sb="3" eb="4">
      <t>バイ</t>
    </rPh>
    <rPh sb="4" eb="6">
      <t>ハッセイ</t>
    </rPh>
    <rPh sb="6" eb="7">
      <t>リツ</t>
    </rPh>
    <phoneticPr fontId="2"/>
  </si>
  <si>
    <t>←石巻広域の回帰式：両Cs</t>
    <rPh sb="1" eb="3">
      <t>イシノマキ</t>
    </rPh>
    <rPh sb="3" eb="5">
      <t>コウイキ</t>
    </rPh>
    <rPh sb="6" eb="8">
      <t>カイキ</t>
    </rPh>
    <rPh sb="8" eb="9">
      <t>シキ</t>
    </rPh>
    <rPh sb="10" eb="11">
      <t>リョウ</t>
    </rPh>
    <phoneticPr fontId="2"/>
  </si>
  <si>
    <t>焼却量はシート”月値予測”の月毎割合を掛けた｡濃度は､石巻広域の実測値から求めた</t>
    <rPh sb="0" eb="2">
      <t>ショウキャク</t>
    </rPh>
    <rPh sb="2" eb="3">
      <t>リョウ</t>
    </rPh>
    <rPh sb="8" eb="9">
      <t>ツキ</t>
    </rPh>
    <rPh sb="9" eb="10">
      <t>チ</t>
    </rPh>
    <rPh sb="10" eb="12">
      <t>ヨソク</t>
    </rPh>
    <rPh sb="14" eb="16">
      <t>ツキゴト</t>
    </rPh>
    <rPh sb="16" eb="18">
      <t>ワリアイ</t>
    </rPh>
    <rPh sb="19" eb="20">
      <t>カ</t>
    </rPh>
    <rPh sb="23" eb="25">
      <t>ノウド</t>
    </rPh>
    <phoneticPr fontId="2"/>
  </si>
  <si>
    <t>回帰式を用い､h29.3以前のCs濃度を推算した</t>
    <rPh sb="0" eb="2">
      <t>カイキ</t>
    </rPh>
    <rPh sb="2" eb="3">
      <t>シキ</t>
    </rPh>
    <rPh sb="4" eb="5">
      <t>モチ</t>
    </rPh>
    <rPh sb="12" eb="14">
      <t>イゼン</t>
    </rPh>
    <rPh sb="17" eb="19">
      <t>ノウド</t>
    </rPh>
    <rPh sb="20" eb="22">
      <t>スイサン</t>
    </rPh>
    <phoneticPr fontId="2"/>
  </si>
  <si>
    <t>最終処分場での両Cs現存量(x0.1MBq)</t>
    <rPh sb="0" eb="2">
      <t>サイシュウ</t>
    </rPh>
    <rPh sb="2" eb="5">
      <t>ショブンジョウ</t>
    </rPh>
    <rPh sb="10" eb="12">
      <t>ゲンゾン</t>
    </rPh>
    <rPh sb="12" eb="13">
      <t>リョウ</t>
    </rPh>
    <phoneticPr fontId="2"/>
  </si>
  <si>
    <t>主灰飛灰混合灰中Cs集積量(x0.1MBq/月)</t>
    <rPh sb="0" eb="1">
      <t>シュ</t>
    </rPh>
    <rPh sb="1" eb="2">
      <t>ハイ</t>
    </rPh>
    <rPh sb="2" eb="4">
      <t>ヒバイ</t>
    </rPh>
    <rPh sb="4" eb="6">
      <t>コンゴウ</t>
    </rPh>
    <rPh sb="6" eb="7">
      <t>ハイ</t>
    </rPh>
    <rPh sb="7" eb="8">
      <t>チュウ</t>
    </rPh>
    <rPh sb="10" eb="12">
      <t>シュウセキ</t>
    </rPh>
    <rPh sb="12" eb="13">
      <t>リョウ</t>
    </rPh>
    <rPh sb="22" eb="23">
      <t>ツキ</t>
    </rPh>
    <phoneticPr fontId="2"/>
  </si>
  <si>
    <t>両Cs5000から理論減衰</t>
    <rPh sb="0" eb="1">
      <t>リョウ</t>
    </rPh>
    <rPh sb="9" eb="11">
      <t>リロン</t>
    </rPh>
    <rPh sb="11" eb="13">
      <t>ゲンスイ</t>
    </rPh>
    <phoneticPr fontId="2"/>
  </si>
  <si>
    <t>主灰</t>
    <rPh sb="0" eb="1">
      <t>シュ</t>
    </rPh>
    <rPh sb="1" eb="2">
      <t>バイ</t>
    </rPh>
    <phoneticPr fontId="1"/>
  </si>
  <si>
    <t>飛灰</t>
    <rPh sb="0" eb="1">
      <t>ヒ</t>
    </rPh>
    <phoneticPr fontId="1"/>
  </si>
  <si>
    <t>主灰+飛灰</t>
    <rPh sb="0" eb="1">
      <t>シュ</t>
    </rPh>
    <rPh sb="1" eb="2">
      <t>バイ</t>
    </rPh>
    <rPh sb="3" eb="4">
      <t>ヒ</t>
    </rPh>
    <phoneticPr fontId="1"/>
  </si>
  <si>
    <t>施設1</t>
    <rPh sb="0" eb="2">
      <t>シセツ</t>
    </rPh>
    <phoneticPr fontId="1"/>
  </si>
  <si>
    <t>施設2</t>
    <rPh sb="0" eb="2">
      <t>シセツ</t>
    </rPh>
    <phoneticPr fontId="1"/>
  </si>
  <si>
    <t>施設3</t>
    <rPh sb="0" eb="2">
      <t>シセツ</t>
    </rPh>
    <phoneticPr fontId="1"/>
  </si>
  <si>
    <t>t/月</t>
  </si>
  <si>
    <t>Cs-134</t>
  </si>
  <si>
    <t>Cs-137</t>
  </si>
  <si>
    <t>両Cs</t>
  </si>
  <si>
    <t>年月日</t>
  </si>
  <si>
    <t>階上+小泉+南三陸</t>
  </si>
  <si>
    <t>焼却量</t>
    <rPh sb="0" eb="2">
      <t>ショウキャク</t>
    </rPh>
    <rPh sb="2" eb="3">
      <t>リョウ</t>
    </rPh>
    <phoneticPr fontId="1"/>
  </si>
  <si>
    <t>x10t/月</t>
    <phoneticPr fontId="2"/>
  </si>
  <si>
    <t>震災瓦礫分除くと</t>
    <rPh sb="0" eb="2">
      <t>シンサイ</t>
    </rPh>
    <rPh sb="2" eb="4">
      <t>ガレキ</t>
    </rPh>
    <rPh sb="4" eb="5">
      <t>ブン</t>
    </rPh>
    <rPh sb="5" eb="6">
      <t>ノゾ</t>
    </rPh>
    <phoneticPr fontId="2"/>
  </si>
  <si>
    <t>←　震災瓦礫分を除くと(MBq)</t>
    <rPh sb="2" eb="4">
      <t>シンサイ</t>
    </rPh>
    <rPh sb="4" eb="6">
      <t>ガレキ</t>
    </rPh>
    <rPh sb="6" eb="7">
      <t>ブン</t>
    </rPh>
    <rPh sb="8" eb="9">
      <t>ノゾ</t>
    </rPh>
    <phoneticPr fontId="2"/>
  </si>
  <si>
    <t>(一般廃棄物と震災がれきの焼却に由来する分､直接埋立や瓦礫分別土砂などは含まない)</t>
    <rPh sb="1" eb="3">
      <t>イッパン</t>
    </rPh>
    <rPh sb="3" eb="6">
      <t>ハイキブツ</t>
    </rPh>
    <rPh sb="7" eb="9">
      <t>シンサイ</t>
    </rPh>
    <rPh sb="13" eb="15">
      <t>ショウキャク</t>
    </rPh>
    <rPh sb="16" eb="18">
      <t>ユライ</t>
    </rPh>
    <rPh sb="20" eb="21">
      <t>ブン</t>
    </rPh>
    <rPh sb="22" eb="24">
      <t>チョクセツ</t>
    </rPh>
    <rPh sb="24" eb="26">
      <t>ウメタテ</t>
    </rPh>
    <rPh sb="27" eb="29">
      <t>ガレキ</t>
    </rPh>
    <rPh sb="29" eb="31">
      <t>ブンベツ</t>
    </rPh>
    <rPh sb="31" eb="33">
      <t>ドシャ</t>
    </rPh>
    <rPh sb="36" eb="37">
      <t>フク</t>
    </rPh>
    <phoneticPr fontId="2"/>
  </si>
  <si>
    <t>：実測値</t>
    <rPh sb="1" eb="4">
      <t>ジッソクチ</t>
    </rPh>
    <phoneticPr fontId="10"/>
  </si>
  <si>
    <t>震災瓦礫焼却による両CsMBq</t>
    <rPh sb="0" eb="2">
      <t>シンサイ</t>
    </rPh>
    <rPh sb="2" eb="4">
      <t>ガレキ</t>
    </rPh>
    <rPh sb="4" eb="6">
      <t>ショウキャク</t>
    </rPh>
    <rPh sb="9" eb="10">
      <t>リョウ</t>
    </rPh>
    <phoneticPr fontId="2"/>
  </si>
  <si>
    <t>(階上+小泉+南三陸の3処理区合計)</t>
    <rPh sb="1" eb="3">
      <t>ハシカミ</t>
    </rPh>
    <rPh sb="4" eb="6">
      <t>コイズミ</t>
    </rPh>
    <rPh sb="7" eb="8">
      <t>ミナミ</t>
    </rPh>
    <rPh sb="8" eb="10">
      <t>サンリク</t>
    </rPh>
    <rPh sb="15" eb="17">
      <t>ゴウケイ</t>
    </rPh>
    <phoneticPr fontId="2"/>
  </si>
  <si>
    <t xml:space="preserve"> (Bq/kg)</t>
  </si>
  <si>
    <t>3処理区合計</t>
  </si>
  <si>
    <t>3処理区合計</t>
    <rPh sb="1" eb="3">
      <t>ショリ</t>
    </rPh>
    <rPh sb="3" eb="4">
      <t>ク</t>
    </rPh>
    <rPh sb="4" eb="6">
      <t>ゴウケイ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</si>
</sst>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0_ "/>
    <numFmt numFmtId="178" formatCode="[$-411]ge\.m"/>
    <numFmt numFmtId="179" formatCode="0.000"/>
    <numFmt numFmtId="180" formatCode="0.0"/>
    <numFmt numFmtId="181" formatCode="0.E+00"/>
    <numFmt numFmtId="182" formatCode="[$-411]ge"/>
    <numFmt numFmtId="183" formatCode="0.0000"/>
    <numFmt numFmtId="184" formatCode=".000"/>
  </numFmts>
  <fonts count="43" x14ac:knownFonts="1">
    <font>
      <sz val="11"/>
      <name val="ＭＳ Ｐゴシック"/>
      <family val="3"/>
      <charset val="128"/>
    </font>
    <font>
      <sz val="9"/>
      <color theme="1"/>
      <name val="Meiryo UI"/>
      <family val="2"/>
      <charset val="128"/>
    </font>
    <font>
      <sz val="10"/>
      <color indexed="40"/>
      <name val="ＭＳ ゴシック"/>
      <family val="3"/>
      <charset val="128"/>
    </font>
    <font>
      <sz val="9"/>
      <name val="Meiryo UI"/>
      <family val="3"/>
      <charset val="128"/>
    </font>
    <font>
      <sz val="9"/>
      <color indexed="40"/>
      <name val="Meiryo UI"/>
      <family val="3"/>
      <charset val="128"/>
    </font>
    <font>
      <sz val="6"/>
      <name val="ＭＳ Ｐゴシック"/>
      <family val="3"/>
      <charset val="128"/>
    </font>
    <font>
      <sz val="8"/>
      <name val="Meiryo UI"/>
      <family val="3"/>
      <charset val="128"/>
    </font>
    <font>
      <sz val="6"/>
      <name val="ＭＳ Ｐ明朝"/>
      <family val="1"/>
      <charset val="128"/>
    </font>
    <font>
      <sz val="7"/>
      <name val="Meiryo UI"/>
      <family val="3"/>
      <charset val="128"/>
    </font>
    <font>
      <sz val="9"/>
      <color theme="1"/>
      <name val="Meiryo UI"/>
      <family val="3"/>
      <charset val="128"/>
    </font>
    <font>
      <sz val="6"/>
      <name val="Meiryo UI"/>
      <family val="2"/>
      <charset val="128"/>
    </font>
    <font>
      <sz val="8"/>
      <color theme="1"/>
      <name val="Meiryo UI"/>
      <family val="3"/>
      <charset val="128"/>
    </font>
    <font>
      <sz val="9"/>
      <color rgb="FF333333"/>
      <name val="Meiryo UI"/>
      <family val="3"/>
      <charset val="128"/>
    </font>
    <font>
      <sz val="11"/>
      <color theme="1"/>
      <name val="Meiryo UI"/>
      <family val="3"/>
      <charset val="128"/>
    </font>
    <font>
      <sz val="11"/>
      <name val="Meiryo UI"/>
      <family val="3"/>
      <charset val="128"/>
    </font>
    <font>
      <sz val="7.5"/>
      <name val="Meiryo UI"/>
      <family val="3"/>
      <charset val="128"/>
    </font>
    <font>
      <u/>
      <sz val="9"/>
      <color theme="10"/>
      <name val="Meiryo UI"/>
      <family val="2"/>
      <charset val="128"/>
    </font>
    <font>
      <sz val="7"/>
      <name val="ＭＳ Ｐゴシック"/>
      <family val="3"/>
      <charset val="128"/>
    </font>
    <font>
      <sz val="6"/>
      <name val="Meiryo UI"/>
      <family val="3"/>
      <charset val="128"/>
    </font>
    <font>
      <sz val="8.5"/>
      <color theme="1"/>
      <name val="Meiryo UI"/>
      <family val="3"/>
      <charset val="128"/>
    </font>
    <font>
      <sz val="10"/>
      <name val="Meiryo UI"/>
      <family val="3"/>
      <charset val="128"/>
    </font>
    <font>
      <sz val="6.5"/>
      <name val="Meiryo UI"/>
      <family val="3"/>
      <charset val="128"/>
    </font>
    <font>
      <sz val="6.5"/>
      <name val="ＭＳ Ｐゴシック"/>
      <family val="3"/>
      <charset val="128"/>
    </font>
    <font>
      <sz val="7.5"/>
      <color theme="1"/>
      <name val="Meiryo UI"/>
      <family val="3"/>
      <charset val="128"/>
    </font>
    <font>
      <b/>
      <sz val="9"/>
      <color theme="9" tint="-0.249977111117893"/>
      <name val="Meiryo UI"/>
      <family val="3"/>
      <charset val="128"/>
    </font>
    <font>
      <sz val="7"/>
      <color theme="1"/>
      <name val="Meiryo UI"/>
      <family val="3"/>
      <charset val="128"/>
    </font>
    <font>
      <sz val="10"/>
      <color theme="1"/>
      <name val="Meiryo UI"/>
      <family val="3"/>
      <charset val="128"/>
    </font>
    <font>
      <sz val="6"/>
      <color theme="1"/>
      <name val="Meiryo UI"/>
      <family val="3"/>
      <charset val="128"/>
    </font>
    <font>
      <sz val="9"/>
      <color rgb="FF000000"/>
      <name val="Meiryo UI"/>
      <family val="3"/>
      <charset val="128"/>
    </font>
    <font>
      <sz val="7.5"/>
      <color rgb="FF333333"/>
      <name val="Meiryo UI"/>
      <family val="3"/>
      <charset val="128"/>
    </font>
    <font>
      <sz val="6"/>
      <name val="ＭＳ ゴシック"/>
      <family val="3"/>
      <charset val="128"/>
    </font>
    <font>
      <sz val="14"/>
      <name val="Meiryo UI"/>
      <family val="3"/>
      <charset val="128"/>
    </font>
    <font>
      <sz val="8.5"/>
      <name val="Meiryo UI"/>
      <family val="3"/>
      <charset val="128"/>
    </font>
    <font>
      <sz val="9"/>
      <name val="ＭＳ Ｐゴシック"/>
      <family val="3"/>
      <charset val="128"/>
    </font>
    <font>
      <sz val="11"/>
      <color rgb="FFFF0000"/>
      <name val="Meiryo UI"/>
      <family val="3"/>
      <charset val="128"/>
    </font>
    <font>
      <sz val="7.5"/>
      <name val="ＭＳ Ｐゴシック"/>
      <family val="3"/>
      <charset val="128"/>
    </font>
    <font>
      <sz val="11"/>
      <name val="ＭＳ Ｐゴシック"/>
      <family val="3"/>
      <charset val="128"/>
    </font>
    <font>
      <u/>
      <sz val="11"/>
      <color theme="10"/>
      <name val="Meiryo UI"/>
      <family val="2"/>
      <charset val="128"/>
    </font>
    <font>
      <u/>
      <sz val="11"/>
      <color theme="10"/>
      <name val="Meiryo UI"/>
      <family val="3"/>
      <charset val="128"/>
    </font>
    <font>
      <sz val="9"/>
      <color indexed="40"/>
      <name val="ＭＳ ゴシック"/>
      <family val="3"/>
      <charset val="128"/>
    </font>
    <font>
      <sz val="10"/>
      <name val="ＭＳ ゴシック"/>
      <family val="3"/>
      <charset val="128"/>
    </font>
    <font>
      <sz val="11"/>
      <name val="ＭＳ ゴシック"/>
      <family val="3"/>
      <charset val="128"/>
    </font>
    <font>
      <sz val="8"/>
      <name val="ＭＳ Ｐゴシック"/>
      <family val="3"/>
      <charset val="128"/>
    </font>
  </fonts>
  <fills count="13">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42"/>
        <bgColor indexed="64"/>
      </patternFill>
    </fill>
    <fill>
      <patternFill patternType="solid">
        <fgColor rgb="FFFFFFCC"/>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indexed="43"/>
        <bgColor indexed="64"/>
      </patternFill>
    </fill>
    <fill>
      <patternFill patternType="solid">
        <fgColor rgb="FFFFCCFF"/>
        <bgColor indexed="64"/>
      </patternFill>
    </fill>
    <fill>
      <patternFill patternType="solid">
        <fgColor theme="6" tint="0.59999389629810485"/>
        <bgColor indexed="64"/>
      </patternFill>
    </fill>
  </fills>
  <borders count="114">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indexed="8"/>
      </left>
      <right style="hair">
        <color indexed="8"/>
      </right>
      <top style="hair">
        <color indexed="8"/>
      </top>
      <bottom/>
      <diagonal/>
    </border>
    <border>
      <left style="hair">
        <color auto="1"/>
      </left>
      <right style="hair">
        <color auto="1"/>
      </right>
      <top style="hair">
        <color auto="1"/>
      </top>
      <bottom style="double">
        <color auto="1"/>
      </bottom>
      <diagonal/>
    </border>
    <border>
      <left style="hair">
        <color auto="1"/>
      </left>
      <right style="double">
        <color auto="1"/>
      </right>
      <top style="hair">
        <color auto="1"/>
      </top>
      <bottom/>
      <diagonal/>
    </border>
    <border>
      <left style="hair">
        <color auto="1"/>
      </left>
      <right style="double">
        <color auto="1"/>
      </right>
      <top/>
      <bottom/>
      <diagonal/>
    </border>
    <border>
      <left style="hair">
        <color auto="1"/>
      </left>
      <right style="double">
        <color auto="1"/>
      </right>
      <top/>
      <bottom style="hair">
        <color auto="1"/>
      </bottom>
      <diagonal/>
    </border>
    <border>
      <left style="hair">
        <color auto="1"/>
      </left>
      <right style="double">
        <color auto="1"/>
      </right>
      <top style="hair">
        <color auto="1"/>
      </top>
      <bottom style="hair">
        <color auto="1"/>
      </bottom>
      <diagonal/>
    </border>
    <border>
      <left/>
      <right style="double">
        <color auto="1"/>
      </right>
      <top/>
      <bottom style="hair">
        <color auto="1"/>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style="double">
        <color auto="1"/>
      </right>
      <top/>
      <bottom style="double">
        <color auto="1"/>
      </bottom>
      <diagonal/>
    </border>
    <border>
      <left/>
      <right/>
      <top/>
      <bottom style="hair">
        <color auto="1"/>
      </bottom>
      <diagonal/>
    </border>
    <border>
      <left/>
      <right style="thin">
        <color auto="1"/>
      </right>
      <top/>
      <bottom/>
      <diagonal/>
    </border>
    <border>
      <left style="hair">
        <color auto="1"/>
      </left>
      <right style="thin">
        <color auto="1"/>
      </right>
      <top style="hair">
        <color auto="1"/>
      </top>
      <bottom/>
      <diagonal/>
    </border>
    <border>
      <left/>
      <right style="hair">
        <color auto="1"/>
      </right>
      <top style="hair">
        <color auto="1"/>
      </top>
      <bottom/>
      <diagonal/>
    </border>
    <border>
      <left style="hair">
        <color auto="1"/>
      </left>
      <right/>
      <top style="hair">
        <color auto="1"/>
      </top>
      <bottom/>
      <diagonal/>
    </border>
    <border>
      <left/>
      <right/>
      <top style="hair">
        <color auto="1"/>
      </top>
      <bottom/>
      <diagonal/>
    </border>
    <border>
      <left style="hair">
        <color auto="1"/>
      </left>
      <right style="thin">
        <color auto="1"/>
      </right>
      <top/>
      <bottom/>
      <diagonal/>
    </border>
    <border>
      <left/>
      <right style="hair">
        <color auto="1"/>
      </right>
      <top/>
      <bottom/>
      <diagonal/>
    </border>
    <border>
      <left style="hair">
        <color auto="1"/>
      </left>
      <right/>
      <top/>
      <bottom/>
      <diagonal/>
    </border>
    <border>
      <left/>
      <right style="hair">
        <color auto="1"/>
      </right>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hair">
        <color indexed="8"/>
      </left>
      <right style="hair">
        <color indexed="8"/>
      </right>
      <top style="hair">
        <color indexed="8"/>
      </top>
      <bottom style="hair">
        <color indexed="8"/>
      </bottom>
      <diagonal/>
    </border>
    <border>
      <left style="hair">
        <color auto="1"/>
      </left>
      <right/>
      <top/>
      <bottom style="hair">
        <color auto="1"/>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right style="thin">
        <color indexed="9"/>
      </right>
      <top style="thin">
        <color indexed="9"/>
      </top>
      <bottom style="thin">
        <color indexed="9"/>
      </bottom>
      <diagonal/>
    </border>
    <border>
      <left style="hair">
        <color indexed="8"/>
      </left>
      <right/>
      <top style="hair">
        <color indexed="8"/>
      </top>
      <bottom/>
      <diagonal/>
    </border>
    <border>
      <left/>
      <right style="hair">
        <color indexed="8"/>
      </right>
      <top style="hair">
        <color indexed="8"/>
      </top>
      <bottom/>
      <diagonal/>
    </border>
    <border>
      <left/>
      <right/>
      <top style="hair">
        <color indexed="8"/>
      </top>
      <bottom/>
      <diagonal/>
    </border>
    <border>
      <left style="hair">
        <color indexed="8"/>
      </left>
      <right/>
      <top/>
      <bottom style="hair">
        <color indexed="8"/>
      </bottom>
      <diagonal/>
    </border>
    <border>
      <left/>
      <right style="hair">
        <color indexed="8"/>
      </right>
      <top/>
      <bottom style="hair">
        <color indexed="8"/>
      </bottom>
      <diagonal/>
    </border>
    <border>
      <left/>
      <right/>
      <top/>
      <bottom style="hair">
        <color indexed="8"/>
      </bottom>
      <diagonal/>
    </border>
    <border>
      <left style="thin">
        <color indexed="9"/>
      </left>
      <right/>
      <top style="thin">
        <color indexed="9"/>
      </top>
      <bottom/>
      <diagonal/>
    </border>
    <border>
      <left/>
      <right/>
      <top style="thin">
        <color indexed="9"/>
      </top>
      <bottom/>
      <diagonal/>
    </border>
    <border>
      <left/>
      <right style="thin">
        <color indexed="9"/>
      </right>
      <top style="thin">
        <color indexed="9"/>
      </top>
      <bottom/>
      <diagonal/>
    </border>
    <border>
      <left style="thin">
        <color indexed="41"/>
      </left>
      <right style="thin">
        <color indexed="8"/>
      </right>
      <top/>
      <bottom/>
      <diagonal/>
    </border>
    <border>
      <left style="thin">
        <color indexed="8"/>
      </left>
      <right/>
      <top/>
      <bottom style="thin">
        <color indexed="8"/>
      </bottom>
      <diagonal/>
    </border>
    <border>
      <left style="thin">
        <color indexed="41"/>
      </left>
      <right style="thin">
        <color indexed="8"/>
      </right>
      <top/>
      <bottom style="thin">
        <color indexed="8"/>
      </bottom>
      <diagonal/>
    </border>
    <border>
      <left style="thin">
        <color indexed="8"/>
      </left>
      <right style="thin">
        <color indexed="8"/>
      </right>
      <top/>
      <bottom style="thin">
        <color indexed="8"/>
      </bottom>
      <diagonal/>
    </border>
    <border>
      <left/>
      <right/>
      <top/>
      <bottom style="thin">
        <color indexed="8"/>
      </bottom>
      <diagonal/>
    </border>
    <border>
      <left style="thin">
        <color indexed="8"/>
      </left>
      <right style="thin">
        <color indexed="18"/>
      </right>
      <top/>
      <bottom style="thin">
        <color indexed="8"/>
      </bottom>
      <diagonal/>
    </border>
    <border>
      <left style="thin">
        <color indexed="18"/>
      </left>
      <right style="thin">
        <color indexed="49"/>
      </right>
      <top/>
      <bottom style="thin">
        <color indexed="8"/>
      </bottom>
      <diagonal/>
    </border>
    <border>
      <left style="thin">
        <color indexed="49"/>
      </left>
      <right/>
      <top/>
      <bottom style="thin">
        <color indexed="8"/>
      </bottom>
      <diagonal/>
    </border>
    <border>
      <left style="thin">
        <color indexed="8"/>
      </left>
      <right style="thin">
        <color indexed="41"/>
      </right>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top style="thin">
        <color indexed="8"/>
      </top>
      <bottom/>
      <diagonal/>
    </border>
    <border>
      <left/>
      <right style="thin">
        <color indexed="41"/>
      </right>
      <top/>
      <bottom style="thin">
        <color indexed="8"/>
      </bottom>
      <diagonal/>
    </border>
    <border>
      <left/>
      <right/>
      <top/>
      <bottom style="thin">
        <color indexed="9"/>
      </bottom>
      <diagonal/>
    </border>
    <border>
      <left/>
      <right style="thin">
        <color indexed="9"/>
      </right>
      <top/>
      <bottom style="thin">
        <color indexed="9"/>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9"/>
      </top>
      <bottom style="thin">
        <color indexed="9"/>
      </bottom>
      <diagonal/>
    </border>
    <border>
      <left style="thin">
        <color indexed="9"/>
      </left>
      <right/>
      <top style="thin">
        <color indexed="9"/>
      </top>
      <bottom style="thin">
        <color indexed="9"/>
      </bottom>
      <diagonal/>
    </border>
    <border>
      <left/>
      <right/>
      <top style="thin">
        <color indexed="9"/>
      </top>
      <bottom style="thin">
        <color indexed="9"/>
      </bottom>
      <diagonal/>
    </border>
    <border>
      <left style="thin">
        <color indexed="41"/>
      </left>
      <right/>
      <top/>
      <bottom/>
      <diagonal/>
    </border>
    <border>
      <left/>
      <right style="thin">
        <color indexed="8"/>
      </right>
      <top/>
      <bottom style="thin">
        <color indexed="8"/>
      </bottom>
      <diagonal/>
    </border>
    <border>
      <left style="thin">
        <color indexed="41"/>
      </left>
      <right/>
      <top/>
      <bottom style="thin">
        <color indexed="8"/>
      </bottom>
      <diagonal/>
    </border>
    <border>
      <left style="thin">
        <color indexed="8"/>
      </left>
      <right/>
      <top/>
      <bottom/>
      <diagonal/>
    </border>
    <border>
      <left/>
      <right style="thin">
        <color indexed="8"/>
      </right>
      <top style="thin">
        <color indexed="8"/>
      </top>
      <bottom/>
      <diagonal/>
    </border>
    <border>
      <left style="thin">
        <color indexed="9"/>
      </left>
      <right style="thin">
        <color indexed="8"/>
      </right>
      <top/>
      <bottom style="thin">
        <color indexed="9"/>
      </bottom>
      <diagonal/>
    </border>
    <border>
      <left style="thin">
        <color indexed="8"/>
      </left>
      <right style="thin">
        <color indexed="9"/>
      </right>
      <top/>
      <bottom style="thin">
        <color indexed="9"/>
      </bottom>
      <diagonal/>
    </border>
    <border>
      <left style="thin">
        <color indexed="9"/>
      </left>
      <right/>
      <top style="thin">
        <color indexed="9"/>
      </top>
      <bottom style="thin">
        <color indexed="40"/>
      </bottom>
      <diagonal/>
    </border>
    <border>
      <left/>
      <right/>
      <top style="thin">
        <color indexed="9"/>
      </top>
      <bottom style="thin">
        <color indexed="40"/>
      </bottom>
      <diagonal/>
    </border>
    <border>
      <left/>
      <right style="thin">
        <color indexed="9"/>
      </right>
      <top style="thin">
        <color indexed="9"/>
      </top>
      <bottom style="thin">
        <color indexed="40"/>
      </bottom>
      <diagonal/>
    </border>
    <border>
      <left style="thin">
        <color indexed="40"/>
      </left>
      <right style="thin">
        <color indexed="8"/>
      </right>
      <top style="thin">
        <color indexed="40"/>
      </top>
      <bottom style="thin">
        <color indexed="8"/>
      </bottom>
      <diagonal/>
    </border>
    <border>
      <left style="thin">
        <color indexed="8"/>
      </left>
      <right style="thin">
        <color indexed="8"/>
      </right>
      <top style="thin">
        <color indexed="43"/>
      </top>
      <bottom style="thin">
        <color indexed="8"/>
      </bottom>
      <diagonal/>
    </border>
    <border>
      <left style="thin">
        <color indexed="8"/>
      </left>
      <right style="thin">
        <color indexed="8"/>
      </right>
      <top style="thin">
        <color indexed="40"/>
      </top>
      <bottom style="thin">
        <color indexed="8"/>
      </bottom>
      <diagonal/>
    </border>
    <border>
      <left style="thin">
        <color indexed="8"/>
      </left>
      <right style="thin">
        <color indexed="40"/>
      </right>
      <top style="thin">
        <color indexed="40"/>
      </top>
      <bottom style="thin">
        <color indexed="8"/>
      </bottom>
      <diagonal/>
    </border>
    <border>
      <left style="thin">
        <color indexed="40"/>
      </left>
      <right style="thin">
        <color indexed="40"/>
      </right>
      <top style="thin">
        <color indexed="40"/>
      </top>
      <bottom style="thin">
        <color indexed="8"/>
      </bottom>
      <diagonal/>
    </border>
    <border>
      <left style="thin">
        <color indexed="40"/>
      </left>
      <right style="thin">
        <color indexed="8"/>
      </right>
      <top style="thin">
        <color indexed="8"/>
      </top>
      <bottom style="thin">
        <color indexed="8"/>
      </bottom>
      <diagonal/>
    </border>
    <border>
      <left style="thin">
        <color indexed="8"/>
      </left>
      <right style="thin">
        <color indexed="40"/>
      </right>
      <top style="thin">
        <color indexed="8"/>
      </top>
      <bottom style="thin">
        <color indexed="8"/>
      </bottom>
      <diagonal/>
    </border>
    <border>
      <left style="thin">
        <color indexed="9"/>
      </left>
      <right/>
      <top style="thin">
        <color indexed="8"/>
      </top>
      <bottom style="thin">
        <color indexed="40"/>
      </bottom>
      <diagonal/>
    </border>
    <border>
      <left/>
      <right/>
      <top style="thin">
        <color indexed="8"/>
      </top>
      <bottom style="thin">
        <color indexed="40"/>
      </bottom>
      <diagonal/>
    </border>
    <border>
      <left/>
      <right style="thin">
        <color indexed="9"/>
      </right>
      <top style="thin">
        <color indexed="8"/>
      </top>
      <bottom style="thin">
        <color indexed="40"/>
      </bottom>
      <diagonal/>
    </border>
    <border>
      <left style="thin">
        <color indexed="40"/>
      </left>
      <right style="thin">
        <color indexed="43"/>
      </right>
      <top style="thin">
        <color indexed="40"/>
      </top>
      <bottom style="thin">
        <color indexed="8"/>
      </bottom>
      <diagonal/>
    </border>
    <border>
      <left style="thin">
        <color indexed="43"/>
      </left>
      <right style="thin">
        <color indexed="8"/>
      </right>
      <top style="thin">
        <color indexed="8"/>
      </top>
      <bottom style="thin">
        <color indexed="8"/>
      </bottom>
      <diagonal/>
    </border>
    <border>
      <left style="thin">
        <color indexed="9"/>
      </left>
      <right/>
      <top style="thin">
        <color indexed="8"/>
      </top>
      <bottom style="thin">
        <color indexed="9"/>
      </bottom>
      <diagonal/>
    </border>
    <border>
      <left/>
      <right/>
      <top style="thin">
        <color indexed="8"/>
      </top>
      <bottom style="thin">
        <color indexed="9"/>
      </bottom>
      <diagonal/>
    </border>
    <border>
      <left/>
      <right style="thin">
        <color indexed="9"/>
      </right>
      <top style="thin">
        <color indexed="8"/>
      </top>
      <bottom style="thin">
        <color indexed="9"/>
      </bottom>
      <diagonal/>
    </border>
    <border>
      <left style="thin">
        <color indexed="9"/>
      </left>
      <right/>
      <top style="thin">
        <color indexed="9"/>
      </top>
      <bottom style="thin">
        <color indexed="41"/>
      </bottom>
      <diagonal/>
    </border>
    <border>
      <left/>
      <right/>
      <top style="thin">
        <color indexed="9"/>
      </top>
      <bottom style="thin">
        <color indexed="41"/>
      </bottom>
      <diagonal/>
    </border>
    <border>
      <left/>
      <right style="thin">
        <color indexed="9"/>
      </right>
      <top style="thin">
        <color indexed="9"/>
      </top>
      <bottom style="thin">
        <color indexed="41"/>
      </bottom>
      <diagonal/>
    </border>
    <border>
      <left style="thin">
        <color indexed="41"/>
      </left>
      <right style="thin">
        <color indexed="8"/>
      </right>
      <top style="thin">
        <color indexed="41"/>
      </top>
      <bottom style="thin">
        <color indexed="8"/>
      </bottom>
      <diagonal/>
    </border>
    <border>
      <left style="thin">
        <color indexed="8"/>
      </left>
      <right style="thin">
        <color indexed="8"/>
      </right>
      <top style="thin">
        <color indexed="41"/>
      </top>
      <bottom style="thin">
        <color indexed="8"/>
      </bottom>
      <diagonal/>
    </border>
    <border>
      <left style="thin">
        <color indexed="8"/>
      </left>
      <right style="thin">
        <color indexed="41"/>
      </right>
      <top style="thin">
        <color indexed="41"/>
      </top>
      <bottom style="thin">
        <color indexed="8"/>
      </bottom>
      <diagonal/>
    </border>
    <border>
      <left style="thin">
        <color indexed="41"/>
      </left>
      <right style="thin">
        <color indexed="41"/>
      </right>
      <top style="thin">
        <color indexed="41"/>
      </top>
      <bottom style="thin">
        <color indexed="8"/>
      </bottom>
      <diagonal/>
    </border>
    <border>
      <left style="thin">
        <color indexed="41"/>
      </left>
      <right style="thin">
        <color indexed="8"/>
      </right>
      <top style="thin">
        <color indexed="8"/>
      </top>
      <bottom style="thin">
        <color indexed="8"/>
      </bottom>
      <diagonal/>
    </border>
    <border>
      <left style="thin">
        <color indexed="8"/>
      </left>
      <right style="thin">
        <color indexed="49"/>
      </right>
      <top style="thin">
        <color indexed="8"/>
      </top>
      <bottom style="thin">
        <color indexed="8"/>
      </bottom>
      <diagonal/>
    </border>
    <border>
      <left style="thin">
        <color indexed="49"/>
      </left>
      <right style="thin">
        <color indexed="8"/>
      </right>
      <top style="thin">
        <color indexed="8"/>
      </top>
      <bottom style="thin">
        <color indexed="8"/>
      </bottom>
      <diagonal/>
    </border>
    <border>
      <left style="thin">
        <color indexed="9"/>
      </left>
      <right/>
      <top style="thin">
        <color indexed="8"/>
      </top>
      <bottom style="thin">
        <color indexed="41"/>
      </bottom>
      <diagonal/>
    </border>
    <border>
      <left/>
      <right/>
      <top style="thin">
        <color indexed="8"/>
      </top>
      <bottom style="thin">
        <color indexed="41"/>
      </bottom>
      <diagonal/>
    </border>
    <border>
      <left/>
      <right style="thin">
        <color indexed="9"/>
      </right>
      <top style="thin">
        <color indexed="8"/>
      </top>
      <bottom style="thin">
        <color indexed="41"/>
      </bottom>
      <diagonal/>
    </border>
    <border>
      <left style="thin">
        <color indexed="55"/>
      </left>
      <right style="thin">
        <color indexed="8"/>
      </right>
      <top style="thin">
        <color indexed="41"/>
      </top>
      <bottom style="thin">
        <color indexed="8"/>
      </bottom>
      <diagonal/>
    </border>
    <border>
      <left/>
      <right style="thin">
        <color auto="1"/>
      </right>
      <top style="hair">
        <color auto="1"/>
      </top>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style="hair">
        <color indexed="64"/>
      </left>
      <right style="hair">
        <color indexed="64"/>
      </right>
      <top/>
      <bottom style="hair">
        <color indexed="64"/>
      </bottom>
      <diagonal/>
    </border>
    <border>
      <left style="hair">
        <color auto="1"/>
      </left>
      <right/>
      <top/>
      <bottom style="hair">
        <color auto="1"/>
      </bottom>
      <diagonal/>
    </border>
    <border>
      <left/>
      <right style="thin">
        <color auto="1"/>
      </right>
      <top style="hair">
        <color auto="1"/>
      </top>
      <bottom style="hair">
        <color auto="1"/>
      </bottom>
      <diagonal/>
    </border>
  </borders>
  <cellStyleXfs count="6">
    <xf numFmtId="0" fontId="0" fillId="0" borderId="0">
      <alignment vertical="center"/>
    </xf>
    <xf numFmtId="0" fontId="16" fillId="0" borderId="0" applyNumberFormat="0" applyFill="0" applyBorder="0" applyAlignment="0" applyProtection="0">
      <alignment vertical="center"/>
    </xf>
    <xf numFmtId="0" fontId="1" fillId="0" borderId="0">
      <alignment vertical="center"/>
    </xf>
    <xf numFmtId="38" fontId="36" fillId="0" borderId="0" applyFont="0" applyFill="0" applyBorder="0" applyAlignment="0" applyProtection="0">
      <alignment vertical="center"/>
    </xf>
    <xf numFmtId="0" fontId="40" fillId="0" borderId="0"/>
    <xf numFmtId="0" fontId="41" fillId="0" borderId="0"/>
  </cellStyleXfs>
  <cellXfs count="612">
    <xf numFmtId="0" fontId="0" fillId="0" borderId="0" xfId="0">
      <alignment vertical="center"/>
    </xf>
    <xf numFmtId="0" fontId="3" fillId="0" borderId="0" xfId="0" applyFont="1" applyAlignment="1">
      <alignment vertical="center"/>
    </xf>
    <xf numFmtId="0" fontId="3" fillId="0" borderId="0" xfId="0" applyFont="1" applyFill="1" applyBorder="1" applyAlignment="1">
      <alignment vertical="center"/>
    </xf>
    <xf numFmtId="0" fontId="3" fillId="0" borderId="0" xfId="0" applyFont="1" applyFill="1" applyAlignment="1">
      <alignment vertical="center"/>
    </xf>
    <xf numFmtId="2" fontId="3" fillId="0" borderId="0" xfId="0" applyNumberFormat="1" applyFont="1" applyFill="1" applyBorder="1" applyAlignment="1">
      <alignment vertical="center"/>
    </xf>
    <xf numFmtId="0" fontId="3" fillId="0" borderId="0" xfId="0" applyNumberFormat="1" applyFont="1" applyFill="1" applyBorder="1" applyAlignment="1">
      <alignment vertical="center"/>
    </xf>
    <xf numFmtId="0" fontId="3" fillId="0" borderId="0" xfId="0" applyNumberFormat="1" applyFont="1" applyFill="1" applyBorder="1" applyAlignment="1">
      <alignment vertical="center" shrinkToFit="1"/>
    </xf>
    <xf numFmtId="176" fontId="3" fillId="0" borderId="0" xfId="0" applyNumberFormat="1" applyFont="1" applyFill="1" applyBorder="1" applyAlignment="1">
      <alignment vertical="center"/>
    </xf>
    <xf numFmtId="2" fontId="3" fillId="0" borderId="0" xfId="0" applyNumberFormat="1" applyFont="1" applyFill="1" applyBorder="1" applyAlignment="1">
      <alignment vertical="center" shrinkToFit="1"/>
    </xf>
    <xf numFmtId="176" fontId="3" fillId="0" borderId="0" xfId="0" applyNumberFormat="1" applyFont="1" applyFill="1" applyBorder="1" applyAlignment="1">
      <alignment vertical="center" shrinkToFit="1"/>
    </xf>
    <xf numFmtId="0" fontId="3" fillId="0" borderId="1" xfId="0" applyFont="1" applyFill="1" applyBorder="1" applyAlignment="1">
      <alignment vertical="center"/>
    </xf>
    <xf numFmtId="0" fontId="3" fillId="0" borderId="0" xfId="0" applyFont="1" applyFill="1" applyBorder="1" applyAlignment="1">
      <alignment horizontal="center" vertical="center"/>
    </xf>
    <xf numFmtId="57" fontId="3" fillId="0" borderId="0" xfId="0" applyNumberFormat="1" applyFont="1" applyFill="1" applyBorder="1" applyAlignment="1">
      <alignment vertical="center" shrinkToFit="1"/>
    </xf>
    <xf numFmtId="177" fontId="3" fillId="0" borderId="0" xfId="0" applyNumberFormat="1" applyFont="1" applyFill="1" applyBorder="1" applyAlignment="1">
      <alignment vertical="center"/>
    </xf>
    <xf numFmtId="0" fontId="3" fillId="2" borderId="1" xfId="0" applyFont="1" applyFill="1" applyBorder="1" applyAlignment="1">
      <alignment vertical="center"/>
    </xf>
    <xf numFmtId="57" fontId="3" fillId="4" borderId="1" xfId="0" applyNumberFormat="1" applyFont="1" applyFill="1" applyBorder="1" applyAlignment="1">
      <alignment vertical="center" shrinkToFit="1"/>
    </xf>
    <xf numFmtId="57" fontId="3" fillId="4" borderId="2" xfId="0" applyNumberFormat="1" applyFont="1" applyFill="1" applyBorder="1" applyAlignment="1">
      <alignment horizontal="left" vertical="center" indent="1"/>
    </xf>
    <xf numFmtId="0" fontId="3" fillId="4" borderId="3" xfId="0" applyFont="1" applyFill="1" applyBorder="1" applyAlignment="1">
      <alignment horizontal="left" vertical="center" indent="1"/>
    </xf>
    <xf numFmtId="0" fontId="3" fillId="4" borderId="4" xfId="0" applyFont="1" applyFill="1" applyBorder="1" applyAlignment="1">
      <alignment horizontal="left" vertical="center" indent="1"/>
    </xf>
    <xf numFmtId="57" fontId="6" fillId="4" borderId="1" xfId="0" applyNumberFormat="1" applyFont="1" applyFill="1" applyBorder="1" applyAlignment="1">
      <alignment vertical="center"/>
    </xf>
    <xf numFmtId="0" fontId="3" fillId="0" borderId="1" xfId="0" applyFont="1" applyFill="1" applyBorder="1" applyAlignment="1">
      <alignment horizontal="center" vertical="center"/>
    </xf>
    <xf numFmtId="0" fontId="3" fillId="0" borderId="1" xfId="0" applyFont="1" applyBorder="1" applyAlignment="1">
      <alignment horizontal="center"/>
    </xf>
    <xf numFmtId="0" fontId="3" fillId="0" borderId="1" xfId="0" applyFont="1" applyBorder="1" applyAlignment="1"/>
    <xf numFmtId="0" fontId="3" fillId="0" borderId="0" xfId="0" applyFont="1" applyAlignment="1"/>
    <xf numFmtId="0" fontId="3" fillId="0" borderId="1" xfId="0" applyFont="1" applyBorder="1" applyAlignment="1">
      <alignment vertical="center"/>
    </xf>
    <xf numFmtId="0" fontId="3" fillId="0" borderId="1" xfId="0" applyFont="1" applyBorder="1" applyAlignment="1">
      <alignment horizontal="center" vertical="center"/>
    </xf>
    <xf numFmtId="1" fontId="3" fillId="0" borderId="1" xfId="0" applyNumberFormat="1" applyFont="1" applyBorder="1" applyAlignment="1">
      <alignment vertical="center" shrinkToFit="1"/>
    </xf>
    <xf numFmtId="0" fontId="3" fillId="0" borderId="1" xfId="0" applyFont="1" applyBorder="1" applyAlignment="1">
      <alignment vertical="center" shrinkToFit="1"/>
    </xf>
    <xf numFmtId="0" fontId="9" fillId="0" borderId="1" xfId="0" applyFont="1" applyFill="1" applyBorder="1" applyAlignment="1">
      <alignment vertical="center"/>
    </xf>
    <xf numFmtId="0" fontId="9" fillId="0" borderId="0" xfId="0" applyFont="1" applyFill="1" applyBorder="1" applyAlignment="1">
      <alignment vertical="center"/>
    </xf>
    <xf numFmtId="1" fontId="4" fillId="0" borderId="1" xfId="0" applyNumberFormat="1" applyFont="1" applyFill="1" applyBorder="1" applyAlignment="1">
      <alignment vertical="center" shrinkToFit="1"/>
    </xf>
    <xf numFmtId="1" fontId="3" fillId="0" borderId="1" xfId="0" applyNumberFormat="1" applyFont="1" applyFill="1" applyBorder="1" applyAlignment="1">
      <alignment vertical="center" shrinkToFit="1"/>
    </xf>
    <xf numFmtId="0" fontId="12" fillId="0" borderId="2" xfId="0" applyFont="1" applyFill="1" applyBorder="1" applyAlignment="1">
      <alignment vertical="center"/>
    </xf>
    <xf numFmtId="0" fontId="9" fillId="0" borderId="7" xfId="0" applyFont="1" applyFill="1" applyBorder="1" applyAlignment="1">
      <alignment vertical="center"/>
    </xf>
    <xf numFmtId="178" fontId="3" fillId="0" borderId="1" xfId="0" applyNumberFormat="1" applyFont="1" applyFill="1" applyBorder="1" applyAlignment="1">
      <alignment vertical="center" shrinkToFit="1"/>
    </xf>
    <xf numFmtId="176" fontId="3" fillId="0" borderId="8" xfId="0" applyNumberFormat="1" applyFont="1" applyFill="1" applyBorder="1" applyAlignment="1">
      <alignment vertical="center"/>
    </xf>
    <xf numFmtId="0" fontId="3" fillId="0" borderId="1" xfId="0" applyFont="1" applyFill="1" applyBorder="1" applyAlignment="1">
      <alignment vertical="center" shrinkToFit="1"/>
    </xf>
    <xf numFmtId="1" fontId="9" fillId="0" borderId="1" xfId="0" applyNumberFormat="1" applyFont="1" applyFill="1" applyBorder="1" applyAlignment="1">
      <alignment vertical="center" shrinkToFit="1"/>
    </xf>
    <xf numFmtId="57" fontId="12" fillId="0" borderId="0" xfId="0" applyNumberFormat="1" applyFont="1" applyFill="1" applyBorder="1" applyAlignment="1">
      <alignment vertical="center"/>
    </xf>
    <xf numFmtId="0" fontId="12" fillId="0" borderId="0" xfId="0" applyFont="1" applyFill="1" applyBorder="1" applyAlignment="1">
      <alignment vertical="center"/>
    </xf>
    <xf numFmtId="1" fontId="9" fillId="2" borderId="1" xfId="0" applyNumberFormat="1" applyFont="1" applyFill="1" applyBorder="1" applyAlignment="1">
      <alignment vertical="center" shrinkToFit="1"/>
    </xf>
    <xf numFmtId="179" fontId="9" fillId="2" borderId="1" xfId="0" applyNumberFormat="1" applyFont="1" applyFill="1" applyBorder="1" applyAlignment="1">
      <alignment vertical="center" shrinkToFit="1"/>
    </xf>
    <xf numFmtId="0" fontId="9" fillId="0" borderId="0" xfId="0" applyFont="1" applyFill="1" applyBorder="1" applyAlignment="1">
      <alignment horizontal="center" vertical="center"/>
    </xf>
    <xf numFmtId="0" fontId="9" fillId="0" borderId="1" xfId="0" applyFont="1" applyFill="1" applyBorder="1" applyAlignment="1">
      <alignment horizontal="center" vertical="center"/>
    </xf>
    <xf numFmtId="0" fontId="12" fillId="0" borderId="1" xfId="0" applyFont="1" applyFill="1" applyBorder="1" applyAlignment="1">
      <alignment vertical="center"/>
    </xf>
    <xf numFmtId="176" fontId="3" fillId="0" borderId="1" xfId="0" applyNumberFormat="1" applyFont="1" applyFill="1" applyBorder="1" applyAlignment="1">
      <alignment vertical="center"/>
    </xf>
    <xf numFmtId="0" fontId="13" fillId="0" borderId="0" xfId="0" applyFont="1" applyFill="1" applyBorder="1" applyAlignment="1">
      <alignment vertical="center"/>
    </xf>
    <xf numFmtId="0" fontId="9" fillId="0" borderId="7" xfId="0" applyFont="1" applyFill="1" applyBorder="1" applyAlignment="1">
      <alignment horizontal="center" vertical="center"/>
    </xf>
    <xf numFmtId="0" fontId="9" fillId="0" borderId="9" xfId="0" applyFont="1" applyFill="1" applyBorder="1" applyAlignment="1">
      <alignment horizontal="center" vertical="center"/>
    </xf>
    <xf numFmtId="0" fontId="9" fillId="0" borderId="9" xfId="0" applyFont="1" applyFill="1" applyBorder="1" applyAlignment="1">
      <alignment vertical="center"/>
    </xf>
    <xf numFmtId="179" fontId="9" fillId="2" borderId="9" xfId="0" applyNumberFormat="1" applyFont="1" applyFill="1" applyBorder="1" applyAlignment="1">
      <alignment vertical="center" shrinkToFit="1"/>
    </xf>
    <xf numFmtId="0" fontId="3" fillId="0" borderId="9" xfId="0" applyFont="1" applyFill="1" applyBorder="1" applyAlignment="1">
      <alignment vertical="center"/>
    </xf>
    <xf numFmtId="1" fontId="3" fillId="2" borderId="1" xfId="0" applyNumberFormat="1" applyFont="1" applyFill="1" applyBorder="1" applyAlignment="1">
      <alignment vertical="center" shrinkToFit="1"/>
    </xf>
    <xf numFmtId="0" fontId="14" fillId="0" borderId="0" xfId="0" applyFont="1">
      <alignment vertical="center"/>
    </xf>
    <xf numFmtId="0" fontId="11" fillId="0" borderId="0" xfId="0" applyFont="1" applyBorder="1" applyAlignment="1">
      <alignment horizontal="left" vertical="center" indent="1"/>
    </xf>
    <xf numFmtId="0" fontId="3" fillId="0" borderId="2" xfId="0" applyFont="1" applyFill="1" applyBorder="1" applyAlignment="1">
      <alignment vertical="center"/>
    </xf>
    <xf numFmtId="0" fontId="3" fillId="2" borderId="2" xfId="0" applyFont="1" applyFill="1" applyBorder="1" applyAlignment="1">
      <alignment vertical="center"/>
    </xf>
    <xf numFmtId="178" fontId="3" fillId="4" borderId="1" xfId="0" applyNumberFormat="1" applyFont="1" applyFill="1" applyBorder="1" applyAlignment="1">
      <alignment vertical="center" shrinkToFit="1"/>
    </xf>
    <xf numFmtId="0" fontId="5" fillId="2" borderId="7" xfId="0" applyFont="1" applyFill="1" applyBorder="1" applyAlignment="1">
      <alignment horizontal="center" vertical="center" wrapText="1"/>
    </xf>
    <xf numFmtId="0" fontId="3" fillId="0" borderId="4" xfId="0" applyFont="1" applyFill="1" applyBorder="1" applyAlignment="1">
      <alignment vertical="center"/>
    </xf>
    <xf numFmtId="0" fontId="5" fillId="2" borderId="12" xfId="0" applyFont="1" applyFill="1" applyBorder="1" applyAlignment="1">
      <alignment horizontal="center" vertical="center" wrapText="1"/>
    </xf>
    <xf numFmtId="1" fontId="3" fillId="2" borderId="13" xfId="0" applyNumberFormat="1" applyFont="1" applyFill="1" applyBorder="1" applyAlignment="1">
      <alignment vertical="center" shrinkToFit="1"/>
    </xf>
    <xf numFmtId="0" fontId="3" fillId="0" borderId="14" xfId="0" applyFont="1" applyFill="1" applyBorder="1" applyAlignment="1">
      <alignment vertical="center"/>
    </xf>
    <xf numFmtId="0" fontId="20" fillId="0" borderId="0" xfId="0" applyFont="1" applyFill="1" applyBorder="1" applyAlignment="1">
      <alignment vertical="center"/>
    </xf>
    <xf numFmtId="0" fontId="8" fillId="0" borderId="0" xfId="0" applyFont="1" applyFill="1" applyBorder="1" applyAlignment="1">
      <alignment horizontal="right" vertical="center"/>
    </xf>
    <xf numFmtId="0" fontId="8" fillId="0" borderId="0" xfId="0" applyFont="1" applyFill="1" applyBorder="1" applyAlignment="1">
      <alignment vertical="center"/>
    </xf>
    <xf numFmtId="1" fontId="3" fillId="3" borderId="1" xfId="0" applyNumberFormat="1" applyFont="1" applyFill="1" applyBorder="1" applyAlignment="1">
      <alignment vertical="center" shrinkToFit="1"/>
    </xf>
    <xf numFmtId="1" fontId="3" fillId="7" borderId="1" xfId="0" applyNumberFormat="1" applyFont="1" applyFill="1" applyBorder="1" applyAlignment="1">
      <alignment vertical="center" shrinkToFit="1"/>
    </xf>
    <xf numFmtId="0" fontId="9" fillId="0" borderId="0" xfId="0" applyFont="1" applyFill="1" applyBorder="1" applyAlignment="1">
      <alignment horizontal="center" vertical="top" wrapText="1"/>
    </xf>
    <xf numFmtId="0" fontId="3" fillId="0" borderId="0" xfId="0" applyFont="1" applyFill="1" applyAlignment="1">
      <alignment horizontal="center" vertical="top" wrapText="1"/>
    </xf>
    <xf numFmtId="0" fontId="23" fillId="0" borderId="0" xfId="0" applyFont="1" applyFill="1" applyBorder="1" applyAlignment="1">
      <alignment horizontal="center" vertical="top" wrapText="1"/>
    </xf>
    <xf numFmtId="0" fontId="15" fillId="0" borderId="0" xfId="0" applyFont="1" applyFill="1" applyBorder="1" applyAlignment="1">
      <alignment horizontal="center" vertical="top" wrapText="1"/>
    </xf>
    <xf numFmtId="0" fontId="15" fillId="0" borderId="0" xfId="0" applyFont="1" applyFill="1" applyAlignment="1">
      <alignment horizontal="center" vertical="top" wrapText="1"/>
    </xf>
    <xf numFmtId="0" fontId="6" fillId="0" borderId="1" xfId="0" applyNumberFormat="1" applyFont="1" applyFill="1" applyBorder="1" applyAlignment="1">
      <alignment vertical="center"/>
    </xf>
    <xf numFmtId="0" fontId="6" fillId="0" borderId="0" xfId="0" applyFont="1" applyAlignment="1"/>
    <xf numFmtId="2" fontId="3" fillId="0" borderId="1" xfId="0" applyNumberFormat="1" applyFont="1" applyFill="1" applyBorder="1" applyAlignment="1">
      <alignment vertical="center" shrinkToFit="1"/>
    </xf>
    <xf numFmtId="2" fontId="3" fillId="2" borderId="1" xfId="0" applyNumberFormat="1" applyFont="1" applyFill="1" applyBorder="1" applyAlignment="1">
      <alignment vertical="center" shrinkToFit="1"/>
    </xf>
    <xf numFmtId="57" fontId="3" fillId="0" borderId="4" xfId="0" applyNumberFormat="1" applyFont="1" applyFill="1" applyBorder="1" applyAlignment="1">
      <alignment vertical="center" shrinkToFit="1"/>
    </xf>
    <xf numFmtId="0" fontId="3" fillId="2" borderId="4" xfId="0" applyFont="1" applyFill="1" applyBorder="1" applyAlignment="1">
      <alignment vertical="center"/>
    </xf>
    <xf numFmtId="57" fontId="3" fillId="0" borderId="0" xfId="0" applyNumberFormat="1" applyFont="1" applyFill="1" applyBorder="1" applyAlignment="1">
      <alignment vertical="center"/>
    </xf>
    <xf numFmtId="0" fontId="15" fillId="0" borderId="0" xfId="0" applyFont="1" applyFill="1" applyBorder="1" applyAlignment="1">
      <alignment horizontal="left" vertical="center"/>
    </xf>
    <xf numFmtId="0" fontId="9" fillId="0" borderId="0" xfId="2" applyFont="1" applyBorder="1" applyAlignment="1">
      <alignment vertical="center"/>
    </xf>
    <xf numFmtId="0" fontId="1" fillId="0" borderId="0" xfId="2">
      <alignment vertical="center"/>
    </xf>
    <xf numFmtId="0" fontId="11" fillId="0" borderId="0" xfId="2" applyFont="1" applyBorder="1" applyAlignment="1">
      <alignment vertical="center"/>
    </xf>
    <xf numFmtId="0" fontId="11" fillId="0" borderId="0" xfId="2" applyFont="1" applyFill="1" applyBorder="1" applyAlignment="1">
      <alignment vertical="center"/>
    </xf>
    <xf numFmtId="0" fontId="1" fillId="0" borderId="0" xfId="2" applyBorder="1">
      <alignment vertical="center"/>
    </xf>
    <xf numFmtId="0" fontId="9" fillId="0" borderId="0" xfId="2" quotePrefix="1" applyFont="1" applyFill="1" applyBorder="1" applyAlignment="1">
      <alignment vertical="center"/>
    </xf>
    <xf numFmtId="0" fontId="9" fillId="0" borderId="0" xfId="2" applyFont="1" applyBorder="1">
      <alignment vertical="center"/>
    </xf>
    <xf numFmtId="0" fontId="24" fillId="0" borderId="0" xfId="2" applyFont="1" applyFill="1" applyBorder="1" applyAlignment="1">
      <alignment vertical="center"/>
    </xf>
    <xf numFmtId="0" fontId="1" fillId="0" borderId="0" xfId="2" applyFill="1" applyBorder="1" applyAlignment="1">
      <alignment horizontal="distributed" vertical="center"/>
    </xf>
    <xf numFmtId="0" fontId="9" fillId="0" borderId="0" xfId="2" applyFont="1" applyFill="1" applyBorder="1" applyAlignment="1">
      <alignment horizontal="right" vertical="center"/>
    </xf>
    <xf numFmtId="0" fontId="9" fillId="0" borderId="0" xfId="2" applyFont="1" applyFill="1" applyBorder="1" applyAlignment="1">
      <alignment vertical="center"/>
    </xf>
    <xf numFmtId="0" fontId="9" fillId="0" borderId="0" xfId="2" applyFont="1" applyBorder="1" applyAlignment="1">
      <alignment horizontal="center" vertical="center"/>
    </xf>
    <xf numFmtId="0" fontId="1" fillId="0" borderId="0" xfId="2" applyBorder="1" applyAlignment="1">
      <alignment horizontal="distributed" vertical="center"/>
    </xf>
    <xf numFmtId="57" fontId="19" fillId="0" borderId="0" xfId="2" applyNumberFormat="1" applyFont="1" applyBorder="1" applyAlignment="1">
      <alignment horizontal="left" vertical="center" indent="1"/>
    </xf>
    <xf numFmtId="0" fontId="19" fillId="0" borderId="0" xfId="2" applyFont="1" applyFill="1" applyBorder="1" applyAlignment="1">
      <alignment vertical="center"/>
    </xf>
    <xf numFmtId="0" fontId="1" fillId="0" borderId="0" xfId="2" applyBorder="1" applyAlignment="1">
      <alignment horizontal="center" vertical="center"/>
    </xf>
    <xf numFmtId="0" fontId="19" fillId="0" borderId="0" xfId="2" applyFont="1" applyBorder="1" applyAlignment="1">
      <alignment vertical="center"/>
    </xf>
    <xf numFmtId="0" fontId="1" fillId="0" borderId="0" xfId="2" applyFont="1" applyBorder="1" applyAlignment="1">
      <alignment vertical="center"/>
    </xf>
    <xf numFmtId="179" fontId="9" fillId="0" borderId="0" xfId="2" applyNumberFormat="1" applyFont="1" applyBorder="1" applyAlignment="1">
      <alignment vertical="center" shrinkToFit="1"/>
    </xf>
    <xf numFmtId="2" fontId="9" fillId="0" borderId="0" xfId="2" applyNumberFormat="1" applyFont="1" applyBorder="1" applyAlignment="1">
      <alignment vertical="center" shrinkToFit="1"/>
    </xf>
    <xf numFmtId="180" fontId="9" fillId="2" borderId="1" xfId="2" applyNumberFormat="1" applyFont="1" applyFill="1" applyBorder="1" applyAlignment="1">
      <alignment horizontal="center" shrinkToFit="1"/>
    </xf>
    <xf numFmtId="0" fontId="11" fillId="0" borderId="20" xfId="2" applyFont="1" applyBorder="1" applyAlignment="1">
      <alignment horizontal="right" vertical="center"/>
    </xf>
    <xf numFmtId="0" fontId="11" fillId="0" borderId="0" xfId="2" applyFont="1" applyBorder="1" applyAlignment="1">
      <alignment horizontal="right" vertical="center"/>
    </xf>
    <xf numFmtId="179" fontId="1" fillId="0" borderId="19" xfId="2" applyNumberFormat="1" applyBorder="1" applyAlignment="1">
      <alignment vertical="center" shrinkToFit="1"/>
    </xf>
    <xf numFmtId="179" fontId="9" fillId="0" borderId="19" xfId="2" applyNumberFormat="1" applyFont="1" applyBorder="1" applyAlignment="1">
      <alignment vertical="center" shrinkToFit="1"/>
    </xf>
    <xf numFmtId="2" fontId="9" fillId="0" borderId="19" xfId="2" applyNumberFormat="1" applyFont="1" applyBorder="1" applyAlignment="1">
      <alignment vertical="center" shrinkToFit="1"/>
    </xf>
    <xf numFmtId="0" fontId="25" fillId="0" borderId="19" xfId="2" applyFont="1" applyBorder="1" applyAlignment="1">
      <alignment vertical="center"/>
    </xf>
    <xf numFmtId="0" fontId="19" fillId="0" borderId="22" xfId="2" applyFont="1" applyFill="1" applyBorder="1" applyAlignment="1">
      <alignment horizontal="center" vertical="center" wrapText="1"/>
    </xf>
    <xf numFmtId="0" fontId="19" fillId="0" borderId="26" xfId="2" applyFont="1" applyFill="1" applyBorder="1" applyAlignment="1">
      <alignment horizontal="center" vertical="center" wrapText="1"/>
    </xf>
    <xf numFmtId="0" fontId="19" fillId="0" borderId="28" xfId="2" applyFont="1" applyFill="1" applyBorder="1" applyAlignment="1">
      <alignment horizontal="center" vertical="center" wrapText="1"/>
    </xf>
    <xf numFmtId="0" fontId="1" fillId="0" borderId="6" xfId="2" applyBorder="1" applyAlignment="1">
      <alignment horizontal="center" vertical="center"/>
    </xf>
    <xf numFmtId="1" fontId="1" fillId="0" borderId="6" xfId="2" applyNumberFormat="1" applyBorder="1" applyAlignment="1">
      <alignment horizontal="center" vertical="center"/>
    </xf>
    <xf numFmtId="0" fontId="1" fillId="0" borderId="1" xfId="2" applyBorder="1">
      <alignment vertical="center"/>
    </xf>
    <xf numFmtId="0" fontId="1" fillId="0" borderId="30" xfId="2" applyBorder="1">
      <alignment vertical="center"/>
    </xf>
    <xf numFmtId="0" fontId="1" fillId="0" borderId="26" xfId="2" applyBorder="1" applyAlignment="1">
      <alignment horizontal="center" vertical="center"/>
    </xf>
    <xf numFmtId="0" fontId="11" fillId="0" borderId="6" xfId="2" applyFont="1" applyFill="1" applyBorder="1" applyAlignment="1">
      <alignment horizontal="center" vertical="center" shrinkToFit="1"/>
    </xf>
    <xf numFmtId="0" fontId="11" fillId="0" borderId="25" xfId="2" applyFont="1" applyFill="1" applyBorder="1" applyAlignment="1">
      <alignment horizontal="center" vertical="center" shrinkToFit="1"/>
    </xf>
    <xf numFmtId="0" fontId="11" fillId="0" borderId="26" xfId="2" applyFont="1" applyFill="1" applyBorder="1" applyAlignment="1">
      <alignment horizontal="center" vertical="center" shrinkToFit="1"/>
    </xf>
    <xf numFmtId="0" fontId="9" fillId="0" borderId="6" xfId="2" applyFont="1" applyBorder="1" applyAlignment="1">
      <alignment horizontal="center" vertical="center" shrinkToFit="1"/>
    </xf>
    <xf numFmtId="0" fontId="1" fillId="0" borderId="6" xfId="2" applyBorder="1">
      <alignment vertical="center"/>
    </xf>
    <xf numFmtId="0" fontId="1" fillId="0" borderId="25" xfId="2" applyBorder="1">
      <alignment vertical="center"/>
    </xf>
    <xf numFmtId="0" fontId="9" fillId="0" borderId="26" xfId="2" applyFont="1" applyBorder="1" applyAlignment="1">
      <alignment horizontal="center" vertical="center" shrinkToFit="1"/>
    </xf>
    <xf numFmtId="2" fontId="1" fillId="0" borderId="1" xfId="2" applyNumberFormat="1" applyBorder="1" applyAlignment="1">
      <alignment vertical="center" shrinkToFit="1"/>
    </xf>
    <xf numFmtId="2" fontId="1" fillId="0" borderId="30" xfId="2" applyNumberFormat="1" applyBorder="1" applyAlignment="1">
      <alignment vertical="center" shrinkToFit="1"/>
    </xf>
    <xf numFmtId="0" fontId="1" fillId="0" borderId="4" xfId="2" applyBorder="1">
      <alignment vertical="center"/>
    </xf>
    <xf numFmtId="0" fontId="11" fillId="0" borderId="6" xfId="2" applyFont="1" applyBorder="1" applyAlignment="1">
      <alignment horizontal="center" vertical="center" shrinkToFit="1"/>
    </xf>
    <xf numFmtId="0" fontId="1" fillId="0" borderId="7" xfId="2" applyBorder="1" applyAlignment="1">
      <alignment horizontal="center" vertical="center"/>
    </xf>
    <xf numFmtId="1" fontId="1" fillId="0" borderId="7" xfId="2" applyNumberFormat="1" applyBorder="1" applyAlignment="1">
      <alignment horizontal="center" vertical="center"/>
    </xf>
    <xf numFmtId="0" fontId="1" fillId="0" borderId="28" xfId="2" applyBorder="1" applyAlignment="1">
      <alignment horizontal="center" vertical="center"/>
    </xf>
    <xf numFmtId="0" fontId="11" fillId="0" borderId="7" xfId="2" applyFont="1" applyFill="1" applyBorder="1" applyAlignment="1">
      <alignment horizontal="center" vertical="center" shrinkToFit="1"/>
    </xf>
    <xf numFmtId="0" fontId="11" fillId="0" borderId="29" xfId="2" applyFont="1" applyFill="1" applyBorder="1" applyAlignment="1">
      <alignment horizontal="center" vertical="center" shrinkToFit="1"/>
    </xf>
    <xf numFmtId="0" fontId="11" fillId="0" borderId="28" xfId="2" applyFont="1" applyFill="1" applyBorder="1" applyAlignment="1">
      <alignment horizontal="center" vertical="center" shrinkToFit="1"/>
    </xf>
    <xf numFmtId="0" fontId="11" fillId="0" borderId="7" xfId="2" applyFont="1" applyFill="1" applyBorder="1" applyAlignment="1">
      <alignment vertical="center"/>
    </xf>
    <xf numFmtId="0" fontId="1" fillId="0" borderId="7" xfId="2" applyBorder="1">
      <alignment vertical="center"/>
    </xf>
    <xf numFmtId="0" fontId="11" fillId="0" borderId="29" xfId="2" applyFont="1" applyFill="1" applyBorder="1" applyAlignment="1">
      <alignment vertical="center"/>
    </xf>
    <xf numFmtId="0" fontId="1" fillId="0" borderId="28" xfId="2" applyFill="1" applyBorder="1" applyAlignment="1">
      <alignment horizontal="distributed" vertical="center"/>
    </xf>
    <xf numFmtId="0" fontId="1" fillId="0" borderId="7" xfId="2" applyFill="1" applyBorder="1" applyAlignment="1">
      <alignment horizontal="distributed" vertical="center"/>
    </xf>
    <xf numFmtId="0" fontId="1" fillId="4" borderId="1" xfId="2" applyFill="1" applyBorder="1" applyAlignment="1">
      <alignment vertical="center" shrinkToFit="1"/>
    </xf>
    <xf numFmtId="0" fontId="1" fillId="4" borderId="4" xfId="2" applyFill="1" applyBorder="1" applyAlignment="1">
      <alignment vertical="center" shrinkToFit="1"/>
    </xf>
    <xf numFmtId="0" fontId="9" fillId="0" borderId="7" xfId="2" applyFont="1" applyBorder="1" applyAlignment="1">
      <alignment horizontal="center" vertical="center" shrinkToFit="1"/>
    </xf>
    <xf numFmtId="0" fontId="11" fillId="0" borderId="7" xfId="2" applyFont="1" applyBorder="1" applyAlignment="1">
      <alignment horizontal="center" vertical="center" shrinkToFit="1"/>
    </xf>
    <xf numFmtId="0" fontId="9" fillId="6" borderId="1" xfId="2" applyFont="1" applyFill="1" applyBorder="1" applyAlignment="1">
      <alignment vertical="center" shrinkToFit="1"/>
    </xf>
    <xf numFmtId="57" fontId="9" fillId="6" borderId="1" xfId="2" applyNumberFormat="1" applyFont="1" applyFill="1" applyBorder="1" applyAlignment="1">
      <alignment vertical="center" shrinkToFit="1"/>
    </xf>
    <xf numFmtId="1" fontId="9" fillId="6" borderId="1" xfId="2" applyNumberFormat="1" applyFont="1" applyFill="1" applyBorder="1" applyAlignment="1">
      <alignment vertical="center" shrinkToFit="1"/>
    </xf>
    <xf numFmtId="0" fontId="1" fillId="0" borderId="1" xfId="2" applyBorder="1" applyAlignment="1">
      <alignment vertical="center" shrinkToFit="1"/>
    </xf>
    <xf numFmtId="0" fontId="1" fillId="0" borderId="30" xfId="2" applyBorder="1" applyAlignment="1">
      <alignment vertical="center" shrinkToFit="1"/>
    </xf>
    <xf numFmtId="57" fontId="9" fillId="6" borderId="4" xfId="2" applyNumberFormat="1" applyFont="1" applyFill="1" applyBorder="1" applyAlignment="1">
      <alignment vertical="center" shrinkToFit="1"/>
    </xf>
    <xf numFmtId="0" fontId="9" fillId="6" borderId="30" xfId="2" applyFont="1" applyFill="1" applyBorder="1" applyAlignment="1">
      <alignment vertical="center" shrinkToFit="1"/>
    </xf>
    <xf numFmtId="0" fontId="9" fillId="6" borderId="28" xfId="2" applyFont="1" applyFill="1" applyBorder="1" applyAlignment="1">
      <alignment vertical="center" shrinkToFit="1"/>
    </xf>
    <xf numFmtId="0" fontId="9" fillId="6" borderId="7" xfId="2" applyFont="1" applyFill="1" applyBorder="1" applyAlignment="1">
      <alignment vertical="center" shrinkToFit="1"/>
    </xf>
    <xf numFmtId="0" fontId="1" fillId="0" borderId="0" xfId="2" applyAlignment="1">
      <alignment vertical="center" shrinkToFit="1"/>
    </xf>
    <xf numFmtId="1" fontId="9" fillId="2" borderId="1" xfId="2" applyNumberFormat="1" applyFont="1" applyFill="1" applyBorder="1" applyAlignment="1">
      <alignment vertical="center" shrinkToFit="1"/>
    </xf>
    <xf numFmtId="179" fontId="9" fillId="6" borderId="1" xfId="2" applyNumberFormat="1" applyFont="1" applyFill="1" applyBorder="1" applyAlignment="1">
      <alignment vertical="center" shrinkToFit="1"/>
    </xf>
    <xf numFmtId="2" fontId="9" fillId="6" borderId="30" xfId="2" applyNumberFormat="1" applyFont="1" applyFill="1" applyBorder="1" applyAlignment="1">
      <alignment vertical="center" shrinkToFit="1"/>
    </xf>
    <xf numFmtId="1" fontId="9" fillId="2" borderId="4" xfId="2" applyNumberFormat="1" applyFont="1" applyFill="1" applyBorder="1" applyAlignment="1">
      <alignment vertical="center" shrinkToFit="1"/>
    </xf>
    <xf numFmtId="2" fontId="9" fillId="6" borderId="1" xfId="2" applyNumberFormat="1" applyFont="1" applyFill="1" applyBorder="1" applyAlignment="1">
      <alignment vertical="center" shrinkToFit="1"/>
    </xf>
    <xf numFmtId="1" fontId="9" fillId="6" borderId="7" xfId="2" applyNumberFormat="1" applyFont="1" applyFill="1" applyBorder="1" applyAlignment="1">
      <alignment vertical="center" shrinkToFit="1"/>
    </xf>
    <xf numFmtId="0" fontId="9" fillId="0" borderId="1" xfId="2" applyFont="1" applyBorder="1" applyAlignment="1">
      <alignment vertical="center" shrinkToFit="1"/>
    </xf>
    <xf numFmtId="57" fontId="9" fillId="0" borderId="1" xfId="2" applyNumberFormat="1" applyFont="1" applyBorder="1" applyAlignment="1">
      <alignment vertical="center" shrinkToFit="1"/>
    </xf>
    <xf numFmtId="1" fontId="9" fillId="0" borderId="1" xfId="2" applyNumberFormat="1" applyFont="1" applyBorder="1" applyAlignment="1">
      <alignment vertical="center" shrinkToFit="1"/>
    </xf>
    <xf numFmtId="1" fontId="1" fillId="2" borderId="1" xfId="2" applyNumberFormat="1" applyFill="1" applyBorder="1" applyAlignment="1">
      <alignment vertical="center" shrinkToFit="1"/>
    </xf>
    <xf numFmtId="1" fontId="1" fillId="2" borderId="30" xfId="2" applyNumberFormat="1" applyFill="1" applyBorder="1" applyAlignment="1">
      <alignment vertical="center" shrinkToFit="1"/>
    </xf>
    <xf numFmtId="57" fontId="9" fillId="0" borderId="4" xfId="2" applyNumberFormat="1" applyFont="1" applyBorder="1" applyAlignment="1">
      <alignment vertical="center" shrinkToFit="1"/>
    </xf>
    <xf numFmtId="1" fontId="9" fillId="2" borderId="30" xfId="2" applyNumberFormat="1" applyFont="1" applyFill="1" applyBorder="1" applyAlignment="1">
      <alignment vertical="center" shrinkToFit="1"/>
    </xf>
    <xf numFmtId="0" fontId="9" fillId="0" borderId="28" xfId="2" applyFont="1" applyBorder="1" applyAlignment="1">
      <alignment vertical="center" shrinkToFit="1"/>
    </xf>
    <xf numFmtId="0" fontId="9" fillId="0" borderId="7" xfId="2" applyFont="1" applyBorder="1" applyAlignment="1">
      <alignment vertical="center" shrinkToFit="1"/>
    </xf>
    <xf numFmtId="180" fontId="9" fillId="2" borderId="1" xfId="2" applyNumberFormat="1" applyFont="1" applyFill="1" applyBorder="1" applyAlignment="1">
      <alignment vertical="center" shrinkToFit="1"/>
    </xf>
    <xf numFmtId="0" fontId="1" fillId="3" borderId="1" xfId="2" applyFill="1" applyBorder="1" applyAlignment="1">
      <alignment vertical="center" shrinkToFit="1"/>
    </xf>
    <xf numFmtId="2" fontId="1" fillId="2" borderId="1" xfId="2" applyNumberFormat="1" applyFill="1" applyBorder="1" applyAlignment="1">
      <alignment vertical="center" shrinkToFit="1"/>
    </xf>
    <xf numFmtId="2" fontId="1" fillId="2" borderId="30" xfId="2" applyNumberFormat="1" applyFill="1" applyBorder="1" applyAlignment="1">
      <alignment vertical="center" shrinkToFit="1"/>
    </xf>
    <xf numFmtId="0" fontId="1" fillId="3" borderId="4" xfId="2" applyFill="1" applyBorder="1" applyAlignment="1">
      <alignment vertical="center" shrinkToFit="1"/>
    </xf>
    <xf numFmtId="181" fontId="9" fillId="2" borderId="1" xfId="2" applyNumberFormat="1" applyFont="1" applyFill="1" applyBorder="1" applyAlignment="1">
      <alignment horizontal="center" vertical="center" shrinkToFit="1"/>
    </xf>
    <xf numFmtId="179" fontId="9" fillId="2" borderId="1" xfId="2" applyNumberFormat="1" applyFont="1" applyFill="1" applyBorder="1" applyAlignment="1">
      <alignment vertical="center" shrinkToFit="1"/>
    </xf>
    <xf numFmtId="0" fontId="9" fillId="0" borderId="4" xfId="2" applyFont="1" applyBorder="1" applyAlignment="1">
      <alignment vertical="center" shrinkToFit="1"/>
    </xf>
    <xf numFmtId="0" fontId="9" fillId="2" borderId="4" xfId="2" applyFont="1" applyFill="1" applyBorder="1" applyAlignment="1">
      <alignment vertical="center" shrinkToFit="1"/>
    </xf>
    <xf numFmtId="0" fontId="9" fillId="2" borderId="1" xfId="2" applyFont="1" applyFill="1" applyBorder="1" applyAlignment="1">
      <alignment vertical="center" shrinkToFit="1"/>
    </xf>
    <xf numFmtId="180" fontId="9" fillId="2" borderId="4" xfId="2" applyNumberFormat="1" applyFont="1" applyFill="1" applyBorder="1" applyAlignment="1">
      <alignment vertical="center" shrinkToFit="1"/>
    </xf>
    <xf numFmtId="179" fontId="9" fillId="2" borderId="4" xfId="2" applyNumberFormat="1" applyFont="1" applyFill="1" applyBorder="1" applyAlignment="1">
      <alignment vertical="center" shrinkToFit="1"/>
    </xf>
    <xf numFmtId="57" fontId="12" fillId="0" borderId="1" xfId="2" applyNumberFormat="1" applyFont="1" applyBorder="1" applyAlignment="1">
      <alignment vertical="center" shrinkToFit="1"/>
    </xf>
    <xf numFmtId="1" fontId="12" fillId="0" borderId="1" xfId="2" applyNumberFormat="1" applyFont="1" applyBorder="1" applyAlignment="1">
      <alignment vertical="center" shrinkToFit="1"/>
    </xf>
    <xf numFmtId="0" fontId="12" fillId="0" borderId="1" xfId="2" applyFont="1" applyBorder="1" applyAlignment="1">
      <alignment vertical="center" shrinkToFit="1"/>
    </xf>
    <xf numFmtId="57" fontId="28" fillId="0" borderId="1" xfId="2" applyNumberFormat="1" applyFont="1" applyBorder="1" applyAlignment="1">
      <alignment vertical="center" shrinkToFit="1"/>
    </xf>
    <xf numFmtId="1" fontId="28" fillId="0" borderId="1" xfId="2" applyNumberFormat="1" applyFont="1" applyBorder="1" applyAlignment="1">
      <alignment vertical="center" shrinkToFit="1"/>
    </xf>
    <xf numFmtId="0" fontId="9" fillId="9" borderId="1" xfId="2" applyFont="1" applyFill="1" applyBorder="1" applyAlignment="1">
      <alignment vertical="center" shrinkToFit="1"/>
    </xf>
    <xf numFmtId="57" fontId="28" fillId="9" borderId="1" xfId="2" applyNumberFormat="1" applyFont="1" applyFill="1" applyBorder="1" applyAlignment="1">
      <alignment vertical="center" shrinkToFit="1"/>
    </xf>
    <xf numFmtId="1" fontId="28" fillId="9" borderId="1" xfId="2" applyNumberFormat="1" applyFont="1" applyFill="1" applyBorder="1" applyAlignment="1">
      <alignment vertical="center" shrinkToFit="1"/>
    </xf>
    <xf numFmtId="0" fontId="9" fillId="0" borderId="1" xfId="2" applyFont="1" applyFill="1" applyBorder="1" applyAlignment="1">
      <alignment vertical="center" shrinkToFit="1"/>
    </xf>
    <xf numFmtId="57" fontId="28" fillId="0" borderId="1" xfId="2" applyNumberFormat="1" applyFont="1" applyFill="1" applyBorder="1" applyAlignment="1">
      <alignment vertical="center" shrinkToFit="1"/>
    </xf>
    <xf numFmtId="57" fontId="28" fillId="0" borderId="4" xfId="2" applyNumberFormat="1" applyFont="1" applyFill="1" applyBorder="1" applyAlignment="1">
      <alignment vertical="center" shrinkToFit="1"/>
    </xf>
    <xf numFmtId="0" fontId="9" fillId="0" borderId="30" xfId="2" applyFont="1" applyFill="1" applyBorder="1" applyAlignment="1">
      <alignment vertical="center" shrinkToFit="1"/>
    </xf>
    <xf numFmtId="180" fontId="12" fillId="0" borderId="4" xfId="2" applyNumberFormat="1" applyFont="1" applyFill="1" applyBorder="1" applyAlignment="1">
      <alignment vertical="center" shrinkToFit="1"/>
    </xf>
    <xf numFmtId="180" fontId="9" fillId="0" borderId="1" xfId="2" applyNumberFormat="1" applyFont="1" applyFill="1" applyBorder="1" applyAlignment="1">
      <alignment vertical="center" shrinkToFit="1"/>
    </xf>
    <xf numFmtId="180" fontId="9" fillId="0" borderId="7" xfId="2" applyNumberFormat="1" applyFont="1" applyFill="1" applyBorder="1" applyAlignment="1">
      <alignment vertical="center" shrinkToFit="1"/>
    </xf>
    <xf numFmtId="179" fontId="9" fillId="0" borderId="1" xfId="2" applyNumberFormat="1" applyFont="1" applyFill="1" applyBorder="1" applyAlignment="1">
      <alignment vertical="center" shrinkToFit="1"/>
    </xf>
    <xf numFmtId="179" fontId="9" fillId="0" borderId="4" xfId="2" applyNumberFormat="1" applyFont="1" applyFill="1" applyBorder="1" applyAlignment="1">
      <alignment vertical="center" shrinkToFit="1"/>
    </xf>
    <xf numFmtId="1" fontId="9" fillId="0" borderId="1" xfId="2" applyNumberFormat="1" applyFont="1" applyFill="1" applyBorder="1" applyAlignment="1">
      <alignment vertical="center" shrinkToFit="1"/>
    </xf>
    <xf numFmtId="0" fontId="9" fillId="0" borderId="27" xfId="2" applyFont="1" applyFill="1" applyBorder="1" applyAlignment="1">
      <alignment vertical="center"/>
    </xf>
    <xf numFmtId="0" fontId="29" fillId="0" borderId="0" xfId="2" applyFont="1" applyBorder="1" applyAlignment="1">
      <alignment vertical="center" wrapText="1"/>
    </xf>
    <xf numFmtId="0" fontId="12" fillId="0" borderId="0" xfId="2" applyFont="1" applyFill="1" applyBorder="1" applyAlignment="1">
      <alignment vertical="center"/>
    </xf>
    <xf numFmtId="57" fontId="12" fillId="0" borderId="0" xfId="2" applyNumberFormat="1" applyFont="1" applyBorder="1" applyAlignment="1">
      <alignment vertical="center"/>
    </xf>
    <xf numFmtId="2" fontId="11" fillId="8" borderId="1" xfId="2" applyNumberFormat="1" applyFont="1" applyFill="1" applyBorder="1" applyAlignment="1">
      <alignment vertical="center" shrinkToFit="1"/>
    </xf>
    <xf numFmtId="0" fontId="1" fillId="8" borderId="1" xfId="2" applyFill="1" applyBorder="1" applyAlignment="1">
      <alignment vertical="center" shrinkToFit="1"/>
    </xf>
    <xf numFmtId="0" fontId="9" fillId="8" borderId="1" xfId="2" applyFont="1" applyFill="1" applyBorder="1" applyAlignment="1">
      <alignment horizontal="center" vertical="center" shrinkToFit="1"/>
    </xf>
    <xf numFmtId="0" fontId="1" fillId="8" borderId="1" xfId="2" applyFill="1" applyBorder="1">
      <alignment vertical="center"/>
    </xf>
    <xf numFmtId="57" fontId="3" fillId="0" borderId="1" xfId="0" applyNumberFormat="1" applyFont="1" applyFill="1" applyBorder="1" applyAlignment="1">
      <alignment horizontal="center" vertical="center" shrinkToFit="1"/>
    </xf>
    <xf numFmtId="1" fontId="3" fillId="0" borderId="1" xfId="0" applyNumberFormat="1" applyFont="1" applyBorder="1" applyAlignment="1">
      <alignment shrinkToFit="1"/>
    </xf>
    <xf numFmtId="0" fontId="3" fillId="5" borderId="1" xfId="0" applyNumberFormat="1" applyFont="1" applyFill="1" applyBorder="1" applyAlignment="1">
      <alignment shrinkToFit="1"/>
    </xf>
    <xf numFmtId="0" fontId="3" fillId="0" borderId="1" xfId="0" applyNumberFormat="1" applyFont="1" applyBorder="1" applyAlignment="1">
      <alignment shrinkToFit="1"/>
    </xf>
    <xf numFmtId="180" fontId="3" fillId="5" borderId="1" xfId="0" applyNumberFormat="1" applyFont="1" applyFill="1" applyBorder="1" applyAlignment="1">
      <alignment horizontal="center" shrinkToFit="1"/>
    </xf>
    <xf numFmtId="0" fontId="3" fillId="0" borderId="1" xfId="0" applyFont="1" applyBorder="1" applyAlignment="1">
      <alignment shrinkToFit="1"/>
    </xf>
    <xf numFmtId="1" fontId="6" fillId="0" borderId="1" xfId="0" applyNumberFormat="1" applyFont="1" applyFill="1" applyBorder="1" applyAlignment="1">
      <alignment vertical="center" shrinkToFit="1"/>
    </xf>
    <xf numFmtId="0" fontId="3" fillId="0" borderId="0" xfId="0" applyFont="1" applyBorder="1" applyAlignment="1">
      <alignment vertical="center"/>
    </xf>
    <xf numFmtId="0" fontId="31" fillId="0" borderId="0" xfId="0" applyFont="1" applyFill="1" applyBorder="1" applyAlignment="1">
      <alignment vertical="center"/>
    </xf>
    <xf numFmtId="0" fontId="3" fillId="0" borderId="0" xfId="0" applyFont="1" applyBorder="1" applyAlignment="1"/>
    <xf numFmtId="0" fontId="6" fillId="0" borderId="0" xfId="0" applyFont="1" applyBorder="1" applyAlignment="1"/>
    <xf numFmtId="179" fontId="3" fillId="0" borderId="1" xfId="0" applyNumberFormat="1" applyFont="1" applyFill="1" applyBorder="1" applyAlignment="1">
      <alignment vertical="center" shrinkToFit="1"/>
    </xf>
    <xf numFmtId="0" fontId="3" fillId="0" borderId="0" xfId="0" quotePrefix="1" applyFont="1" applyFill="1" applyBorder="1" applyAlignment="1">
      <alignment vertical="center"/>
    </xf>
    <xf numFmtId="180" fontId="3" fillId="2" borderId="1" xfId="0" applyNumberFormat="1" applyFont="1" applyFill="1" applyBorder="1" applyAlignment="1">
      <alignment horizontal="center" shrinkToFit="1"/>
    </xf>
    <xf numFmtId="57" fontId="32" fillId="0" borderId="0" xfId="0" applyNumberFormat="1" applyFont="1" applyBorder="1" applyAlignment="1">
      <alignment horizontal="left" vertical="center" indent="1"/>
    </xf>
    <xf numFmtId="0" fontId="32" fillId="0" borderId="0" xfId="0" applyFont="1" applyBorder="1" applyAlignment="1">
      <alignment vertical="center"/>
    </xf>
    <xf numFmtId="179" fontId="3" fillId="0" borderId="0" xfId="0" applyNumberFormat="1" applyFont="1" applyBorder="1" applyAlignment="1">
      <alignment vertical="center" shrinkToFit="1"/>
    </xf>
    <xf numFmtId="2" fontId="3" fillId="0" borderId="0" xfId="0" applyNumberFormat="1" applyFont="1" applyBorder="1" applyAlignment="1">
      <alignment vertical="center" shrinkToFit="1"/>
    </xf>
    <xf numFmtId="0" fontId="6" fillId="0" borderId="0" xfId="0" applyFont="1" applyBorder="1" applyAlignment="1">
      <alignment horizontal="center" vertical="top"/>
    </xf>
    <xf numFmtId="179" fontId="3" fillId="6" borderId="4" xfId="0" applyNumberFormat="1" applyFont="1" applyFill="1" applyBorder="1" applyAlignment="1">
      <alignment vertical="center" shrinkToFit="1"/>
    </xf>
    <xf numFmtId="179" fontId="3" fillId="6" borderId="1" xfId="0" applyNumberFormat="1" applyFont="1" applyFill="1" applyBorder="1" applyAlignment="1">
      <alignment vertical="center" shrinkToFit="1"/>
    </xf>
    <xf numFmtId="1" fontId="3" fillId="6" borderId="1" xfId="0" applyNumberFormat="1" applyFont="1" applyFill="1" applyBorder="1" applyAlignment="1">
      <alignment vertical="center" shrinkToFit="1"/>
    </xf>
    <xf numFmtId="180" fontId="3" fillId="2" borderId="1" xfId="0" applyNumberFormat="1" applyFont="1" applyFill="1" applyBorder="1" applyAlignment="1">
      <alignment vertical="center" shrinkToFit="1"/>
    </xf>
    <xf numFmtId="181" fontId="3" fillId="2" borderId="4" xfId="0" applyNumberFormat="1" applyFont="1" applyFill="1" applyBorder="1" applyAlignment="1">
      <alignment horizontal="center" vertical="center" shrinkToFit="1"/>
    </xf>
    <xf numFmtId="179" fontId="3" fillId="2" borderId="1" xfId="0" applyNumberFormat="1" applyFont="1" applyFill="1" applyBorder="1" applyAlignment="1">
      <alignment vertical="center" shrinkToFit="1"/>
    </xf>
    <xf numFmtId="1" fontId="6" fillId="2" borderId="1" xfId="0" applyNumberFormat="1" applyFont="1" applyFill="1" applyBorder="1" applyAlignment="1">
      <alignment vertical="center" shrinkToFit="1"/>
    </xf>
    <xf numFmtId="57" fontId="34" fillId="0" borderId="0" xfId="0" applyNumberFormat="1" applyFont="1" applyFill="1" applyBorder="1" applyAlignment="1">
      <alignment vertical="center"/>
    </xf>
    <xf numFmtId="0" fontId="31" fillId="0" borderId="0" xfId="2" applyFont="1" applyBorder="1" applyAlignment="1">
      <alignment vertical="center"/>
    </xf>
    <xf numFmtId="0" fontId="3" fillId="0" borderId="0" xfId="0" applyFont="1" applyFill="1" applyBorder="1" applyAlignment="1">
      <alignment horizontal="center" vertical="center" textRotation="90" wrapText="1"/>
    </xf>
    <xf numFmtId="0" fontId="0" fillId="0" borderId="0" xfId="0" applyFont="1" applyAlignment="1">
      <alignment horizontal="center" vertical="center" textRotation="90" wrapText="1"/>
    </xf>
    <xf numFmtId="0" fontId="0" fillId="0" borderId="19" xfId="0" applyFont="1" applyBorder="1" applyAlignment="1">
      <alignment horizontal="center" vertical="center" textRotation="90" wrapText="1"/>
    </xf>
    <xf numFmtId="0" fontId="17" fillId="0" borderId="0" xfId="0" applyFont="1" applyAlignment="1">
      <alignment vertical="top" wrapText="1"/>
    </xf>
    <xf numFmtId="0" fontId="37" fillId="0" borderId="0" xfId="1" applyFont="1">
      <alignment vertical="center"/>
    </xf>
    <xf numFmtId="0" fontId="16" fillId="0" borderId="0" xfId="1" applyAlignment="1">
      <alignment vertical="center"/>
    </xf>
    <xf numFmtId="176" fontId="3" fillId="0" borderId="31" xfId="0" applyNumberFormat="1" applyFont="1" applyFill="1" applyBorder="1" applyAlignment="1">
      <alignment vertical="center"/>
    </xf>
    <xf numFmtId="0" fontId="3" fillId="0" borderId="1" xfId="0" quotePrefix="1" applyFont="1" applyBorder="1" applyAlignment="1">
      <alignment horizontal="center" vertical="top" wrapText="1"/>
    </xf>
    <xf numFmtId="0" fontId="3" fillId="0" borderId="1" xfId="0" quotePrefix="1" applyFont="1" applyBorder="1" applyAlignment="1">
      <alignment horizontal="left" vertical="top" wrapText="1"/>
    </xf>
    <xf numFmtId="0" fontId="3" fillId="10" borderId="1" xfId="0" quotePrefix="1" applyFont="1" applyFill="1" applyBorder="1" applyAlignment="1">
      <alignment horizontal="left" vertical="top" wrapText="1"/>
    </xf>
    <xf numFmtId="0" fontId="3" fillId="5" borderId="1" xfId="0" quotePrefix="1" applyFont="1" applyFill="1" applyBorder="1" applyAlignment="1">
      <alignment horizontal="left" vertical="top" wrapText="1"/>
    </xf>
    <xf numFmtId="0" fontId="6" fillId="5" borderId="1" xfId="0" quotePrefix="1" applyFont="1" applyFill="1" applyBorder="1" applyAlignment="1">
      <alignment horizontal="left" vertical="top" wrapText="1"/>
    </xf>
    <xf numFmtId="0" fontId="3" fillId="0" borderId="1" xfId="0" quotePrefix="1" applyFont="1" applyBorder="1" applyAlignment="1">
      <alignment horizontal="left" vertical="top"/>
    </xf>
    <xf numFmtId="0" fontId="3" fillId="0" borderId="1" xfId="0" applyFont="1" applyBorder="1" applyAlignment="1">
      <alignment vertical="top"/>
    </xf>
    <xf numFmtId="0" fontId="6" fillId="0" borderId="1" xfId="0" quotePrefix="1" applyFont="1" applyBorder="1" applyAlignment="1">
      <alignment horizontal="left" vertical="top" wrapText="1"/>
    </xf>
    <xf numFmtId="0" fontId="21" fillId="0" borderId="1" xfId="0" quotePrefix="1" applyFont="1" applyBorder="1" applyAlignment="1">
      <alignment horizontal="left" vertical="top" wrapText="1"/>
    </xf>
    <xf numFmtId="0" fontId="8" fillId="10" borderId="1" xfId="0" quotePrefix="1" applyFont="1" applyFill="1" applyBorder="1" applyAlignment="1">
      <alignment horizontal="left" vertical="top" wrapText="1"/>
    </xf>
    <xf numFmtId="0" fontId="8" fillId="5" borderId="1" xfId="0" quotePrefix="1" applyFont="1" applyFill="1" applyBorder="1" applyAlignment="1">
      <alignment horizontal="left" vertical="top" wrapText="1"/>
    </xf>
    <xf numFmtId="0" fontId="21" fillId="5" borderId="1" xfId="0" quotePrefix="1" applyFont="1" applyFill="1" applyBorder="1" applyAlignment="1">
      <alignment horizontal="left" vertical="top" wrapText="1"/>
    </xf>
    <xf numFmtId="0" fontId="8" fillId="0" borderId="1" xfId="0" quotePrefix="1" applyFont="1" applyBorder="1" applyAlignment="1">
      <alignment horizontal="left" vertical="top" wrapText="1"/>
    </xf>
    <xf numFmtId="0" fontId="3" fillId="11" borderId="1" xfId="0" applyFont="1" applyFill="1" applyBorder="1" applyAlignment="1">
      <alignment vertical="top" wrapText="1"/>
    </xf>
    <xf numFmtId="182" fontId="3" fillId="0" borderId="1" xfId="0" applyNumberFormat="1" applyFont="1" applyFill="1" applyBorder="1" applyAlignment="1">
      <alignment horizontal="center" vertical="center" shrinkToFit="1"/>
    </xf>
    <xf numFmtId="177" fontId="3" fillId="0" borderId="1" xfId="0" applyNumberFormat="1" applyFont="1" applyBorder="1" applyAlignment="1">
      <alignment vertical="center" shrinkToFit="1"/>
    </xf>
    <xf numFmtId="0" fontId="3" fillId="0" borderId="1" xfId="0" applyNumberFormat="1" applyFont="1" applyBorder="1" applyAlignment="1">
      <alignment vertical="center" shrinkToFit="1"/>
    </xf>
    <xf numFmtId="0" fontId="3" fillId="0" borderId="1" xfId="0" applyNumberFormat="1" applyFont="1" applyBorder="1" applyAlignment="1">
      <alignment vertical="top" shrinkToFit="1"/>
    </xf>
    <xf numFmtId="0" fontId="3" fillId="0" borderId="1" xfId="0" quotePrefix="1" applyFont="1" applyBorder="1" applyAlignment="1">
      <alignment horizontal="center" vertical="center"/>
    </xf>
    <xf numFmtId="177" fontId="3" fillId="0" borderId="1" xfId="0" applyNumberFormat="1" applyFont="1" applyFill="1" applyBorder="1" applyAlignment="1">
      <alignment vertical="center" shrinkToFit="1"/>
    </xf>
    <xf numFmtId="0" fontId="3" fillId="0" borderId="1" xfId="0" applyNumberFormat="1" applyFont="1" applyFill="1" applyBorder="1" applyAlignment="1">
      <alignment vertical="center" shrinkToFit="1"/>
    </xf>
    <xf numFmtId="0" fontId="3" fillId="0" borderId="1" xfId="0" quotePrefix="1" applyFont="1" applyFill="1" applyBorder="1" applyAlignment="1">
      <alignment horizontal="center" vertical="center"/>
    </xf>
    <xf numFmtId="0" fontId="3" fillId="0" borderId="1" xfId="0" applyFont="1" applyFill="1" applyBorder="1" applyAlignment="1">
      <alignment horizontal="center"/>
    </xf>
    <xf numFmtId="177" fontId="3" fillId="5" borderId="1" xfId="0" applyNumberFormat="1" applyFont="1" applyFill="1" applyBorder="1" applyAlignment="1">
      <alignment horizontal="center" shrinkToFit="1"/>
    </xf>
    <xf numFmtId="49" fontId="3" fillId="0" borderId="1" xfId="4" applyNumberFormat="1" applyFont="1" applyBorder="1" applyAlignment="1">
      <alignment horizontal="left" vertical="center"/>
    </xf>
    <xf numFmtId="1" fontId="3" fillId="0" borderId="1" xfId="4" applyNumberFormat="1" applyFont="1" applyBorder="1" applyAlignment="1">
      <alignment horizontal="right" vertical="center" shrinkToFit="1"/>
    </xf>
    <xf numFmtId="0" fontId="3" fillId="0" borderId="1" xfId="4" applyNumberFormat="1" applyFont="1" applyBorder="1" applyAlignment="1">
      <alignment horizontal="right" vertical="center" shrinkToFit="1"/>
    </xf>
    <xf numFmtId="49" fontId="3" fillId="0" borderId="1" xfId="4" applyNumberFormat="1" applyFont="1" applyBorder="1" applyAlignment="1">
      <alignment horizontal="left" vertical="center" shrinkToFit="1"/>
    </xf>
    <xf numFmtId="0" fontId="3" fillId="0" borderId="1" xfId="5" applyFont="1" applyBorder="1" applyAlignment="1">
      <alignment vertical="center"/>
    </xf>
    <xf numFmtId="1" fontId="3" fillId="0" borderId="1" xfId="3" applyNumberFormat="1" applyFont="1" applyBorder="1" applyAlignment="1">
      <alignment horizontal="right" vertical="center" shrinkToFit="1"/>
    </xf>
    <xf numFmtId="0" fontId="3" fillId="0" borderId="1" xfId="3" applyNumberFormat="1" applyFont="1" applyBorder="1" applyAlignment="1">
      <alignment horizontal="right" vertical="center" shrinkToFit="1"/>
    </xf>
    <xf numFmtId="0" fontId="3" fillId="0" borderId="1" xfId="5" applyFont="1" applyBorder="1" applyAlignment="1">
      <alignment vertical="center" shrinkToFit="1"/>
    </xf>
    <xf numFmtId="1" fontId="3" fillId="0" borderId="1" xfId="0" applyNumberFormat="1" applyFont="1" applyBorder="1" applyAlignment="1">
      <alignment horizontal="center" vertical="center" shrinkToFit="1"/>
    </xf>
    <xf numFmtId="0" fontId="3" fillId="4" borderId="1" xfId="0" applyFont="1" applyFill="1" applyBorder="1" applyAlignment="1"/>
    <xf numFmtId="0" fontId="3" fillId="4" borderId="1" xfId="0" applyFont="1" applyFill="1" applyBorder="1" applyAlignment="1">
      <alignment shrinkToFit="1"/>
    </xf>
    <xf numFmtId="0" fontId="3" fillId="6" borderId="1" xfId="0" applyFont="1" applyFill="1" applyBorder="1" applyAlignment="1"/>
    <xf numFmtId="0" fontId="3" fillId="6" borderId="1" xfId="0" applyFont="1" applyFill="1" applyBorder="1" applyAlignment="1">
      <alignment shrinkToFit="1"/>
    </xf>
    <xf numFmtId="0" fontId="3" fillId="12" borderId="1" xfId="0" applyFont="1" applyFill="1" applyBorder="1" applyAlignment="1">
      <alignment horizontal="center"/>
    </xf>
    <xf numFmtId="0" fontId="3" fillId="2" borderId="1" xfId="0" applyFont="1" applyFill="1" applyBorder="1" applyAlignment="1">
      <alignment vertical="center" shrinkToFit="1"/>
    </xf>
    <xf numFmtId="0" fontId="3" fillId="0" borderId="0" xfId="0" applyNumberFormat="1" applyFont="1" applyAlignment="1">
      <alignment vertical="top"/>
    </xf>
    <xf numFmtId="0" fontId="3" fillId="0" borderId="0" xfId="0" applyNumberFormat="1" applyFont="1" applyBorder="1" applyAlignment="1">
      <alignment vertical="top"/>
    </xf>
    <xf numFmtId="0" fontId="3" fillId="7" borderId="0" xfId="0" applyNumberFormat="1" applyFont="1" applyFill="1" applyAlignment="1">
      <alignment vertical="top"/>
    </xf>
    <xf numFmtId="0" fontId="3" fillId="7" borderId="0" xfId="0" applyNumberFormat="1" applyFont="1" applyFill="1" applyBorder="1" applyAlignment="1">
      <alignment vertical="top"/>
    </xf>
    <xf numFmtId="0" fontId="3" fillId="0" borderId="1" xfId="0" applyNumberFormat="1" applyFont="1" applyFill="1" applyBorder="1" applyAlignment="1">
      <alignment vertical="top" shrinkToFit="1"/>
    </xf>
    <xf numFmtId="0" fontId="3" fillId="0" borderId="31" xfId="0" applyNumberFormat="1" applyFont="1" applyFill="1" applyBorder="1" applyAlignment="1">
      <alignment vertical="top"/>
    </xf>
    <xf numFmtId="0" fontId="6" fillId="0" borderId="0" xfId="0" applyNumberFormat="1" applyFont="1" applyFill="1" applyBorder="1" applyAlignment="1">
      <alignment horizontal="left" vertical="top" indent="1"/>
    </xf>
    <xf numFmtId="0" fontId="3" fillId="0" borderId="0" xfId="0" applyNumberFormat="1" applyFont="1" applyFill="1" applyBorder="1" applyAlignment="1">
      <alignment vertical="top"/>
    </xf>
    <xf numFmtId="0" fontId="3" fillId="0" borderId="2" xfId="0" applyNumberFormat="1" applyFont="1" applyFill="1" applyBorder="1" applyAlignment="1">
      <alignment vertical="top"/>
    </xf>
    <xf numFmtId="0" fontId="3" fillId="0" borderId="3" xfId="0" applyNumberFormat="1" applyFont="1" applyFill="1" applyBorder="1" applyAlignment="1">
      <alignment vertical="top"/>
    </xf>
    <xf numFmtId="0" fontId="3" fillId="0" borderId="4" xfId="0" applyNumberFormat="1" applyFont="1" applyFill="1" applyBorder="1" applyAlignment="1">
      <alignment vertical="top"/>
    </xf>
    <xf numFmtId="0" fontId="3" fillId="0" borderId="1" xfId="0" quotePrefix="1" applyNumberFormat="1" applyFont="1" applyFill="1" applyBorder="1" applyAlignment="1">
      <alignment vertical="top"/>
    </xf>
    <xf numFmtId="0" fontId="3" fillId="0" borderId="1" xfId="0" applyNumberFormat="1" applyFont="1" applyFill="1" applyBorder="1" applyAlignment="1">
      <alignment vertical="top"/>
    </xf>
    <xf numFmtId="0" fontId="3" fillId="0" borderId="33" xfId="0" applyNumberFormat="1" applyFont="1" applyFill="1" applyBorder="1" applyAlignment="1">
      <alignment vertical="top"/>
    </xf>
    <xf numFmtId="0" fontId="3" fillId="0" borderId="34" xfId="0" applyNumberFormat="1" applyFont="1" applyFill="1" applyBorder="1" applyAlignment="1">
      <alignment vertical="top"/>
    </xf>
    <xf numFmtId="0" fontId="3" fillId="0" borderId="35" xfId="0" applyNumberFormat="1" applyFont="1" applyFill="1" applyBorder="1" applyAlignment="1">
      <alignment vertical="top"/>
    </xf>
    <xf numFmtId="183" fontId="3" fillId="0" borderId="31" xfId="0" applyNumberFormat="1" applyFont="1" applyFill="1" applyBorder="1" applyAlignment="1">
      <alignment vertical="top" shrinkToFit="1"/>
    </xf>
    <xf numFmtId="179" fontId="3" fillId="0" borderId="31" xfId="0" applyNumberFormat="1" applyFont="1" applyFill="1" applyBorder="1" applyAlignment="1">
      <alignment vertical="top" shrinkToFit="1"/>
    </xf>
    <xf numFmtId="2" fontId="3" fillId="0" borderId="31" xfId="0" applyNumberFormat="1" applyFont="1" applyFill="1" applyBorder="1" applyAlignment="1">
      <alignment vertical="top" shrinkToFit="1"/>
    </xf>
    <xf numFmtId="0" fontId="3" fillId="0" borderId="1" xfId="0" applyNumberFormat="1" applyFont="1" applyFill="1" applyBorder="1" applyAlignment="1">
      <alignment horizontal="center" vertical="top" shrinkToFit="1"/>
    </xf>
    <xf numFmtId="0" fontId="3" fillId="0" borderId="32" xfId="0" applyNumberFormat="1" applyFont="1" applyFill="1" applyBorder="1" applyAlignment="1">
      <alignment vertical="top"/>
    </xf>
    <xf numFmtId="0" fontId="0" fillId="0" borderId="28" xfId="0" applyBorder="1" applyAlignment="1">
      <alignment vertical="top" shrinkToFit="1"/>
    </xf>
    <xf numFmtId="0" fontId="3" fillId="0" borderId="28" xfId="0" applyNumberFormat="1" applyFont="1" applyFill="1" applyBorder="1" applyAlignment="1">
      <alignment vertical="top" shrinkToFit="1"/>
    </xf>
    <xf numFmtId="0" fontId="3" fillId="0" borderId="19" xfId="0" applyNumberFormat="1" applyFont="1" applyFill="1" applyBorder="1" applyAlignment="1">
      <alignment horizontal="center" vertical="top" shrinkToFit="1"/>
    </xf>
    <xf numFmtId="0" fontId="3" fillId="0" borderId="19" xfId="0" applyNumberFormat="1" applyFont="1" applyBorder="1" applyAlignment="1">
      <alignment horizontal="center" vertical="top" shrinkToFit="1"/>
    </xf>
    <xf numFmtId="0" fontId="6" fillId="0" borderId="0" xfId="0" applyNumberFormat="1" applyFont="1" applyAlignment="1">
      <alignment horizontal="left" vertical="top" indent="1"/>
    </xf>
    <xf numFmtId="0" fontId="3" fillId="0" borderId="36" xfId="0" applyNumberFormat="1" applyFont="1" applyFill="1" applyBorder="1" applyAlignment="1">
      <alignment vertical="top"/>
    </xf>
    <xf numFmtId="0" fontId="3" fillId="0" borderId="5" xfId="0" applyNumberFormat="1" applyFont="1" applyFill="1" applyBorder="1" applyAlignment="1">
      <alignment horizontal="center" vertical="top" shrinkToFit="1"/>
    </xf>
    <xf numFmtId="0" fontId="3" fillId="0" borderId="31" xfId="0" quotePrefix="1" applyNumberFormat="1" applyFont="1" applyFill="1" applyBorder="1" applyAlignment="1">
      <alignment vertical="top"/>
    </xf>
    <xf numFmtId="0" fontId="3" fillId="4" borderId="0" xfId="0" applyNumberFormat="1" applyFont="1" applyFill="1" applyBorder="1" applyAlignment="1">
      <alignment vertical="top"/>
    </xf>
    <xf numFmtId="0" fontId="3" fillId="4" borderId="33" xfId="0" applyNumberFormat="1" applyFont="1" applyFill="1" applyBorder="1" applyAlignment="1">
      <alignment vertical="top"/>
    </xf>
    <xf numFmtId="0" fontId="3" fillId="4" borderId="35" xfId="0" applyNumberFormat="1" applyFont="1" applyFill="1" applyBorder="1" applyAlignment="1">
      <alignment vertical="top"/>
    </xf>
    <xf numFmtId="0" fontId="3" fillId="4" borderId="34" xfId="0" applyNumberFormat="1" applyFont="1" applyFill="1" applyBorder="1" applyAlignment="1">
      <alignment vertical="top"/>
    </xf>
    <xf numFmtId="0" fontId="3" fillId="4" borderId="31" xfId="0" applyNumberFormat="1" applyFont="1" applyFill="1" applyBorder="1" applyAlignment="1">
      <alignment vertical="top"/>
    </xf>
    <xf numFmtId="0" fontId="3" fillId="4" borderId="31" xfId="0" quotePrefix="1" applyNumberFormat="1" applyFont="1" applyFill="1" applyBorder="1" applyAlignment="1">
      <alignment vertical="top"/>
    </xf>
    <xf numFmtId="180" fontId="3" fillId="4" borderId="31" xfId="0" applyNumberFormat="1" applyFont="1" applyFill="1" applyBorder="1" applyAlignment="1">
      <alignment vertical="top"/>
    </xf>
    <xf numFmtId="0" fontId="3" fillId="0" borderId="23" xfId="0" applyNumberFormat="1" applyFont="1" applyFill="1" applyBorder="1" applyAlignment="1">
      <alignment vertical="top"/>
    </xf>
    <xf numFmtId="0" fontId="0" fillId="0" borderId="22" xfId="0" applyBorder="1" applyAlignment="1">
      <alignment vertical="top" shrinkToFit="1"/>
    </xf>
    <xf numFmtId="0" fontId="3" fillId="0" borderId="22" xfId="0" applyNumberFormat="1" applyFont="1" applyFill="1" applyBorder="1" applyAlignment="1">
      <alignment vertical="top" shrinkToFit="1"/>
    </xf>
    <xf numFmtId="0" fontId="3" fillId="0" borderId="2" xfId="0" applyNumberFormat="1" applyFont="1" applyBorder="1" applyAlignment="1">
      <alignment vertical="top"/>
    </xf>
    <xf numFmtId="0" fontId="3" fillId="0" borderId="4" xfId="0" applyNumberFormat="1" applyFont="1" applyBorder="1" applyAlignment="1">
      <alignment horizontal="center" vertical="top" shrinkToFit="1"/>
    </xf>
    <xf numFmtId="0" fontId="6" fillId="0" borderId="32" xfId="0" applyNumberFormat="1" applyFont="1" applyFill="1" applyBorder="1" applyAlignment="1">
      <alignment horizontal="left" vertical="top" indent="1"/>
    </xf>
    <xf numFmtId="0" fontId="3" fillId="0" borderId="28" xfId="0" applyNumberFormat="1" applyFont="1" applyFill="1" applyBorder="1" applyAlignment="1">
      <alignment vertical="top"/>
    </xf>
    <xf numFmtId="0" fontId="3" fillId="7" borderId="43" xfId="0" applyNumberFormat="1" applyFont="1" applyFill="1" applyBorder="1" applyAlignment="1">
      <alignment vertical="top"/>
    </xf>
    <xf numFmtId="0" fontId="3" fillId="7" borderId="44" xfId="0" applyNumberFormat="1" applyFont="1" applyFill="1" applyBorder="1" applyAlignment="1">
      <alignment vertical="top"/>
    </xf>
    <xf numFmtId="0" fontId="3" fillId="0" borderId="0" xfId="0" applyFont="1" applyAlignment="1">
      <alignment vertical="top"/>
    </xf>
    <xf numFmtId="0" fontId="3" fillId="0" borderId="1" xfId="0" quotePrefix="1" applyFont="1" applyBorder="1" applyAlignment="1">
      <alignment horizontal="left" vertical="center"/>
    </xf>
    <xf numFmtId="0" fontId="3" fillId="0" borderId="1" xfId="0" quotePrefix="1" applyFont="1" applyFill="1" applyBorder="1" applyAlignment="1">
      <alignment horizontal="left" vertical="center"/>
    </xf>
    <xf numFmtId="182" fontId="3" fillId="12" borderId="1" xfId="0" applyNumberFormat="1" applyFont="1" applyFill="1" applyBorder="1" applyAlignment="1">
      <alignment vertical="center" shrinkToFit="1"/>
    </xf>
    <xf numFmtId="0" fontId="3" fillId="12" borderId="1" xfId="0" applyFont="1" applyFill="1" applyBorder="1" applyAlignment="1">
      <alignment horizontal="right"/>
    </xf>
    <xf numFmtId="0" fontId="3" fillId="0" borderId="43" xfId="0" applyNumberFormat="1" applyFont="1" applyFill="1" applyBorder="1" applyAlignment="1">
      <alignment vertical="top"/>
    </xf>
    <xf numFmtId="0" fontId="3" fillId="0" borderId="44" xfId="0" applyFont="1" applyFill="1" applyBorder="1" applyAlignment="1">
      <alignment vertical="top"/>
    </xf>
    <xf numFmtId="0" fontId="3" fillId="0" borderId="45" xfId="0" applyFont="1" applyFill="1" applyBorder="1" applyAlignment="1">
      <alignment vertical="top"/>
    </xf>
    <xf numFmtId="0" fontId="3" fillId="0" borderId="0" xfId="0" applyFont="1" applyFill="1" applyBorder="1" applyAlignment="1">
      <alignment vertical="top"/>
    </xf>
    <xf numFmtId="0" fontId="3" fillId="0" borderId="0" xfId="0" applyFont="1" applyBorder="1" applyAlignment="1">
      <alignment vertical="top"/>
    </xf>
    <xf numFmtId="0" fontId="3" fillId="0" borderId="46" xfId="0" applyNumberFormat="1" applyFont="1" applyFill="1" applyBorder="1" applyAlignment="1">
      <alignment vertical="top"/>
    </xf>
    <xf numFmtId="0" fontId="3" fillId="0" borderId="47" xfId="0" applyNumberFormat="1" applyFont="1" applyFill="1" applyBorder="1" applyAlignment="1">
      <alignment vertical="top"/>
    </xf>
    <xf numFmtId="0" fontId="3" fillId="0" borderId="48" xfId="0" applyNumberFormat="1" applyFont="1" applyFill="1" applyBorder="1" applyAlignment="1">
      <alignment vertical="top"/>
    </xf>
    <xf numFmtId="0" fontId="3" fillId="0" borderId="49" xfId="0" applyNumberFormat="1" applyFont="1" applyFill="1" applyBorder="1" applyAlignment="1">
      <alignment vertical="top"/>
    </xf>
    <xf numFmtId="0" fontId="3" fillId="0" borderId="50" xfId="0" applyFont="1" applyFill="1" applyBorder="1" applyAlignment="1">
      <alignment vertical="top"/>
    </xf>
    <xf numFmtId="0" fontId="3" fillId="0" borderId="51" xfId="0" applyNumberFormat="1" applyFont="1" applyFill="1" applyBorder="1" applyAlignment="1">
      <alignment vertical="top"/>
    </xf>
    <xf numFmtId="0" fontId="3" fillId="0" borderId="52" xfId="0" applyNumberFormat="1" applyFont="1" applyFill="1" applyBorder="1" applyAlignment="1">
      <alignment vertical="top"/>
    </xf>
    <xf numFmtId="0" fontId="3" fillId="0" borderId="53" xfId="0" applyNumberFormat="1" applyFont="1" applyFill="1" applyBorder="1" applyAlignment="1">
      <alignment vertical="top"/>
    </xf>
    <xf numFmtId="0" fontId="3" fillId="0" borderId="54" xfId="0" applyNumberFormat="1" applyFont="1" applyFill="1" applyBorder="1" applyAlignment="1">
      <alignment vertical="top"/>
    </xf>
    <xf numFmtId="0" fontId="3" fillId="0" borderId="46" xfId="0" applyFont="1" applyFill="1" applyBorder="1" applyAlignment="1">
      <alignment vertical="top"/>
    </xf>
    <xf numFmtId="176" fontId="3" fillId="0" borderId="55" xfId="0" applyNumberFormat="1" applyFont="1" applyFill="1" applyBorder="1" applyAlignment="1">
      <alignment vertical="top"/>
    </xf>
    <xf numFmtId="0" fontId="3" fillId="0" borderId="55" xfId="0" applyNumberFormat="1" applyFont="1" applyFill="1" applyBorder="1" applyAlignment="1">
      <alignment vertical="top"/>
    </xf>
    <xf numFmtId="0" fontId="3" fillId="0" borderId="56" xfId="0" applyNumberFormat="1" applyFont="1" applyFill="1" applyBorder="1" applyAlignment="1">
      <alignment vertical="top"/>
    </xf>
    <xf numFmtId="0" fontId="3" fillId="0" borderId="48" xfId="0" applyFont="1" applyFill="1" applyBorder="1" applyAlignment="1">
      <alignment vertical="top"/>
    </xf>
    <xf numFmtId="0" fontId="3" fillId="0" borderId="57" xfId="0" applyNumberFormat="1" applyFont="1" applyFill="1" applyBorder="1" applyAlignment="1">
      <alignment vertical="top"/>
    </xf>
    <xf numFmtId="0" fontId="3" fillId="0" borderId="58" xfId="0" applyFont="1" applyFill="1" applyBorder="1" applyAlignment="1">
      <alignment vertical="top"/>
    </xf>
    <xf numFmtId="0" fontId="3" fillId="0" borderId="49" xfId="0" applyFont="1" applyFill="1" applyBorder="1" applyAlignment="1">
      <alignment vertical="top"/>
    </xf>
    <xf numFmtId="0" fontId="3" fillId="0" borderId="59" xfId="0" applyNumberFormat="1" applyFont="1" applyFill="1" applyBorder="1" applyAlignment="1">
      <alignment vertical="top"/>
    </xf>
    <xf numFmtId="0" fontId="3" fillId="0" borderId="60" xfId="0" applyFont="1" applyFill="1" applyBorder="1" applyAlignment="1">
      <alignment vertical="top"/>
    </xf>
    <xf numFmtId="176" fontId="3" fillId="0" borderId="56" xfId="0" applyNumberFormat="1" applyFont="1" applyFill="1" applyBorder="1" applyAlignment="1">
      <alignment vertical="top"/>
    </xf>
    <xf numFmtId="0" fontId="3" fillId="0" borderId="61" xfId="0" applyFont="1" applyFill="1" applyBorder="1" applyAlignment="1">
      <alignment vertical="top"/>
    </xf>
    <xf numFmtId="0" fontId="3" fillId="0" borderId="62" xfId="0" applyFont="1" applyFill="1" applyBorder="1" applyAlignment="1">
      <alignment vertical="top"/>
    </xf>
    <xf numFmtId="0" fontId="3" fillId="0" borderId="63" xfId="0" applyFont="1" applyFill="1" applyBorder="1" applyAlignment="1">
      <alignment vertical="top"/>
    </xf>
    <xf numFmtId="0" fontId="3" fillId="0" borderId="64" xfId="0" applyFont="1" applyFill="1" applyBorder="1" applyAlignment="1">
      <alignment vertical="top"/>
    </xf>
    <xf numFmtId="0" fontId="3" fillId="0" borderId="65" xfId="0" applyFont="1" applyFill="1" applyBorder="1" applyAlignment="1">
      <alignment vertical="top"/>
    </xf>
    <xf numFmtId="0" fontId="3" fillId="0" borderId="36" xfId="0" applyFont="1" applyFill="1" applyBorder="1" applyAlignment="1">
      <alignment vertical="top"/>
    </xf>
    <xf numFmtId="0" fontId="3" fillId="0" borderId="66" xfId="0" applyNumberFormat="1" applyFont="1" applyFill="1" applyBorder="1" applyAlignment="1">
      <alignment vertical="top"/>
    </xf>
    <xf numFmtId="0" fontId="3" fillId="0" borderId="67" xfId="0" applyFont="1" applyFill="1" applyBorder="1" applyAlignment="1">
      <alignment vertical="top"/>
    </xf>
    <xf numFmtId="0" fontId="3" fillId="0" borderId="68" xfId="0" applyNumberFormat="1" applyFont="1" applyFill="1" applyBorder="1" applyAlignment="1">
      <alignment vertical="top"/>
    </xf>
    <xf numFmtId="0" fontId="3" fillId="0" borderId="69" xfId="0" applyFont="1" applyFill="1" applyBorder="1" applyAlignment="1">
      <alignment vertical="top"/>
    </xf>
    <xf numFmtId="0" fontId="3" fillId="0" borderId="68" xfId="0" applyFont="1" applyFill="1" applyBorder="1" applyAlignment="1">
      <alignment vertical="top"/>
    </xf>
    <xf numFmtId="0" fontId="3" fillId="0" borderId="70" xfId="0" applyFont="1" applyFill="1" applyBorder="1" applyAlignment="1">
      <alignment vertical="top"/>
    </xf>
    <xf numFmtId="0" fontId="3" fillId="0" borderId="71" xfId="0" applyFont="1" applyFill="1" applyBorder="1" applyAlignment="1">
      <alignment vertical="top"/>
    </xf>
    <xf numFmtId="0" fontId="3" fillId="0" borderId="47" xfId="0" applyFont="1" applyFill="1" applyBorder="1" applyAlignment="1">
      <alignment vertical="top"/>
    </xf>
    <xf numFmtId="0" fontId="3" fillId="0" borderId="72" xfId="0" applyFont="1" applyFill="1" applyBorder="1" applyAlignment="1">
      <alignment vertical="top"/>
    </xf>
    <xf numFmtId="0" fontId="3" fillId="0" borderId="73" xfId="0" applyFont="1" applyFill="1" applyBorder="1" applyAlignment="1">
      <alignment vertical="top"/>
    </xf>
    <xf numFmtId="0" fontId="3" fillId="0" borderId="74" xfId="0" applyFont="1" applyFill="1" applyBorder="1" applyAlignment="1">
      <alignment vertical="top"/>
    </xf>
    <xf numFmtId="0" fontId="3" fillId="0" borderId="75" xfId="0" applyFont="1" applyFill="1" applyBorder="1" applyAlignment="1">
      <alignment vertical="top"/>
    </xf>
    <xf numFmtId="0" fontId="3" fillId="0" borderId="76" xfId="0" applyFont="1" applyFill="1" applyBorder="1" applyAlignment="1">
      <alignment vertical="top"/>
    </xf>
    <xf numFmtId="0" fontId="3" fillId="0" borderId="77" xfId="0" applyFont="1" applyFill="1" applyBorder="1" applyAlignment="1">
      <alignment vertical="top"/>
    </xf>
    <xf numFmtId="0" fontId="3" fillId="0" borderId="78" xfId="0" applyNumberFormat="1" applyFont="1" applyFill="1" applyBorder="1" applyAlignment="1">
      <alignment vertical="top"/>
    </xf>
    <xf numFmtId="0" fontId="3" fillId="0" borderId="79" xfId="0" applyNumberFormat="1" applyFont="1" applyFill="1" applyBorder="1" applyAlignment="1">
      <alignment vertical="top"/>
    </xf>
    <xf numFmtId="0" fontId="3" fillId="0" borderId="80" xfId="0" applyNumberFormat="1" applyFont="1" applyFill="1" applyBorder="1" applyAlignment="1">
      <alignment vertical="top"/>
    </xf>
    <xf numFmtId="0" fontId="3" fillId="0" borderId="81" xfId="0" applyNumberFormat="1" applyFont="1" applyFill="1" applyBorder="1" applyAlignment="1">
      <alignment vertical="top"/>
    </xf>
    <xf numFmtId="0" fontId="3" fillId="0" borderId="82" xfId="0" applyNumberFormat="1" applyFont="1" applyFill="1" applyBorder="1" applyAlignment="1">
      <alignment vertical="top"/>
    </xf>
    <xf numFmtId="0" fontId="3" fillId="0" borderId="83" xfId="0" applyNumberFormat="1" applyFont="1" applyFill="1" applyBorder="1" applyAlignment="1">
      <alignment vertical="top"/>
    </xf>
    <xf numFmtId="2" fontId="3" fillId="0" borderId="84" xfId="0" applyNumberFormat="1" applyFont="1" applyFill="1" applyBorder="1" applyAlignment="1">
      <alignment vertical="top"/>
    </xf>
    <xf numFmtId="2" fontId="3" fillId="0" borderId="83" xfId="0" applyNumberFormat="1" applyFont="1" applyFill="1" applyBorder="1" applyAlignment="1">
      <alignment vertical="top"/>
    </xf>
    <xf numFmtId="2" fontId="3" fillId="0" borderId="56" xfId="0" applyNumberFormat="1" applyFont="1" applyFill="1" applyBorder="1" applyAlignment="1">
      <alignment vertical="top"/>
    </xf>
    <xf numFmtId="176" fontId="3" fillId="0" borderId="84" xfId="0" applyNumberFormat="1" applyFont="1" applyFill="1" applyBorder="1" applyAlignment="1">
      <alignment vertical="top"/>
    </xf>
    <xf numFmtId="176" fontId="3" fillId="0" borderId="83" xfId="0" applyNumberFormat="1" applyFont="1" applyFill="1" applyBorder="1" applyAlignment="1">
      <alignment vertical="top"/>
    </xf>
    <xf numFmtId="0" fontId="3" fillId="0" borderId="85" xfId="0" applyNumberFormat="1" applyFont="1" applyFill="1" applyBorder="1" applyAlignment="1">
      <alignment vertical="top"/>
    </xf>
    <xf numFmtId="0" fontId="3" fillId="0" borderId="86" xfId="0" applyFont="1" applyFill="1" applyBorder="1" applyAlignment="1">
      <alignment vertical="top"/>
    </xf>
    <xf numFmtId="0" fontId="3" fillId="0" borderId="87" xfId="0" applyFont="1" applyFill="1" applyBorder="1" applyAlignment="1">
      <alignment vertical="top"/>
    </xf>
    <xf numFmtId="176" fontId="3" fillId="0" borderId="80" xfId="0" applyNumberFormat="1" applyFont="1" applyFill="1" applyBorder="1" applyAlignment="1">
      <alignment vertical="top"/>
    </xf>
    <xf numFmtId="0" fontId="3" fillId="0" borderId="84" xfId="0" applyNumberFormat="1" applyFont="1" applyFill="1" applyBorder="1" applyAlignment="1">
      <alignment vertical="top"/>
    </xf>
    <xf numFmtId="0" fontId="3" fillId="0" borderId="88" xfId="0" applyNumberFormat="1" applyFont="1" applyFill="1" applyBorder="1" applyAlignment="1">
      <alignment vertical="top"/>
    </xf>
    <xf numFmtId="0" fontId="3" fillId="0" borderId="89" xfId="0" applyNumberFormat="1" applyFont="1" applyFill="1" applyBorder="1" applyAlignment="1">
      <alignment vertical="top"/>
    </xf>
    <xf numFmtId="0" fontId="3" fillId="0" borderId="90" xfId="0" applyNumberFormat="1" applyFont="1" applyFill="1" applyBorder="1" applyAlignment="1">
      <alignment vertical="top"/>
    </xf>
    <xf numFmtId="0" fontId="3" fillId="0" borderId="91" xfId="0" applyFont="1" applyFill="1" applyBorder="1" applyAlignment="1">
      <alignment vertical="top"/>
    </xf>
    <xf numFmtId="0" fontId="3" fillId="0" borderId="92" xfId="0" applyFont="1" applyFill="1" applyBorder="1" applyAlignment="1">
      <alignment vertical="top"/>
    </xf>
    <xf numFmtId="0" fontId="3" fillId="0" borderId="93" xfId="0" applyNumberFormat="1" applyFont="1" applyFill="1" applyBorder="1" applyAlignment="1">
      <alignment vertical="top"/>
    </xf>
    <xf numFmtId="0" fontId="3" fillId="0" borderId="94" xfId="0" applyFont="1" applyFill="1" applyBorder="1" applyAlignment="1">
      <alignment vertical="top"/>
    </xf>
    <xf numFmtId="0" fontId="3" fillId="0" borderId="95" xfId="0" applyFont="1" applyFill="1" applyBorder="1" applyAlignment="1">
      <alignment vertical="top"/>
    </xf>
    <xf numFmtId="0" fontId="3" fillId="0" borderId="96" xfId="0" applyNumberFormat="1" applyFont="1" applyFill="1" applyBorder="1" applyAlignment="1">
      <alignment vertical="top"/>
    </xf>
    <xf numFmtId="176" fontId="3" fillId="0" borderId="97" xfId="0" applyNumberFormat="1" applyFont="1" applyFill="1" applyBorder="1" applyAlignment="1">
      <alignment vertical="top"/>
    </xf>
    <xf numFmtId="0" fontId="3" fillId="0" borderId="97" xfId="0" applyNumberFormat="1" applyFont="1" applyFill="1" applyBorder="1" applyAlignment="1">
      <alignment vertical="top"/>
    </xf>
    <xf numFmtId="0" fontId="3" fillId="0" borderId="98" xfId="0" applyNumberFormat="1" applyFont="1" applyFill="1" applyBorder="1" applyAlignment="1">
      <alignment vertical="top"/>
    </xf>
    <xf numFmtId="0" fontId="3" fillId="0" borderId="99" xfId="0" applyNumberFormat="1" applyFont="1" applyFill="1" applyBorder="1" applyAlignment="1">
      <alignment vertical="top"/>
    </xf>
    <xf numFmtId="0" fontId="3" fillId="0" borderId="100" xfId="0" applyNumberFormat="1" applyFont="1" applyFill="1" applyBorder="1" applyAlignment="1">
      <alignment vertical="top"/>
    </xf>
    <xf numFmtId="2" fontId="3" fillId="0" borderId="101" xfId="0" applyNumberFormat="1" applyFont="1" applyFill="1" applyBorder="1" applyAlignment="1">
      <alignment vertical="top"/>
    </xf>
    <xf numFmtId="2" fontId="3" fillId="0" borderId="102" xfId="0" applyNumberFormat="1" applyFont="1" applyFill="1" applyBorder="1" applyAlignment="1">
      <alignment vertical="top"/>
    </xf>
    <xf numFmtId="0" fontId="3" fillId="0" borderId="102" xfId="0" applyNumberFormat="1" applyFont="1" applyFill="1" applyBorder="1" applyAlignment="1">
      <alignment vertical="top"/>
    </xf>
    <xf numFmtId="176" fontId="3" fillId="0" borderId="101" xfId="0" applyNumberFormat="1" applyFont="1" applyFill="1" applyBorder="1" applyAlignment="1">
      <alignment vertical="top"/>
    </xf>
    <xf numFmtId="176" fontId="3" fillId="0" borderId="102" xfId="0" applyNumberFormat="1" applyFont="1" applyFill="1" applyBorder="1" applyAlignment="1">
      <alignment vertical="top"/>
    </xf>
    <xf numFmtId="0" fontId="3" fillId="0" borderId="103" xfId="0" applyNumberFormat="1" applyFont="1" applyFill="1" applyBorder="1" applyAlignment="1">
      <alignment vertical="top"/>
    </xf>
    <xf numFmtId="0" fontId="3" fillId="0" borderId="104" xfId="0" applyFont="1" applyFill="1" applyBorder="1" applyAlignment="1">
      <alignment vertical="top"/>
    </xf>
    <xf numFmtId="0" fontId="3" fillId="0" borderId="105" xfId="0" applyFont="1" applyFill="1" applyBorder="1" applyAlignment="1">
      <alignment vertical="top"/>
    </xf>
    <xf numFmtId="0" fontId="3" fillId="0" borderId="101" xfId="0" applyNumberFormat="1" applyFont="1" applyFill="1" applyBorder="1" applyAlignment="1">
      <alignment vertical="top"/>
    </xf>
    <xf numFmtId="0" fontId="3" fillId="0" borderId="106" xfId="0" applyNumberFormat="1" applyFont="1" applyFill="1" applyBorder="1" applyAlignment="1">
      <alignment vertical="top"/>
    </xf>
    <xf numFmtId="183" fontId="3" fillId="2" borderId="1" xfId="0" applyNumberFormat="1" applyFont="1" applyFill="1" applyBorder="1" applyAlignment="1">
      <alignment vertical="center" shrinkToFit="1"/>
    </xf>
    <xf numFmtId="1" fontId="6" fillId="0" borderId="1" xfId="0" applyNumberFormat="1" applyFont="1" applyBorder="1" applyAlignment="1">
      <alignment shrinkToFit="1"/>
    </xf>
    <xf numFmtId="1" fontId="6" fillId="0" borderId="1" xfId="0" applyNumberFormat="1" applyFont="1" applyBorder="1" applyAlignment="1">
      <alignment vertical="center" shrinkToFit="1"/>
    </xf>
    <xf numFmtId="0" fontId="6" fillId="4" borderId="1" xfId="0" applyFont="1" applyFill="1" applyBorder="1" applyAlignment="1">
      <alignment shrinkToFit="1"/>
    </xf>
    <xf numFmtId="0" fontId="6" fillId="6" borderId="1" xfId="0" applyFont="1" applyFill="1" applyBorder="1" applyAlignment="1">
      <alignment shrinkToFit="1"/>
    </xf>
    <xf numFmtId="0" fontId="6" fillId="0" borderId="1" xfId="0" applyFont="1" applyBorder="1" applyAlignment="1">
      <alignment vertical="center" shrinkToFit="1"/>
    </xf>
    <xf numFmtId="0" fontId="3" fillId="0" borderId="1" xfId="0" applyNumberFormat="1" applyFont="1" applyBorder="1" applyAlignment="1">
      <alignment horizontal="center" vertical="center" wrapText="1"/>
    </xf>
    <xf numFmtId="0" fontId="3" fillId="0" borderId="1" xfId="0" applyNumberFormat="1" applyFont="1" applyBorder="1" applyAlignment="1">
      <alignment horizontal="center" vertical="center"/>
    </xf>
    <xf numFmtId="0" fontId="16" fillId="0" borderId="0" xfId="1">
      <alignment vertical="center"/>
    </xf>
    <xf numFmtId="0" fontId="38" fillId="0" borderId="0" xfId="1" applyFont="1">
      <alignment vertical="center"/>
    </xf>
    <xf numFmtId="57" fontId="3" fillId="4" borderId="2" xfId="0" applyNumberFormat="1" applyFont="1" applyFill="1" applyBorder="1" applyAlignment="1">
      <alignment horizontal="left" vertical="center"/>
    </xf>
    <xf numFmtId="1" fontId="6" fillId="0" borderId="0" xfId="0" applyNumberFormat="1" applyFont="1" applyBorder="1" applyAlignment="1">
      <alignment shrinkToFit="1"/>
    </xf>
    <xf numFmtId="1" fontId="6" fillId="0" borderId="0" xfId="0" applyNumberFormat="1" applyFont="1" applyBorder="1" applyAlignment="1">
      <alignment vertical="center" shrinkToFit="1"/>
    </xf>
    <xf numFmtId="1" fontId="6" fillId="0" borderId="0" xfId="0" applyNumberFormat="1" applyFont="1" applyFill="1" applyBorder="1" applyAlignment="1">
      <alignment vertical="center" shrinkToFit="1"/>
    </xf>
    <xf numFmtId="0" fontId="3" fillId="4" borderId="22" xfId="0" applyFont="1" applyFill="1" applyBorder="1" applyAlignment="1">
      <alignment horizontal="left" vertical="center" indent="1"/>
    </xf>
    <xf numFmtId="0" fontId="3" fillId="0" borderId="6" xfId="0" applyFont="1" applyFill="1" applyBorder="1" applyAlignment="1">
      <alignment vertical="center"/>
    </xf>
    <xf numFmtId="0" fontId="3" fillId="2" borderId="7" xfId="0" applyFont="1" applyFill="1" applyBorder="1" applyAlignment="1">
      <alignment vertical="center"/>
    </xf>
    <xf numFmtId="0" fontId="18" fillId="2" borderId="23" xfId="0" applyFont="1" applyFill="1" applyBorder="1" applyAlignment="1">
      <alignment horizontal="center" vertical="center" wrapText="1"/>
    </xf>
    <xf numFmtId="0" fontId="18" fillId="2" borderId="27" xfId="0" applyFont="1" applyFill="1" applyBorder="1" applyAlignment="1">
      <alignment horizontal="center" vertical="center" wrapText="1"/>
    </xf>
    <xf numFmtId="0" fontId="18" fillId="2" borderId="32" xfId="0" applyFont="1" applyFill="1" applyBorder="1" applyAlignment="1">
      <alignment horizontal="center" vertical="center" wrapText="1"/>
    </xf>
    <xf numFmtId="0" fontId="5" fillId="2" borderId="32" xfId="0" applyFont="1" applyFill="1" applyBorder="1" applyAlignment="1">
      <alignment horizontal="center" vertical="center" wrapText="1"/>
    </xf>
    <xf numFmtId="1" fontId="3" fillId="2" borderId="2" xfId="0" applyNumberFormat="1" applyFont="1" applyFill="1" applyBorder="1" applyAlignment="1">
      <alignment vertical="center" shrinkToFit="1"/>
    </xf>
    <xf numFmtId="0" fontId="0" fillId="2" borderId="28" xfId="0" applyFont="1" applyFill="1" applyBorder="1" applyAlignment="1">
      <alignment horizontal="center" vertical="center" wrapText="1"/>
    </xf>
    <xf numFmtId="1" fontId="3" fillId="2" borderId="4" xfId="0" applyNumberFormat="1" applyFont="1" applyFill="1" applyBorder="1" applyAlignment="1">
      <alignment vertical="center" shrinkToFit="1"/>
    </xf>
    <xf numFmtId="0" fontId="3" fillId="4" borderId="107" xfId="0" applyFont="1" applyFill="1" applyBorder="1" applyAlignment="1">
      <alignment horizontal="left" vertical="center" indent="1"/>
    </xf>
    <xf numFmtId="0" fontId="3" fillId="0" borderId="30" xfId="0" applyFont="1" applyFill="1" applyBorder="1" applyAlignment="1">
      <alignment vertical="center"/>
    </xf>
    <xf numFmtId="0" fontId="3" fillId="2" borderId="30" xfId="0" applyFont="1" applyFill="1" applyBorder="1" applyAlignment="1">
      <alignment vertical="center"/>
    </xf>
    <xf numFmtId="0" fontId="3" fillId="2" borderId="29" xfId="0" applyFont="1" applyFill="1" applyBorder="1" applyAlignment="1">
      <alignment vertical="center"/>
    </xf>
    <xf numFmtId="0" fontId="0" fillId="2" borderId="110" xfId="0" applyFont="1" applyFill="1" applyBorder="1" applyAlignment="1">
      <alignment horizontal="center" vertical="center" wrapText="1"/>
    </xf>
    <xf numFmtId="180" fontId="3" fillId="2" borderId="30" xfId="0" applyNumberFormat="1" applyFont="1" applyFill="1" applyBorder="1" applyAlignment="1">
      <alignment vertical="center" shrinkToFit="1"/>
    </xf>
    <xf numFmtId="1" fontId="3" fillId="2" borderId="110" xfId="0" applyNumberFormat="1" applyFont="1" applyFill="1" applyBorder="1" applyAlignment="1">
      <alignment horizontal="center" vertical="center" shrinkToFit="1"/>
    </xf>
    <xf numFmtId="1" fontId="3" fillId="2" borderId="30" xfId="0" applyNumberFormat="1" applyFont="1" applyFill="1" applyBorder="1" applyAlignment="1">
      <alignment vertical="center" shrinkToFit="1"/>
    </xf>
    <xf numFmtId="0" fontId="3" fillId="0" borderId="25" xfId="0" applyFont="1" applyFill="1" applyBorder="1" applyAlignment="1">
      <alignment vertical="center"/>
    </xf>
    <xf numFmtId="0" fontId="3" fillId="3" borderId="0" xfId="0" applyFont="1" applyFill="1" applyBorder="1" applyAlignment="1">
      <alignment vertical="center"/>
    </xf>
    <xf numFmtId="0" fontId="3" fillId="2" borderId="3" xfId="0" applyFont="1" applyFill="1" applyBorder="1" applyAlignment="1">
      <alignment vertical="center"/>
    </xf>
    <xf numFmtId="0" fontId="14" fillId="0" borderId="0" xfId="0" applyFont="1" applyFill="1" applyBorder="1" applyAlignment="1">
      <alignment vertical="center"/>
    </xf>
    <xf numFmtId="0" fontId="3" fillId="2" borderId="1" xfId="0" applyFont="1" applyFill="1" applyBorder="1" applyAlignment="1">
      <alignment horizontal="right" vertical="center" shrinkToFit="1"/>
    </xf>
    <xf numFmtId="0" fontId="6" fillId="2" borderId="1" xfId="0" applyFont="1" applyFill="1" applyBorder="1" applyAlignment="1">
      <alignment horizontal="center" vertical="center" shrinkToFit="1"/>
    </xf>
    <xf numFmtId="0" fontId="6" fillId="2" borderId="1" xfId="0" applyFont="1" applyFill="1" applyBorder="1" applyAlignment="1">
      <alignment horizontal="center" wrapText="1"/>
    </xf>
    <xf numFmtId="176" fontId="3" fillId="0" borderId="1" xfId="0" applyNumberFormat="1" applyFont="1" applyFill="1" applyBorder="1" applyAlignment="1">
      <alignment horizontal="center" vertical="center" wrapText="1"/>
    </xf>
    <xf numFmtId="0" fontId="3" fillId="2" borderId="112" xfId="0" applyFont="1" applyFill="1" applyBorder="1" applyAlignment="1">
      <alignment vertical="center"/>
    </xf>
    <xf numFmtId="0" fontId="3" fillId="2" borderId="19" xfId="0" applyFont="1" applyFill="1" applyBorder="1" applyAlignment="1">
      <alignment vertical="center"/>
    </xf>
    <xf numFmtId="0" fontId="15" fillId="2" borderId="5" xfId="0" applyFont="1" applyFill="1" applyBorder="1" applyAlignment="1">
      <alignment horizontal="center" wrapText="1"/>
    </xf>
    <xf numFmtId="0" fontId="6" fillId="2" borderId="111" xfId="0" applyFont="1" applyFill="1" applyBorder="1" applyAlignment="1">
      <alignment horizontal="center" wrapText="1"/>
    </xf>
    <xf numFmtId="0" fontId="3" fillId="0" borderId="5" xfId="0" applyFont="1" applyBorder="1" applyAlignment="1">
      <alignment vertical="center"/>
    </xf>
    <xf numFmtId="0" fontId="3" fillId="0" borderId="111" xfId="0" applyFont="1" applyBorder="1" applyAlignment="1">
      <alignment vertical="center"/>
    </xf>
    <xf numFmtId="180" fontId="3" fillId="3" borderId="1" xfId="0" applyNumberFormat="1" applyFont="1" applyFill="1" applyBorder="1" applyAlignment="1">
      <alignment vertical="center" shrinkToFit="1"/>
    </xf>
    <xf numFmtId="180" fontId="3" fillId="3" borderId="29" xfId="0" applyNumberFormat="1" applyFont="1" applyFill="1" applyBorder="1" applyAlignment="1">
      <alignment vertical="center" shrinkToFit="1"/>
    </xf>
    <xf numFmtId="0" fontId="3" fillId="4" borderId="3" xfId="0" applyFont="1" applyFill="1" applyBorder="1" applyAlignment="1">
      <alignment horizontal="left" vertical="center"/>
    </xf>
    <xf numFmtId="0" fontId="15" fillId="2" borderId="22" xfId="0" applyFont="1" applyFill="1" applyBorder="1" applyAlignment="1">
      <alignment horizontal="center" wrapText="1"/>
    </xf>
    <xf numFmtId="0" fontId="6" fillId="2" borderId="28" xfId="0" applyFont="1" applyFill="1" applyBorder="1" applyAlignment="1">
      <alignment horizontal="center" wrapText="1"/>
    </xf>
    <xf numFmtId="0" fontId="6" fillId="2" borderId="4" xfId="0" applyFont="1" applyFill="1" applyBorder="1" applyAlignment="1">
      <alignment horizontal="center" wrapText="1"/>
    </xf>
    <xf numFmtId="0" fontId="3" fillId="0" borderId="20" xfId="0" applyFont="1" applyFill="1" applyBorder="1" applyAlignment="1">
      <alignment vertical="center"/>
    </xf>
    <xf numFmtId="0" fontId="3" fillId="2" borderId="113" xfId="0" applyFont="1" applyFill="1" applyBorder="1" applyAlignment="1">
      <alignment vertical="center"/>
    </xf>
    <xf numFmtId="0" fontId="6" fillId="2" borderId="30" xfId="0" applyFont="1" applyFill="1" applyBorder="1" applyAlignment="1">
      <alignment horizontal="center" vertical="center" shrinkToFit="1"/>
    </xf>
    <xf numFmtId="179" fontId="3" fillId="0" borderId="0" xfId="0" applyNumberFormat="1" applyFont="1" applyBorder="1" applyAlignment="1">
      <alignment vertical="center"/>
    </xf>
    <xf numFmtId="179" fontId="3" fillId="0" borderId="0" xfId="0" applyNumberFormat="1" applyFont="1" applyFill="1" applyBorder="1" applyAlignment="1">
      <alignment vertical="center"/>
    </xf>
    <xf numFmtId="179" fontId="32" fillId="0" borderId="0" xfId="0" applyNumberFormat="1" applyFont="1" applyFill="1" applyBorder="1" applyAlignment="1">
      <alignment vertical="center"/>
    </xf>
    <xf numFmtId="179" fontId="6" fillId="0" borderId="0" xfId="0" applyNumberFormat="1" applyFont="1" applyBorder="1" applyAlignment="1">
      <alignment horizontal="center" vertical="top"/>
    </xf>
    <xf numFmtId="179" fontId="3" fillId="3" borderId="0" xfId="0" applyNumberFormat="1" applyFont="1" applyFill="1" applyBorder="1" applyAlignment="1">
      <alignment vertical="center"/>
    </xf>
    <xf numFmtId="179" fontId="3" fillId="7" borderId="0" xfId="0" applyNumberFormat="1" applyFont="1" applyFill="1" applyBorder="1" applyAlignment="1">
      <alignment vertical="center"/>
    </xf>
    <xf numFmtId="184" fontId="0" fillId="7" borderId="0" xfId="0" applyNumberFormat="1" applyFill="1">
      <alignment vertical="center"/>
    </xf>
    <xf numFmtId="2" fontId="14" fillId="0" borderId="15" xfId="0" applyNumberFormat="1" applyFont="1" applyFill="1" applyBorder="1" applyAlignment="1">
      <alignment horizontal="center" vertical="center" shrinkToFit="1"/>
    </xf>
    <xf numFmtId="2" fontId="0" fillId="0" borderId="16" xfId="0" applyNumberFormat="1" applyFont="1" applyBorder="1" applyAlignment="1">
      <alignment horizontal="center" vertical="center" shrinkToFit="1"/>
    </xf>
    <xf numFmtId="2" fontId="0" fillId="0" borderId="17" xfId="0" applyNumberFormat="1" applyFont="1" applyBorder="1" applyAlignment="1">
      <alignment horizontal="center" vertical="center" shrinkToFit="1"/>
    </xf>
    <xf numFmtId="2" fontId="0" fillId="0" borderId="18" xfId="0" applyNumberFormat="1" applyFont="1" applyBorder="1" applyAlignment="1">
      <alignment horizontal="center" vertical="center" shrinkToFit="1"/>
    </xf>
    <xf numFmtId="0" fontId="3" fillId="0" borderId="0" xfId="0" applyFont="1" applyFill="1" applyBorder="1" applyAlignment="1">
      <alignment horizontal="center" vertical="center" textRotation="90" wrapText="1"/>
    </xf>
    <xf numFmtId="0" fontId="0" fillId="0" borderId="0" xfId="0" applyFont="1" applyAlignment="1">
      <alignment horizontal="center" vertical="center" textRotation="90" wrapText="1"/>
    </xf>
    <xf numFmtId="0" fontId="0" fillId="0" borderId="19" xfId="0" applyFont="1" applyBorder="1" applyAlignment="1">
      <alignment horizontal="center" vertical="center" textRotation="90" wrapText="1"/>
    </xf>
    <xf numFmtId="0" fontId="21" fillId="0" borderId="5" xfId="0" applyFont="1" applyFill="1" applyBorder="1" applyAlignment="1">
      <alignment vertical="top" wrapText="1"/>
    </xf>
    <xf numFmtId="0" fontId="22" fillId="0" borderId="6" xfId="0" applyFont="1" applyBorder="1" applyAlignment="1">
      <alignment vertical="top" wrapText="1"/>
    </xf>
    <xf numFmtId="0" fontId="22" fillId="0" borderId="7" xfId="0" applyFont="1" applyBorder="1" applyAlignment="1">
      <alignment vertical="top" wrapText="1"/>
    </xf>
    <xf numFmtId="0" fontId="18"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3" fillId="2" borderId="108" xfId="0" applyFont="1" applyFill="1" applyBorder="1" applyAlignment="1">
      <alignment horizontal="center" vertical="center" wrapText="1"/>
    </xf>
    <xf numFmtId="0" fontId="3" fillId="2" borderId="109" xfId="0" applyFont="1" applyFill="1" applyBorder="1" applyAlignment="1">
      <alignment horizontal="center" vertical="center" wrapText="1"/>
    </xf>
    <xf numFmtId="0" fontId="3" fillId="2" borderId="110"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6"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8" fillId="2" borderId="10"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3" fillId="0" borderId="0" xfId="0" applyFont="1" applyFill="1" applyBorder="1" applyAlignment="1">
      <alignment vertical="top" wrapText="1"/>
    </xf>
    <xf numFmtId="0" fontId="33" fillId="0" borderId="0" xfId="0" applyFont="1" applyAlignment="1">
      <alignment vertical="top" wrapText="1"/>
    </xf>
    <xf numFmtId="0" fontId="8" fillId="0" borderId="0" xfId="0" applyFont="1" applyFill="1" applyBorder="1" applyAlignment="1">
      <alignment vertical="top" wrapText="1"/>
    </xf>
    <xf numFmtId="0" fontId="17" fillId="0" borderId="0" xfId="0" applyFont="1" applyAlignment="1">
      <alignment vertical="top"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8" fillId="2" borderId="5" xfId="0" applyFont="1" applyFill="1" applyBorder="1" applyAlignment="1">
      <alignment horizontal="center" vertical="top" wrapText="1"/>
    </xf>
    <xf numFmtId="0" fontId="17" fillId="2" borderId="6" xfId="0" applyFont="1" applyFill="1" applyBorder="1" applyAlignment="1">
      <alignment horizontal="center" vertical="top" wrapText="1"/>
    </xf>
    <xf numFmtId="0" fontId="17" fillId="2" borderId="7" xfId="0" applyFont="1" applyFill="1" applyBorder="1" applyAlignment="1">
      <alignment horizontal="center" vertical="top" wrapText="1"/>
    </xf>
    <xf numFmtId="57" fontId="15" fillId="0" borderId="0" xfId="0" applyNumberFormat="1" applyFont="1" applyFill="1" applyBorder="1" applyAlignment="1">
      <alignment textRotation="90" wrapText="1"/>
    </xf>
    <xf numFmtId="0" fontId="35" fillId="0" borderId="0" xfId="0" applyFont="1" applyAlignment="1">
      <alignment wrapText="1"/>
    </xf>
    <xf numFmtId="0" fontId="35" fillId="0" borderId="0" xfId="0" applyFont="1" applyAlignment="1">
      <alignment textRotation="90" wrapText="1"/>
    </xf>
    <xf numFmtId="0" fontId="35" fillId="0" borderId="19" xfId="0" applyFont="1" applyBorder="1" applyAlignment="1">
      <alignment textRotation="90" wrapText="1"/>
    </xf>
    <xf numFmtId="0" fontId="35" fillId="0" borderId="19" xfId="0" applyFont="1" applyBorder="1" applyAlignment="1">
      <alignment wrapText="1"/>
    </xf>
    <xf numFmtId="57" fontId="3" fillId="0" borderId="0" xfId="0" applyNumberFormat="1" applyFont="1" applyFill="1" applyBorder="1" applyAlignment="1">
      <alignment textRotation="90" wrapText="1"/>
    </xf>
    <xf numFmtId="0" fontId="0" fillId="0" borderId="0" xfId="0" applyFont="1" applyAlignment="1">
      <alignment wrapText="1"/>
    </xf>
    <xf numFmtId="0" fontId="0" fillId="0" borderId="0" xfId="0" applyFont="1" applyAlignment="1">
      <alignment textRotation="90" wrapText="1"/>
    </xf>
    <xf numFmtId="0" fontId="0" fillId="0" borderId="19" xfId="0" applyFont="1" applyBorder="1" applyAlignment="1">
      <alignment textRotation="90" wrapText="1"/>
    </xf>
    <xf numFmtId="0" fontId="0" fillId="0" borderId="19" xfId="0" applyFont="1" applyBorder="1" applyAlignment="1">
      <alignment wrapText="1"/>
    </xf>
    <xf numFmtId="0" fontId="3" fillId="0" borderId="0" xfId="0" applyFont="1" applyFill="1" applyBorder="1" applyAlignment="1">
      <alignment vertical="center" wrapText="1"/>
    </xf>
    <xf numFmtId="0" fontId="0" fillId="0" borderId="0" xfId="0" applyFont="1" applyAlignment="1">
      <alignment vertical="center" wrapText="1"/>
    </xf>
    <xf numFmtId="0" fontId="18" fillId="2" borderId="10" xfId="0" applyFont="1" applyFill="1" applyBorder="1" applyAlignment="1">
      <alignment horizontal="center" vertical="top" wrapText="1"/>
    </xf>
    <xf numFmtId="0" fontId="18" fillId="2" borderId="11" xfId="0" applyFont="1" applyFill="1" applyBorder="1" applyAlignment="1">
      <alignment horizontal="center" vertical="top" wrapText="1"/>
    </xf>
    <xf numFmtId="0" fontId="18" fillId="2" borderId="12" xfId="0" applyFont="1" applyFill="1" applyBorder="1" applyAlignment="1">
      <alignment horizontal="center" vertical="top" wrapText="1"/>
    </xf>
    <xf numFmtId="0" fontId="3" fillId="0" borderId="2" xfId="0" applyNumberFormat="1" applyFont="1" applyFill="1" applyBorder="1" applyAlignment="1">
      <alignment vertical="top" shrinkToFit="1"/>
    </xf>
    <xf numFmtId="0" fontId="0" fillId="0" borderId="3" xfId="0" applyBorder="1" applyAlignment="1">
      <alignment vertical="top" shrinkToFit="1"/>
    </xf>
    <xf numFmtId="0" fontId="0" fillId="0" borderId="4" xfId="0" applyBorder="1" applyAlignment="1">
      <alignment vertical="top" shrinkToFit="1"/>
    </xf>
    <xf numFmtId="0" fontId="3" fillId="0" borderId="5" xfId="0" applyNumberFormat="1" applyFont="1" applyFill="1" applyBorder="1" applyAlignment="1">
      <alignment vertical="top" shrinkToFit="1"/>
    </xf>
    <xf numFmtId="0" fontId="0" fillId="0" borderId="6" xfId="0" applyBorder="1" applyAlignment="1">
      <alignment vertical="top" shrinkToFit="1"/>
    </xf>
    <xf numFmtId="0" fontId="3" fillId="0" borderId="23" xfId="0" applyNumberFormat="1" applyFont="1" applyFill="1" applyBorder="1" applyAlignment="1">
      <alignment vertical="top" shrinkToFit="1"/>
    </xf>
    <xf numFmtId="0" fontId="0" fillId="0" borderId="22" xfId="0" applyBorder="1" applyAlignment="1">
      <alignment vertical="top" shrinkToFit="1"/>
    </xf>
    <xf numFmtId="0" fontId="0" fillId="0" borderId="32" xfId="0" applyBorder="1" applyAlignment="1">
      <alignment vertical="top" shrinkToFit="1"/>
    </xf>
    <xf numFmtId="0" fontId="0" fillId="0" borderId="28" xfId="0" applyBorder="1" applyAlignment="1">
      <alignment vertical="top" shrinkToFit="1"/>
    </xf>
    <xf numFmtId="0" fontId="3" fillId="0" borderId="3" xfId="0" applyNumberFormat="1" applyFont="1" applyFill="1" applyBorder="1" applyAlignment="1">
      <alignment vertical="top" shrinkToFit="1"/>
    </xf>
    <xf numFmtId="0" fontId="3" fillId="0" borderId="2" xfId="0" applyNumberFormat="1" applyFont="1" applyFill="1" applyBorder="1" applyAlignment="1">
      <alignment horizontal="center" vertical="top" shrinkToFit="1"/>
    </xf>
    <xf numFmtId="0" fontId="0" fillId="0" borderId="3" xfId="0" applyBorder="1" applyAlignment="1">
      <alignment horizontal="center" vertical="top" shrinkToFit="1"/>
    </xf>
    <xf numFmtId="0" fontId="0" fillId="0" borderId="4" xfId="0" applyBorder="1" applyAlignment="1">
      <alignment horizontal="center" vertical="top" shrinkToFit="1"/>
    </xf>
    <xf numFmtId="0" fontId="3" fillId="0" borderId="23" xfId="0" applyNumberFormat="1" applyFont="1" applyFill="1" applyBorder="1" applyAlignment="1">
      <alignment horizontal="center" vertical="top" shrinkToFit="1"/>
    </xf>
    <xf numFmtId="0" fontId="0" fillId="0" borderId="22" xfId="0" applyBorder="1" applyAlignment="1">
      <alignment horizontal="center" vertical="top" shrinkToFit="1"/>
    </xf>
    <xf numFmtId="0" fontId="0" fillId="0" borderId="32" xfId="0" applyBorder="1" applyAlignment="1">
      <alignment horizontal="center" vertical="top" shrinkToFit="1"/>
    </xf>
    <xf numFmtId="0" fontId="0" fillId="0" borderId="28" xfId="0" applyBorder="1" applyAlignment="1">
      <alignment horizontal="center" vertical="top" shrinkToFit="1"/>
    </xf>
    <xf numFmtId="0" fontId="0" fillId="0" borderId="24" xfId="0" applyBorder="1" applyAlignment="1">
      <alignment horizontal="center" vertical="top" shrinkToFit="1"/>
    </xf>
    <xf numFmtId="0" fontId="0" fillId="0" borderId="19" xfId="0" applyBorder="1" applyAlignment="1">
      <alignment horizontal="center" vertical="top" shrinkToFit="1"/>
    </xf>
    <xf numFmtId="0" fontId="3" fillId="0" borderId="23" xfId="0" applyNumberFormat="1" applyFont="1" applyFill="1" applyBorder="1" applyAlignment="1">
      <alignment horizontal="center" vertical="top" wrapText="1"/>
    </xf>
    <xf numFmtId="0" fontId="0" fillId="0" borderId="22" xfId="0" applyBorder="1" applyAlignment="1">
      <alignment horizontal="center" vertical="top" wrapText="1"/>
    </xf>
    <xf numFmtId="0" fontId="0" fillId="0" borderId="27" xfId="0" applyBorder="1" applyAlignment="1">
      <alignment horizontal="center" vertical="top" wrapText="1"/>
    </xf>
    <xf numFmtId="0" fontId="0" fillId="0" borderId="26" xfId="0" applyBorder="1" applyAlignment="1">
      <alignment horizontal="center" vertical="top" wrapText="1"/>
    </xf>
    <xf numFmtId="0" fontId="0" fillId="0" borderId="27" xfId="0" applyBorder="1" applyAlignment="1">
      <alignment horizontal="center" vertical="top" shrinkToFit="1"/>
    </xf>
    <xf numFmtId="0" fontId="0" fillId="0" borderId="0" xfId="0" applyBorder="1" applyAlignment="1">
      <alignment horizontal="center" vertical="top" shrinkToFit="1"/>
    </xf>
    <xf numFmtId="0" fontId="0" fillId="0" borderId="26" xfId="0" applyBorder="1" applyAlignment="1">
      <alignment horizontal="center" vertical="top" shrinkToFit="1"/>
    </xf>
    <xf numFmtId="0" fontId="3" fillId="0" borderId="37" xfId="0" applyNumberFormat="1" applyFont="1" applyFill="1" applyBorder="1" applyAlignment="1">
      <alignment vertical="top" wrapText="1"/>
    </xf>
    <xf numFmtId="0" fontId="0" fillId="0" borderId="38" xfId="0" applyBorder="1" applyAlignment="1">
      <alignment vertical="top" wrapText="1"/>
    </xf>
    <xf numFmtId="0" fontId="0" fillId="0" borderId="40" xfId="0" applyBorder="1" applyAlignment="1">
      <alignment vertical="top" wrapText="1"/>
    </xf>
    <xf numFmtId="0" fontId="0" fillId="0" borderId="41" xfId="0" applyBorder="1" applyAlignment="1">
      <alignment vertical="top" wrapText="1"/>
    </xf>
    <xf numFmtId="0" fontId="0" fillId="0" borderId="39" xfId="0" applyBorder="1" applyAlignment="1">
      <alignment vertical="top" wrapText="1"/>
    </xf>
    <xf numFmtId="0" fontId="0" fillId="0" borderId="42" xfId="0" applyBorder="1" applyAlignment="1">
      <alignment vertical="top" wrapText="1"/>
    </xf>
    <xf numFmtId="0" fontId="3" fillId="0" borderId="33" xfId="0" applyNumberFormat="1" applyFont="1" applyFill="1" applyBorder="1" applyAlignment="1">
      <alignment vertical="top" wrapText="1"/>
    </xf>
    <xf numFmtId="0" fontId="0" fillId="0" borderId="34" xfId="0" applyBorder="1" applyAlignment="1">
      <alignment vertical="top" wrapText="1"/>
    </xf>
    <xf numFmtId="0" fontId="0" fillId="0" borderId="35" xfId="0" applyBorder="1" applyAlignment="1">
      <alignment vertical="top" wrapText="1"/>
    </xf>
    <xf numFmtId="0" fontId="3" fillId="0" borderId="33" xfId="0" applyNumberFormat="1" applyFont="1" applyFill="1" applyBorder="1" applyAlignment="1">
      <alignment vertical="top" shrinkToFit="1"/>
    </xf>
    <xf numFmtId="0" fontId="0" fillId="0" borderId="34" xfId="0" applyBorder="1" applyAlignment="1">
      <alignment vertical="top" shrinkToFit="1"/>
    </xf>
    <xf numFmtId="0" fontId="0" fillId="0" borderId="35" xfId="0" applyBorder="1" applyAlignment="1">
      <alignment vertical="top" shrinkToFit="1"/>
    </xf>
    <xf numFmtId="0" fontId="6" fillId="0" borderId="23" xfId="0" applyNumberFormat="1" applyFont="1" applyFill="1" applyBorder="1" applyAlignment="1">
      <alignment horizontal="center" vertical="top" wrapText="1"/>
    </xf>
    <xf numFmtId="0" fontId="42" fillId="0" borderId="22" xfId="0" applyFont="1" applyBorder="1" applyAlignment="1">
      <alignment horizontal="center" vertical="top" wrapText="1"/>
    </xf>
    <xf numFmtId="0" fontId="42" fillId="0" borderId="32" xfId="0" applyFont="1" applyBorder="1" applyAlignment="1">
      <alignment horizontal="center" vertical="top" wrapText="1"/>
    </xf>
    <xf numFmtId="0" fontId="42" fillId="0" borderId="28" xfId="0" applyFont="1" applyBorder="1" applyAlignment="1">
      <alignment horizontal="center" vertical="top" wrapText="1"/>
    </xf>
    <xf numFmtId="0" fontId="42" fillId="0" borderId="27" xfId="0" applyFont="1" applyBorder="1" applyAlignment="1">
      <alignment horizontal="center" vertical="top" wrapText="1"/>
    </xf>
    <xf numFmtId="0" fontId="42" fillId="0" borderId="26" xfId="0" applyFont="1" applyBorder="1" applyAlignment="1">
      <alignment horizontal="center" vertical="top" wrapText="1"/>
    </xf>
    <xf numFmtId="0" fontId="0" fillId="0" borderId="24" xfId="0" applyBorder="1" applyAlignment="1">
      <alignment horizontal="center" vertical="top" wrapText="1"/>
    </xf>
    <xf numFmtId="0" fontId="0" fillId="0" borderId="0" xfId="0" applyBorder="1" applyAlignment="1">
      <alignment horizontal="center" vertical="top" wrapText="1"/>
    </xf>
    <xf numFmtId="0" fontId="11" fillId="0" borderId="5" xfId="2" applyFont="1" applyFill="1" applyBorder="1" applyAlignment="1">
      <alignment horizontal="center" vertical="top" textRotation="180" wrapText="1"/>
    </xf>
    <xf numFmtId="0" fontId="11" fillId="0" borderId="6" xfId="2" applyFont="1" applyFill="1" applyBorder="1" applyAlignment="1">
      <alignment horizontal="center" vertical="top" textRotation="180" wrapText="1"/>
    </xf>
    <xf numFmtId="0" fontId="26" fillId="0" borderId="5" xfId="2" applyFont="1" applyBorder="1" applyAlignment="1">
      <alignment horizontal="center" vertical="center" textRotation="180" wrapText="1"/>
    </xf>
    <xf numFmtId="0" fontId="26" fillId="0" borderId="6" xfId="2" applyFont="1" applyBorder="1" applyAlignment="1">
      <alignment horizontal="center" vertical="center" textRotation="180" wrapText="1"/>
    </xf>
    <xf numFmtId="0" fontId="26" fillId="0" borderId="21" xfId="2" applyFont="1" applyBorder="1" applyAlignment="1">
      <alignment horizontal="center" vertical="center" textRotation="180" wrapText="1"/>
    </xf>
    <xf numFmtId="0" fontId="1" fillId="0" borderId="25" xfId="2" applyBorder="1" applyAlignment="1">
      <alignment horizontal="center" vertical="center" textRotation="180" wrapText="1"/>
    </xf>
    <xf numFmtId="0" fontId="1" fillId="0" borderId="29" xfId="2" applyBorder="1" applyAlignment="1">
      <alignment horizontal="center" vertical="center" textRotation="180" wrapText="1"/>
    </xf>
    <xf numFmtId="0" fontId="11" fillId="0" borderId="24" xfId="2" applyFont="1" applyFill="1" applyBorder="1" applyAlignment="1">
      <alignment horizontal="center" vertical="top" textRotation="180" wrapText="1"/>
    </xf>
    <xf numFmtId="0" fontId="11" fillId="0" borderId="0" xfId="2" applyFont="1" applyFill="1" applyBorder="1" applyAlignment="1">
      <alignment horizontal="center" vertical="top" textRotation="180" wrapText="1"/>
    </xf>
    <xf numFmtId="0" fontId="1" fillId="0" borderId="6" xfId="2" applyBorder="1" applyAlignment="1">
      <alignment horizontal="center" vertical="center" textRotation="180" wrapText="1"/>
    </xf>
    <xf numFmtId="0" fontId="1" fillId="0" borderId="7" xfId="2" applyBorder="1" applyAlignment="1">
      <alignment horizontal="center" vertical="center" textRotation="180" wrapText="1"/>
    </xf>
    <xf numFmtId="0" fontId="11" fillId="0" borderId="23" xfId="2" applyFont="1" applyFill="1" applyBorder="1" applyAlignment="1">
      <alignment horizontal="center" vertical="top" textRotation="180" wrapText="1"/>
    </xf>
    <xf numFmtId="0" fontId="11" fillId="0" borderId="27" xfId="2" applyFont="1" applyFill="1" applyBorder="1" applyAlignment="1">
      <alignment horizontal="center" vertical="top" textRotation="180" wrapText="1"/>
    </xf>
    <xf numFmtId="0" fontId="19" fillId="0" borderId="5" xfId="2" applyFont="1" applyFill="1" applyBorder="1" applyAlignment="1">
      <alignment horizontal="center" vertical="center" wrapText="1"/>
    </xf>
    <xf numFmtId="0" fontId="19" fillId="0" borderId="6" xfId="2" applyFont="1" applyFill="1" applyBorder="1" applyAlignment="1">
      <alignment horizontal="center" vertical="center" wrapText="1"/>
    </xf>
    <xf numFmtId="0" fontId="19" fillId="0" borderId="7" xfId="2" applyFont="1" applyFill="1" applyBorder="1" applyAlignment="1">
      <alignment horizontal="center" vertical="center" wrapText="1"/>
    </xf>
    <xf numFmtId="0" fontId="11" fillId="0" borderId="21" xfId="2" applyFont="1" applyFill="1" applyBorder="1" applyAlignment="1">
      <alignment horizontal="center" vertical="center" wrapText="1"/>
    </xf>
    <xf numFmtId="0" fontId="1" fillId="0" borderId="25" xfId="2" applyFill="1" applyBorder="1" applyAlignment="1">
      <alignment horizontal="center" vertical="center" wrapText="1"/>
    </xf>
    <xf numFmtId="0" fontId="1" fillId="0" borderId="29" xfId="2" applyFill="1" applyBorder="1" applyAlignment="1">
      <alignment horizontal="center" vertical="center" wrapText="1"/>
    </xf>
    <xf numFmtId="0" fontId="19" fillId="0" borderId="22" xfId="2" applyFont="1" applyFill="1" applyBorder="1" applyAlignment="1">
      <alignment horizontal="center" vertical="center" wrapText="1"/>
    </xf>
    <xf numFmtId="0" fontId="19" fillId="0" borderId="26" xfId="2" applyFont="1" applyFill="1" applyBorder="1" applyAlignment="1">
      <alignment horizontal="center" vertical="center" wrapText="1"/>
    </xf>
    <xf numFmtId="0" fontId="19" fillId="0" borderId="28" xfId="2" applyFont="1" applyFill="1" applyBorder="1" applyAlignment="1">
      <alignment horizontal="center" vertical="center" wrapText="1"/>
    </xf>
    <xf numFmtId="0" fontId="23" fillId="0" borderId="5" xfId="2" applyFont="1" applyFill="1" applyBorder="1" applyAlignment="1">
      <alignment horizontal="center" vertical="center" wrapText="1"/>
    </xf>
    <xf numFmtId="0" fontId="23" fillId="0" borderId="6" xfId="2" applyFont="1" applyFill="1" applyBorder="1" applyAlignment="1">
      <alignment horizontal="center" vertical="center" wrapText="1"/>
    </xf>
    <xf numFmtId="0" fontId="23" fillId="0" borderId="7" xfId="2" applyFont="1" applyFill="1" applyBorder="1" applyAlignment="1">
      <alignment horizontal="center" vertical="center" wrapText="1"/>
    </xf>
    <xf numFmtId="0" fontId="23" fillId="0" borderId="5" xfId="2" applyFont="1" applyFill="1" applyBorder="1" applyAlignment="1">
      <alignment horizontal="center" vertical="top" textRotation="180" wrapText="1"/>
    </xf>
    <xf numFmtId="0" fontId="23" fillId="0" borderId="6" xfId="2" applyFont="1" applyFill="1" applyBorder="1" applyAlignment="1">
      <alignment horizontal="center" vertical="top" textRotation="180" wrapText="1"/>
    </xf>
    <xf numFmtId="0" fontId="23" fillId="0" borderId="23" xfId="2" applyFont="1" applyFill="1" applyBorder="1" applyAlignment="1">
      <alignment horizontal="center" vertical="top" textRotation="180" wrapText="1"/>
    </xf>
    <xf numFmtId="0" fontId="23" fillId="0" borderId="27" xfId="2" applyFont="1" applyFill="1" applyBorder="1" applyAlignment="1">
      <alignment horizontal="center" vertical="top" textRotation="180" wrapText="1"/>
    </xf>
    <xf numFmtId="0" fontId="19" fillId="0" borderId="21" xfId="2" applyFont="1" applyFill="1" applyBorder="1" applyAlignment="1">
      <alignment horizontal="center" vertical="top" textRotation="180" wrapText="1"/>
    </xf>
    <xf numFmtId="0" fontId="19" fillId="0" borderId="25" xfId="2" applyFont="1" applyFill="1" applyBorder="1" applyAlignment="1">
      <alignment horizontal="center" vertical="top" textRotation="180" wrapText="1"/>
    </xf>
    <xf numFmtId="0" fontId="23" fillId="0" borderId="22" xfId="2" applyFont="1" applyFill="1" applyBorder="1" applyAlignment="1">
      <alignment horizontal="center" vertical="top" textRotation="180" wrapText="1"/>
    </xf>
    <xf numFmtId="0" fontId="23" fillId="0" borderId="26" xfId="2" applyFont="1" applyFill="1" applyBorder="1" applyAlignment="1">
      <alignment horizontal="center" vertical="top" textRotation="180" wrapText="1"/>
    </xf>
    <xf numFmtId="0" fontId="19" fillId="0" borderId="5" xfId="2" applyFont="1" applyFill="1" applyBorder="1" applyAlignment="1">
      <alignment horizontal="center" vertical="top" textRotation="180" wrapText="1"/>
    </xf>
    <xf numFmtId="0" fontId="19" fillId="0" borderId="6" xfId="2" applyFont="1" applyFill="1" applyBorder="1" applyAlignment="1">
      <alignment horizontal="center" vertical="top" textRotation="180" wrapText="1"/>
    </xf>
    <xf numFmtId="0" fontId="23" fillId="0" borderId="21" xfId="2" applyFont="1" applyFill="1" applyBorder="1" applyAlignment="1">
      <alignment horizontal="center" vertical="top" textRotation="180" wrapText="1"/>
    </xf>
    <xf numFmtId="0" fontId="23" fillId="0" borderId="25" xfId="2" applyFont="1" applyFill="1" applyBorder="1" applyAlignment="1">
      <alignment horizontal="center" vertical="top" textRotation="180" wrapText="1"/>
    </xf>
  </cellXfs>
  <cellStyles count="6">
    <cellStyle name="ハイパーリンク" xfId="1" builtinId="8"/>
    <cellStyle name="桁区切り" xfId="3" builtinId="6"/>
    <cellStyle name="標準" xfId="0" builtinId="0"/>
    <cellStyle name="標準 2" xfId="2"/>
    <cellStyle name="標準_0601県ごみ" xfId="4"/>
    <cellStyle name="標準_全項目データ"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FFFF"/>
      <rgbColor rgb="00000000"/>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3333FF"/>
      <color rgb="FFFFFFCC"/>
      <color rgb="FFCCFFCC"/>
      <color rgb="FFFF33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10.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1.xml"/></Relationships>
</file>

<file path=xl/charts/_rels/chart12.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2.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7.9612237203938618E-2"/>
          <c:y val="0.16039085742718051"/>
          <c:w val="0.84738150871401319"/>
          <c:h val="0.77599176765830968"/>
        </c:manualLayout>
      </c:layout>
      <c:barChart>
        <c:barDir val="col"/>
        <c:grouping val="stacked"/>
        <c:varyColors val="0"/>
        <c:ser>
          <c:idx val="0"/>
          <c:order val="4"/>
          <c:tx>
            <c:strRef>
              <c:f>まとめ!$AI$29</c:f>
              <c:strCache>
                <c:ptCount val="1"/>
                <c:pt idx="0">
                  <c:v>主灰飛灰混合灰中Cs集積量(x0.1MBq/月)</c:v>
                </c:pt>
              </c:strCache>
            </c:strRef>
          </c:tx>
          <c:spPr>
            <a:pattFill prst="dkDnDiag">
              <a:fgClr>
                <a:srgbClr val="FFFF99"/>
              </a:fgClr>
              <a:bgClr>
                <a:sysClr val="window" lastClr="FFFFFF"/>
              </a:bgClr>
            </a:pattFill>
            <a:ln w="0">
              <a:solidFill>
                <a:sysClr val="window" lastClr="FFFFFF">
                  <a:lumMod val="75000"/>
                </a:sysClr>
              </a:solidFill>
              <a:prstDash val="solid"/>
            </a:ln>
          </c:spPr>
          <c:invertIfNegative val="0"/>
          <c:cat>
            <c:numRef>
              <c:f>まとめ!$R$32:$R$119</c:f>
              <c:numCache>
                <c:formatCode>[$-411]ge\.m</c:formatCode>
                <c:ptCount val="88"/>
                <c:pt idx="0">
                  <c:v>40614</c:v>
                </c:pt>
                <c:pt idx="1">
                  <c:v>40923</c:v>
                </c:pt>
                <c:pt idx="2">
                  <c:v>40954</c:v>
                </c:pt>
                <c:pt idx="3">
                  <c:v>40983</c:v>
                </c:pt>
                <c:pt idx="4">
                  <c:v>41014</c:v>
                </c:pt>
                <c:pt idx="5">
                  <c:v>41044</c:v>
                </c:pt>
                <c:pt idx="6">
                  <c:v>41075</c:v>
                </c:pt>
                <c:pt idx="7">
                  <c:v>41105</c:v>
                </c:pt>
                <c:pt idx="8">
                  <c:v>41136</c:v>
                </c:pt>
                <c:pt idx="9">
                  <c:v>41167</c:v>
                </c:pt>
                <c:pt idx="10">
                  <c:v>41197</c:v>
                </c:pt>
                <c:pt idx="11">
                  <c:v>41228</c:v>
                </c:pt>
                <c:pt idx="12">
                  <c:v>41258</c:v>
                </c:pt>
                <c:pt idx="13">
                  <c:v>41289</c:v>
                </c:pt>
                <c:pt idx="14">
                  <c:v>41320</c:v>
                </c:pt>
                <c:pt idx="15">
                  <c:v>41348</c:v>
                </c:pt>
                <c:pt idx="16">
                  <c:v>41379</c:v>
                </c:pt>
                <c:pt idx="17">
                  <c:v>41409</c:v>
                </c:pt>
                <c:pt idx="18">
                  <c:v>41440</c:v>
                </c:pt>
                <c:pt idx="19">
                  <c:v>41470</c:v>
                </c:pt>
                <c:pt idx="20">
                  <c:v>41501</c:v>
                </c:pt>
                <c:pt idx="21">
                  <c:v>41532</c:v>
                </c:pt>
                <c:pt idx="22">
                  <c:v>41562</c:v>
                </c:pt>
                <c:pt idx="23">
                  <c:v>41593</c:v>
                </c:pt>
                <c:pt idx="24">
                  <c:v>41623</c:v>
                </c:pt>
                <c:pt idx="25">
                  <c:v>41654</c:v>
                </c:pt>
                <c:pt idx="26">
                  <c:v>41685</c:v>
                </c:pt>
                <c:pt idx="27">
                  <c:v>41713</c:v>
                </c:pt>
                <c:pt idx="28">
                  <c:v>41744</c:v>
                </c:pt>
                <c:pt idx="29">
                  <c:v>41774</c:v>
                </c:pt>
                <c:pt idx="30">
                  <c:v>41805</c:v>
                </c:pt>
                <c:pt idx="31">
                  <c:v>41835</c:v>
                </c:pt>
                <c:pt idx="32">
                  <c:v>41866</c:v>
                </c:pt>
                <c:pt idx="33">
                  <c:v>41897</c:v>
                </c:pt>
                <c:pt idx="34">
                  <c:v>41927</c:v>
                </c:pt>
                <c:pt idx="35">
                  <c:v>41958</c:v>
                </c:pt>
                <c:pt idx="36">
                  <c:v>41988</c:v>
                </c:pt>
                <c:pt idx="37">
                  <c:v>42019</c:v>
                </c:pt>
                <c:pt idx="38">
                  <c:v>42050</c:v>
                </c:pt>
                <c:pt idx="39">
                  <c:v>42078</c:v>
                </c:pt>
                <c:pt idx="40">
                  <c:v>42109</c:v>
                </c:pt>
                <c:pt idx="41">
                  <c:v>42139</c:v>
                </c:pt>
                <c:pt idx="42">
                  <c:v>42170</c:v>
                </c:pt>
                <c:pt idx="43">
                  <c:v>42200</c:v>
                </c:pt>
                <c:pt idx="44">
                  <c:v>42231</c:v>
                </c:pt>
                <c:pt idx="45">
                  <c:v>42262</c:v>
                </c:pt>
                <c:pt idx="46">
                  <c:v>42292</c:v>
                </c:pt>
                <c:pt idx="47">
                  <c:v>42323</c:v>
                </c:pt>
                <c:pt idx="48">
                  <c:v>42353</c:v>
                </c:pt>
                <c:pt idx="49">
                  <c:v>42384</c:v>
                </c:pt>
                <c:pt idx="50">
                  <c:v>42415</c:v>
                </c:pt>
                <c:pt idx="51">
                  <c:v>42444</c:v>
                </c:pt>
                <c:pt idx="52">
                  <c:v>42475</c:v>
                </c:pt>
                <c:pt idx="53">
                  <c:v>42505</c:v>
                </c:pt>
                <c:pt idx="54">
                  <c:v>42536</c:v>
                </c:pt>
                <c:pt idx="55">
                  <c:v>42566</c:v>
                </c:pt>
                <c:pt idx="56">
                  <c:v>42597</c:v>
                </c:pt>
                <c:pt idx="57">
                  <c:v>42628</c:v>
                </c:pt>
                <c:pt idx="58">
                  <c:v>42658</c:v>
                </c:pt>
                <c:pt idx="59">
                  <c:v>42689</c:v>
                </c:pt>
                <c:pt idx="60">
                  <c:v>42719</c:v>
                </c:pt>
                <c:pt idx="61">
                  <c:v>42750</c:v>
                </c:pt>
                <c:pt idx="62">
                  <c:v>42781</c:v>
                </c:pt>
                <c:pt idx="63">
                  <c:v>42809</c:v>
                </c:pt>
                <c:pt idx="64">
                  <c:v>42840</c:v>
                </c:pt>
                <c:pt idx="65">
                  <c:v>42870</c:v>
                </c:pt>
                <c:pt idx="66">
                  <c:v>42901</c:v>
                </c:pt>
                <c:pt idx="67">
                  <c:v>42931</c:v>
                </c:pt>
                <c:pt idx="68">
                  <c:v>42962</c:v>
                </c:pt>
                <c:pt idx="69">
                  <c:v>42993</c:v>
                </c:pt>
                <c:pt idx="70">
                  <c:v>43023</c:v>
                </c:pt>
                <c:pt idx="71">
                  <c:v>43054</c:v>
                </c:pt>
                <c:pt idx="72">
                  <c:v>43084</c:v>
                </c:pt>
                <c:pt idx="73">
                  <c:v>43115</c:v>
                </c:pt>
                <c:pt idx="74">
                  <c:v>43146</c:v>
                </c:pt>
                <c:pt idx="75">
                  <c:v>43174</c:v>
                </c:pt>
                <c:pt idx="76">
                  <c:v>43205</c:v>
                </c:pt>
                <c:pt idx="77">
                  <c:v>43235</c:v>
                </c:pt>
                <c:pt idx="78">
                  <c:v>43266</c:v>
                </c:pt>
                <c:pt idx="79">
                  <c:v>43296</c:v>
                </c:pt>
                <c:pt idx="80">
                  <c:v>43327</c:v>
                </c:pt>
                <c:pt idx="81">
                  <c:v>43358</c:v>
                </c:pt>
                <c:pt idx="82">
                  <c:v>43388</c:v>
                </c:pt>
                <c:pt idx="83">
                  <c:v>43419</c:v>
                </c:pt>
                <c:pt idx="84">
                  <c:v>43449</c:v>
                </c:pt>
                <c:pt idx="85">
                  <c:v>43480</c:v>
                </c:pt>
                <c:pt idx="86">
                  <c:v>43511</c:v>
                </c:pt>
                <c:pt idx="87">
                  <c:v>43539</c:v>
                </c:pt>
              </c:numCache>
            </c:numRef>
          </c:cat>
          <c:val>
            <c:numRef>
              <c:f>まとめ!$AI$32:$AI$119</c:f>
              <c:numCache>
                <c:formatCode>0</c:formatCode>
                <c:ptCount val="88"/>
                <c:pt idx="4">
                  <c:v>262.89459250097963</c:v>
                </c:pt>
                <c:pt idx="5">
                  <c:v>421.44425484426057</c:v>
                </c:pt>
                <c:pt idx="6">
                  <c:v>422.09771335110179</c:v>
                </c:pt>
                <c:pt idx="7">
                  <c:v>404.8150087105638</c:v>
                </c:pt>
                <c:pt idx="8">
                  <c:v>337.42437909664619</c:v>
                </c:pt>
                <c:pt idx="9">
                  <c:v>276.40584973581201</c:v>
                </c:pt>
                <c:pt idx="10">
                  <c:v>249.53446080365305</c:v>
                </c:pt>
                <c:pt idx="11">
                  <c:v>179.06897056526134</c:v>
                </c:pt>
                <c:pt idx="12">
                  <c:v>126.44783684325671</c:v>
                </c:pt>
                <c:pt idx="13">
                  <c:v>99.610604203805337</c:v>
                </c:pt>
                <c:pt idx="14">
                  <c:v>74.140767776088637</c:v>
                </c:pt>
                <c:pt idx="15">
                  <c:v>79.999498394262389</c:v>
                </c:pt>
                <c:pt idx="16">
                  <c:v>130.93751519111487</c:v>
                </c:pt>
                <c:pt idx="17">
                  <c:v>211.70964602242006</c:v>
                </c:pt>
                <c:pt idx="18">
                  <c:v>213.93782873425013</c:v>
                </c:pt>
                <c:pt idx="19">
                  <c:v>207.03799229284209</c:v>
                </c:pt>
                <c:pt idx="20">
                  <c:v>174.20966488348637</c:v>
                </c:pt>
                <c:pt idx="21">
                  <c:v>144.09464520325218</c:v>
                </c:pt>
                <c:pt idx="22">
                  <c:v>131.36596032701721</c:v>
                </c:pt>
                <c:pt idx="23">
                  <c:v>95.246777540947605</c:v>
                </c:pt>
                <c:pt idx="24">
                  <c:v>67.941912435381141</c:v>
                </c:pt>
                <c:pt idx="25">
                  <c:v>54.115515883981374</c:v>
                </c:pt>
                <c:pt idx="26">
                  <c:v>40.728566143144064</c:v>
                </c:pt>
                <c:pt idx="27">
                  <c:v>41.882870956824512</c:v>
                </c:pt>
                <c:pt idx="28">
                  <c:v>75.703960570936005</c:v>
                </c:pt>
                <c:pt idx="29">
                  <c:v>123.78612887545236</c:v>
                </c:pt>
                <c:pt idx="30">
                  <c:v>126.60472659151279</c:v>
                </c:pt>
                <c:pt idx="31">
                  <c:v>123.9622658400768</c:v>
                </c:pt>
                <c:pt idx="32">
                  <c:v>105.62128276260978</c:v>
                </c:pt>
                <c:pt idx="33">
                  <c:v>88.455151281547899</c:v>
                </c:pt>
                <c:pt idx="34">
                  <c:v>81.633480680801611</c:v>
                </c:pt>
                <c:pt idx="35">
                  <c:v>59.953157127553439</c:v>
                </c:pt>
                <c:pt idx="36">
                  <c:v>43.302279852794186</c:v>
                </c:pt>
                <c:pt idx="37">
                  <c:v>34.942249856438842</c:v>
                </c:pt>
                <c:pt idx="38">
                  <c:v>26.642163505804582</c:v>
                </c:pt>
                <c:pt idx="39">
                  <c:v>27.719699825125133</c:v>
                </c:pt>
                <c:pt idx="40">
                  <c:v>50.030807809044028</c:v>
                </c:pt>
                <c:pt idx="41">
                  <c:v>82.852250912723122</c:v>
                </c:pt>
                <c:pt idx="42">
                  <c:v>85.847565862151825</c:v>
                </c:pt>
                <c:pt idx="43">
                  <c:v>85.107192985974379</c:v>
                </c:pt>
                <c:pt idx="44">
                  <c:v>73.457269459678102</c:v>
                </c:pt>
                <c:pt idx="45">
                  <c:v>62.312073707081062</c:v>
                </c:pt>
                <c:pt idx="46">
                  <c:v>58.206692949551531</c:v>
                </c:pt>
                <c:pt idx="47">
                  <c:v>43.279840774692701</c:v>
                </c:pt>
                <c:pt idx="48">
                  <c:v>31.636955404589198</c:v>
                </c:pt>
                <c:pt idx="49">
                  <c:v>25.836355149300424</c:v>
                </c:pt>
                <c:pt idx="50">
                  <c:v>19.930389085746882</c:v>
                </c:pt>
                <c:pt idx="51">
                  <c:v>20.950730191832402</c:v>
                </c:pt>
                <c:pt idx="52">
                  <c:v>38.095343483380987</c:v>
                </c:pt>
                <c:pt idx="53">
                  <c:v>63.771075485002896</c:v>
                </c:pt>
                <c:pt idx="54">
                  <c:v>66.792618129163415</c:v>
                </c:pt>
                <c:pt idx="55">
                  <c:v>66.911557012553686</c:v>
                </c:pt>
                <c:pt idx="56">
                  <c:v>58.348325337271561</c:v>
                </c:pt>
                <c:pt idx="57">
                  <c:v>50.004505771844869</c:v>
                </c:pt>
                <c:pt idx="58">
                  <c:v>47.150855276616895</c:v>
                </c:pt>
                <c:pt idx="59">
                  <c:v>35.396346210425634</c:v>
                </c:pt>
                <c:pt idx="60">
                  <c:v>26.09967174772396</c:v>
                </c:pt>
                <c:pt idx="61">
                  <c:v>21.503487656942461</c:v>
                </c:pt>
                <c:pt idx="62">
                  <c:v>16.733089660076455</c:v>
                </c:pt>
                <c:pt idx="63">
                  <c:v>17.727005678524577</c:v>
                </c:pt>
                <c:pt idx="64">
                  <c:v>31.583281807972835</c:v>
                </c:pt>
                <c:pt idx="65">
                  <c:v>29.635212415126382</c:v>
                </c:pt>
                <c:pt idx="66">
                  <c:v>24.359634117171971</c:v>
                </c:pt>
                <c:pt idx="67">
                  <c:v>30.400321600726059</c:v>
                </c:pt>
                <c:pt idx="68">
                  <c:v>23.589917196597359</c:v>
                </c:pt>
                <c:pt idx="69">
                  <c:v>26.809560222735339</c:v>
                </c:pt>
                <c:pt idx="70">
                  <c:v>19.132329357264041</c:v>
                </c:pt>
                <c:pt idx="71">
                  <c:v>16.51965961875322</c:v>
                </c:pt>
                <c:pt idx="72">
                  <c:v>12.600760433891589</c:v>
                </c:pt>
                <c:pt idx="73">
                  <c:v>5.72932922682583</c:v>
                </c:pt>
                <c:pt idx="74">
                  <c:v>4.3268010157916388</c:v>
                </c:pt>
                <c:pt idx="75">
                  <c:v>5.0654200381056347</c:v>
                </c:pt>
                <c:pt idx="76">
                  <c:v>23.110192433142057</c:v>
                </c:pt>
                <c:pt idx="77">
                  <c:v>59.600212754877994</c:v>
                </c:pt>
                <c:pt idx="78">
                  <c:v>44.630130591815352</c:v>
                </c:pt>
                <c:pt idx="79">
                  <c:v>29.711596972443758</c:v>
                </c:pt>
                <c:pt idx="80">
                  <c:v>30.241903511647028</c:v>
                </c:pt>
                <c:pt idx="81">
                  <c:v>16.91927410600394</c:v>
                </c:pt>
                <c:pt idx="82">
                  <c:v>25.062293597549051</c:v>
                </c:pt>
                <c:pt idx="83">
                  <c:v>20.086381576855864</c:v>
                </c:pt>
                <c:pt idx="84">
                  <c:v>15.723250722464533</c:v>
                </c:pt>
                <c:pt idx="85">
                  <c:v>5.9703091371775034</c:v>
                </c:pt>
                <c:pt idx="86">
                  <c:v>7.5063582276961096</c:v>
                </c:pt>
                <c:pt idx="87">
                  <c:v>11.084578185014557</c:v>
                </c:pt>
              </c:numCache>
            </c:numRef>
          </c:val>
        </c:ser>
        <c:ser>
          <c:idx val="7"/>
          <c:order val="7"/>
          <c:tx>
            <c:strRef>
              <c:f>まとめ!$BG$29:$BG$31</c:f>
              <c:strCache>
                <c:ptCount val="1"/>
                <c:pt idx="0">
                  <c:v>主灰+飛灰 3処理区合計 両Cs</c:v>
                </c:pt>
              </c:strCache>
            </c:strRef>
          </c:tx>
          <c:spPr>
            <a:solidFill>
              <a:sysClr val="window" lastClr="FFFFFF">
                <a:lumMod val="85000"/>
              </a:sysClr>
            </a:solidFill>
            <a:ln w="0">
              <a:solidFill>
                <a:sysClr val="window" lastClr="FFFFFF">
                  <a:lumMod val="65000"/>
                </a:sysClr>
              </a:solidFill>
            </a:ln>
          </c:spPr>
          <c:invertIfNegative val="0"/>
          <c:cat>
            <c:numRef>
              <c:f>まとめ!$R$32:$R$119</c:f>
              <c:numCache>
                <c:formatCode>[$-411]ge\.m</c:formatCode>
                <c:ptCount val="88"/>
                <c:pt idx="0">
                  <c:v>40614</c:v>
                </c:pt>
                <c:pt idx="1">
                  <c:v>40923</c:v>
                </c:pt>
                <c:pt idx="2">
                  <c:v>40954</c:v>
                </c:pt>
                <c:pt idx="3">
                  <c:v>40983</c:v>
                </c:pt>
                <c:pt idx="4">
                  <c:v>41014</c:v>
                </c:pt>
                <c:pt idx="5">
                  <c:v>41044</c:v>
                </c:pt>
                <c:pt idx="6">
                  <c:v>41075</c:v>
                </c:pt>
                <c:pt idx="7">
                  <c:v>41105</c:v>
                </c:pt>
                <c:pt idx="8">
                  <c:v>41136</c:v>
                </c:pt>
                <c:pt idx="9">
                  <c:v>41167</c:v>
                </c:pt>
                <c:pt idx="10">
                  <c:v>41197</c:v>
                </c:pt>
                <c:pt idx="11">
                  <c:v>41228</c:v>
                </c:pt>
                <c:pt idx="12">
                  <c:v>41258</c:v>
                </c:pt>
                <c:pt idx="13">
                  <c:v>41289</c:v>
                </c:pt>
                <c:pt idx="14">
                  <c:v>41320</c:v>
                </c:pt>
                <c:pt idx="15">
                  <c:v>41348</c:v>
                </c:pt>
                <c:pt idx="16">
                  <c:v>41379</c:v>
                </c:pt>
                <c:pt idx="17">
                  <c:v>41409</c:v>
                </c:pt>
                <c:pt idx="18">
                  <c:v>41440</c:v>
                </c:pt>
                <c:pt idx="19">
                  <c:v>41470</c:v>
                </c:pt>
                <c:pt idx="20">
                  <c:v>41501</c:v>
                </c:pt>
                <c:pt idx="21">
                  <c:v>41532</c:v>
                </c:pt>
                <c:pt idx="22">
                  <c:v>41562</c:v>
                </c:pt>
                <c:pt idx="23">
                  <c:v>41593</c:v>
                </c:pt>
                <c:pt idx="24">
                  <c:v>41623</c:v>
                </c:pt>
                <c:pt idx="25">
                  <c:v>41654</c:v>
                </c:pt>
                <c:pt idx="26">
                  <c:v>41685</c:v>
                </c:pt>
                <c:pt idx="27">
                  <c:v>41713</c:v>
                </c:pt>
                <c:pt idx="28">
                  <c:v>41744</c:v>
                </c:pt>
                <c:pt idx="29">
                  <c:v>41774</c:v>
                </c:pt>
                <c:pt idx="30">
                  <c:v>41805</c:v>
                </c:pt>
                <c:pt idx="31">
                  <c:v>41835</c:v>
                </c:pt>
                <c:pt idx="32">
                  <c:v>41866</c:v>
                </c:pt>
                <c:pt idx="33">
                  <c:v>41897</c:v>
                </c:pt>
                <c:pt idx="34">
                  <c:v>41927</c:v>
                </c:pt>
                <c:pt idx="35">
                  <c:v>41958</c:v>
                </c:pt>
                <c:pt idx="36">
                  <c:v>41988</c:v>
                </c:pt>
                <c:pt idx="37">
                  <c:v>42019</c:v>
                </c:pt>
                <c:pt idx="38">
                  <c:v>42050</c:v>
                </c:pt>
                <c:pt idx="39">
                  <c:v>42078</c:v>
                </c:pt>
                <c:pt idx="40">
                  <c:v>42109</c:v>
                </c:pt>
                <c:pt idx="41">
                  <c:v>42139</c:v>
                </c:pt>
                <c:pt idx="42">
                  <c:v>42170</c:v>
                </c:pt>
                <c:pt idx="43">
                  <c:v>42200</c:v>
                </c:pt>
                <c:pt idx="44">
                  <c:v>42231</c:v>
                </c:pt>
                <c:pt idx="45">
                  <c:v>42262</c:v>
                </c:pt>
                <c:pt idx="46">
                  <c:v>42292</c:v>
                </c:pt>
                <c:pt idx="47">
                  <c:v>42323</c:v>
                </c:pt>
                <c:pt idx="48">
                  <c:v>42353</c:v>
                </c:pt>
                <c:pt idx="49">
                  <c:v>42384</c:v>
                </c:pt>
                <c:pt idx="50">
                  <c:v>42415</c:v>
                </c:pt>
                <c:pt idx="51">
                  <c:v>42444</c:v>
                </c:pt>
                <c:pt idx="52">
                  <c:v>42475</c:v>
                </c:pt>
                <c:pt idx="53">
                  <c:v>42505</c:v>
                </c:pt>
                <c:pt idx="54">
                  <c:v>42536</c:v>
                </c:pt>
                <c:pt idx="55">
                  <c:v>42566</c:v>
                </c:pt>
                <c:pt idx="56">
                  <c:v>42597</c:v>
                </c:pt>
                <c:pt idx="57">
                  <c:v>42628</c:v>
                </c:pt>
                <c:pt idx="58">
                  <c:v>42658</c:v>
                </c:pt>
                <c:pt idx="59">
                  <c:v>42689</c:v>
                </c:pt>
                <c:pt idx="60">
                  <c:v>42719</c:v>
                </c:pt>
                <c:pt idx="61">
                  <c:v>42750</c:v>
                </c:pt>
                <c:pt idx="62">
                  <c:v>42781</c:v>
                </c:pt>
                <c:pt idx="63">
                  <c:v>42809</c:v>
                </c:pt>
                <c:pt idx="64">
                  <c:v>42840</c:v>
                </c:pt>
                <c:pt idx="65">
                  <c:v>42870</c:v>
                </c:pt>
                <c:pt idx="66">
                  <c:v>42901</c:v>
                </c:pt>
                <c:pt idx="67">
                  <c:v>42931</c:v>
                </c:pt>
                <c:pt idx="68">
                  <c:v>42962</c:v>
                </c:pt>
                <c:pt idx="69">
                  <c:v>42993</c:v>
                </c:pt>
                <c:pt idx="70">
                  <c:v>43023</c:v>
                </c:pt>
                <c:pt idx="71">
                  <c:v>43054</c:v>
                </c:pt>
                <c:pt idx="72">
                  <c:v>43084</c:v>
                </c:pt>
                <c:pt idx="73">
                  <c:v>43115</c:v>
                </c:pt>
                <c:pt idx="74">
                  <c:v>43146</c:v>
                </c:pt>
                <c:pt idx="75">
                  <c:v>43174</c:v>
                </c:pt>
                <c:pt idx="76">
                  <c:v>43205</c:v>
                </c:pt>
                <c:pt idx="77">
                  <c:v>43235</c:v>
                </c:pt>
                <c:pt idx="78">
                  <c:v>43266</c:v>
                </c:pt>
                <c:pt idx="79">
                  <c:v>43296</c:v>
                </c:pt>
                <c:pt idx="80">
                  <c:v>43327</c:v>
                </c:pt>
                <c:pt idx="81">
                  <c:v>43358</c:v>
                </c:pt>
                <c:pt idx="82">
                  <c:v>43388</c:v>
                </c:pt>
                <c:pt idx="83">
                  <c:v>43419</c:v>
                </c:pt>
                <c:pt idx="84">
                  <c:v>43449</c:v>
                </c:pt>
                <c:pt idx="85">
                  <c:v>43480</c:v>
                </c:pt>
                <c:pt idx="86">
                  <c:v>43511</c:v>
                </c:pt>
                <c:pt idx="87">
                  <c:v>43539</c:v>
                </c:pt>
              </c:numCache>
            </c:numRef>
          </c:cat>
          <c:val>
            <c:numRef>
              <c:f>まとめ!$BG$33:$BG$119</c:f>
              <c:numCache>
                <c:formatCode>General</c:formatCode>
                <c:ptCount val="87"/>
                <c:pt idx="3" formatCode="0.0">
                  <c:v>0</c:v>
                </c:pt>
                <c:pt idx="4" formatCode="0.0">
                  <c:v>0</c:v>
                </c:pt>
                <c:pt idx="5" formatCode="0.0">
                  <c:v>0</c:v>
                </c:pt>
                <c:pt idx="6" formatCode="0.0">
                  <c:v>0</c:v>
                </c:pt>
                <c:pt idx="7" formatCode="0.0">
                  <c:v>0</c:v>
                </c:pt>
                <c:pt idx="8" formatCode="0.0">
                  <c:v>0</c:v>
                </c:pt>
                <c:pt idx="9" formatCode="0.0">
                  <c:v>809.26770279074015</c:v>
                </c:pt>
                <c:pt idx="10" formatCode="0.0">
                  <c:v>529.76024175066129</c:v>
                </c:pt>
                <c:pt idx="11" formatCode="0.0">
                  <c:v>781.98260823326541</c:v>
                </c:pt>
                <c:pt idx="12" formatCode="0.0">
                  <c:v>974.41980079468374</c:v>
                </c:pt>
                <c:pt idx="13" formatCode="0.0">
                  <c:v>888.92062651546746</c:v>
                </c:pt>
                <c:pt idx="14" formatCode="0.0">
                  <c:v>1492.6270166736797</c:v>
                </c:pt>
                <c:pt idx="15" formatCode="0.0">
                  <c:v>1518.6916284222559</c:v>
                </c:pt>
                <c:pt idx="16" formatCode="0.0">
                  <c:v>2389.3705113083856</c:v>
                </c:pt>
                <c:pt idx="17" formatCode="0.0">
                  <c:v>2457.7075060989332</c:v>
                </c:pt>
                <c:pt idx="18" formatCode="0.0">
                  <c:v>1866.7060907782602</c:v>
                </c:pt>
                <c:pt idx="19" formatCode="0.0">
                  <c:v>2075.1220677486772</c:v>
                </c:pt>
                <c:pt idx="20" formatCode="0.0">
                  <c:v>835.40899893568462</c:v>
                </c:pt>
                <c:pt idx="21" formatCode="0.0">
                  <c:v>593.79022114110194</c:v>
                </c:pt>
                <c:pt idx="22" formatCode="0.0">
                  <c:v>0</c:v>
                </c:pt>
                <c:pt idx="23" formatCode="0.0">
                  <c:v>0</c:v>
                </c:pt>
                <c:pt idx="24" formatCode="0.0">
                  <c:v>0</c:v>
                </c:pt>
                <c:pt idx="25" formatCode="0.0">
                  <c:v>0</c:v>
                </c:pt>
                <c:pt idx="26" formatCode="0.0">
                  <c:v>0</c:v>
                </c:pt>
              </c:numCache>
            </c:numRef>
          </c:val>
        </c:ser>
        <c:dLbls>
          <c:showLegendKey val="0"/>
          <c:showVal val="0"/>
          <c:showCatName val="0"/>
          <c:showSerName val="0"/>
          <c:showPercent val="0"/>
          <c:showBubbleSize val="0"/>
        </c:dLbls>
        <c:gapWidth val="0"/>
        <c:overlap val="100"/>
        <c:axId val="269890304"/>
        <c:axId val="269892992"/>
      </c:barChart>
      <c:barChart>
        <c:barDir val="col"/>
        <c:grouping val="stacked"/>
        <c:varyColors val="0"/>
        <c:ser>
          <c:idx val="1"/>
          <c:order val="5"/>
          <c:tx>
            <c:strRef>
              <c:f>まとめ!$AV$29</c:f>
              <c:strCache>
                <c:ptCount val="1"/>
                <c:pt idx="0">
                  <c:v>最終処分場での両Cs現存量(x0.1MBq)</c:v>
                </c:pt>
              </c:strCache>
            </c:strRef>
          </c:tx>
          <c:spPr>
            <a:pattFill prst="pct25">
              <a:fgClr>
                <a:srgbClr val="F79646">
                  <a:lumMod val="60000"/>
                  <a:lumOff val="40000"/>
                </a:srgbClr>
              </a:fgClr>
              <a:bgClr>
                <a:sysClr val="window" lastClr="FFFFFF"/>
              </a:bgClr>
            </a:pattFill>
            <a:ln w="0">
              <a:solidFill>
                <a:srgbClr val="F79646">
                  <a:lumMod val="60000"/>
                  <a:lumOff val="40000"/>
                </a:srgbClr>
              </a:solidFill>
              <a:prstDash val="solid"/>
            </a:ln>
          </c:spPr>
          <c:invertIfNegative val="0"/>
          <c:cat>
            <c:numRef>
              <c:f>まとめ!$R$32:$R$119</c:f>
              <c:numCache>
                <c:formatCode>[$-411]ge\.m</c:formatCode>
                <c:ptCount val="88"/>
                <c:pt idx="0">
                  <c:v>40614</c:v>
                </c:pt>
                <c:pt idx="1">
                  <c:v>40923</c:v>
                </c:pt>
                <c:pt idx="2">
                  <c:v>40954</c:v>
                </c:pt>
                <c:pt idx="3">
                  <c:v>40983</c:v>
                </c:pt>
                <c:pt idx="4">
                  <c:v>41014</c:v>
                </c:pt>
                <c:pt idx="5">
                  <c:v>41044</c:v>
                </c:pt>
                <c:pt idx="6">
                  <c:v>41075</c:v>
                </c:pt>
                <c:pt idx="7">
                  <c:v>41105</c:v>
                </c:pt>
                <c:pt idx="8">
                  <c:v>41136</c:v>
                </c:pt>
                <c:pt idx="9">
                  <c:v>41167</c:v>
                </c:pt>
                <c:pt idx="10">
                  <c:v>41197</c:v>
                </c:pt>
                <c:pt idx="11">
                  <c:v>41228</c:v>
                </c:pt>
                <c:pt idx="12">
                  <c:v>41258</c:v>
                </c:pt>
                <c:pt idx="13">
                  <c:v>41289</c:v>
                </c:pt>
                <c:pt idx="14">
                  <c:v>41320</c:v>
                </c:pt>
                <c:pt idx="15">
                  <c:v>41348</c:v>
                </c:pt>
                <c:pt idx="16">
                  <c:v>41379</c:v>
                </c:pt>
                <c:pt idx="17">
                  <c:v>41409</c:v>
                </c:pt>
                <c:pt idx="18">
                  <c:v>41440</c:v>
                </c:pt>
                <c:pt idx="19">
                  <c:v>41470</c:v>
                </c:pt>
                <c:pt idx="20">
                  <c:v>41501</c:v>
                </c:pt>
                <c:pt idx="21">
                  <c:v>41532</c:v>
                </c:pt>
                <c:pt idx="22">
                  <c:v>41562</c:v>
                </c:pt>
                <c:pt idx="23">
                  <c:v>41593</c:v>
                </c:pt>
                <c:pt idx="24">
                  <c:v>41623</c:v>
                </c:pt>
                <c:pt idx="25">
                  <c:v>41654</c:v>
                </c:pt>
                <c:pt idx="26">
                  <c:v>41685</c:v>
                </c:pt>
                <c:pt idx="27">
                  <c:v>41713</c:v>
                </c:pt>
                <c:pt idx="28">
                  <c:v>41744</c:v>
                </c:pt>
                <c:pt idx="29">
                  <c:v>41774</c:v>
                </c:pt>
                <c:pt idx="30">
                  <c:v>41805</c:v>
                </c:pt>
                <c:pt idx="31">
                  <c:v>41835</c:v>
                </c:pt>
                <c:pt idx="32">
                  <c:v>41866</c:v>
                </c:pt>
                <c:pt idx="33">
                  <c:v>41897</c:v>
                </c:pt>
                <c:pt idx="34">
                  <c:v>41927</c:v>
                </c:pt>
                <c:pt idx="35">
                  <c:v>41958</c:v>
                </c:pt>
                <c:pt idx="36">
                  <c:v>41988</c:v>
                </c:pt>
                <c:pt idx="37">
                  <c:v>42019</c:v>
                </c:pt>
                <c:pt idx="38">
                  <c:v>42050</c:v>
                </c:pt>
                <c:pt idx="39">
                  <c:v>42078</c:v>
                </c:pt>
                <c:pt idx="40">
                  <c:v>42109</c:v>
                </c:pt>
                <c:pt idx="41">
                  <c:v>42139</c:v>
                </c:pt>
                <c:pt idx="42">
                  <c:v>42170</c:v>
                </c:pt>
                <c:pt idx="43">
                  <c:v>42200</c:v>
                </c:pt>
                <c:pt idx="44">
                  <c:v>42231</c:v>
                </c:pt>
                <c:pt idx="45">
                  <c:v>42262</c:v>
                </c:pt>
                <c:pt idx="46">
                  <c:v>42292</c:v>
                </c:pt>
                <c:pt idx="47">
                  <c:v>42323</c:v>
                </c:pt>
                <c:pt idx="48">
                  <c:v>42353</c:v>
                </c:pt>
                <c:pt idx="49">
                  <c:v>42384</c:v>
                </c:pt>
                <c:pt idx="50">
                  <c:v>42415</c:v>
                </c:pt>
                <c:pt idx="51">
                  <c:v>42444</c:v>
                </c:pt>
                <c:pt idx="52">
                  <c:v>42475</c:v>
                </c:pt>
                <c:pt idx="53">
                  <c:v>42505</c:v>
                </c:pt>
                <c:pt idx="54">
                  <c:v>42536</c:v>
                </c:pt>
                <c:pt idx="55">
                  <c:v>42566</c:v>
                </c:pt>
                <c:pt idx="56">
                  <c:v>42597</c:v>
                </c:pt>
                <c:pt idx="57">
                  <c:v>42628</c:v>
                </c:pt>
                <c:pt idx="58">
                  <c:v>42658</c:v>
                </c:pt>
                <c:pt idx="59">
                  <c:v>42689</c:v>
                </c:pt>
                <c:pt idx="60">
                  <c:v>42719</c:v>
                </c:pt>
                <c:pt idx="61">
                  <c:v>42750</c:v>
                </c:pt>
                <c:pt idx="62">
                  <c:v>42781</c:v>
                </c:pt>
                <c:pt idx="63">
                  <c:v>42809</c:v>
                </c:pt>
                <c:pt idx="64">
                  <c:v>42840</c:v>
                </c:pt>
                <c:pt idx="65">
                  <c:v>42870</c:v>
                </c:pt>
                <c:pt idx="66">
                  <c:v>42901</c:v>
                </c:pt>
                <c:pt idx="67">
                  <c:v>42931</c:v>
                </c:pt>
                <c:pt idx="68">
                  <c:v>42962</c:v>
                </c:pt>
                <c:pt idx="69">
                  <c:v>42993</c:v>
                </c:pt>
                <c:pt idx="70">
                  <c:v>43023</c:v>
                </c:pt>
                <c:pt idx="71">
                  <c:v>43054</c:v>
                </c:pt>
                <c:pt idx="72">
                  <c:v>43084</c:v>
                </c:pt>
                <c:pt idx="73">
                  <c:v>43115</c:v>
                </c:pt>
                <c:pt idx="74">
                  <c:v>43146</c:v>
                </c:pt>
                <c:pt idx="75">
                  <c:v>43174</c:v>
                </c:pt>
                <c:pt idx="76">
                  <c:v>43205</c:v>
                </c:pt>
                <c:pt idx="77">
                  <c:v>43235</c:v>
                </c:pt>
                <c:pt idx="78">
                  <c:v>43266</c:v>
                </c:pt>
                <c:pt idx="79">
                  <c:v>43296</c:v>
                </c:pt>
                <c:pt idx="80">
                  <c:v>43327</c:v>
                </c:pt>
                <c:pt idx="81">
                  <c:v>43358</c:v>
                </c:pt>
                <c:pt idx="82">
                  <c:v>43388</c:v>
                </c:pt>
                <c:pt idx="83">
                  <c:v>43419</c:v>
                </c:pt>
                <c:pt idx="84">
                  <c:v>43449</c:v>
                </c:pt>
                <c:pt idx="85">
                  <c:v>43480</c:v>
                </c:pt>
                <c:pt idx="86">
                  <c:v>43511</c:v>
                </c:pt>
                <c:pt idx="87">
                  <c:v>43539</c:v>
                </c:pt>
              </c:numCache>
            </c:numRef>
          </c:cat>
          <c:val>
            <c:numRef>
              <c:f>まとめ!$AV$32:$AV$119</c:f>
              <c:numCache>
                <c:formatCode>0</c:formatCode>
                <c:ptCount val="88"/>
                <c:pt idx="4">
                  <c:v>137.10012117164379</c:v>
                </c:pt>
                <c:pt idx="5">
                  <c:v>222.54609150417051</c:v>
                </c:pt>
                <c:pt idx="6">
                  <c:v>225.74822496091315</c:v>
                </c:pt>
                <c:pt idx="7">
                  <c:v>219.15470494164694</c:v>
                </c:pt>
                <c:pt idx="8">
                  <c:v>184.95130852063127</c:v>
                </c:pt>
                <c:pt idx="9">
                  <c:v>153.37055226494286</c:v>
                </c:pt>
                <c:pt idx="10">
                  <c:v>594.40561854403165</c:v>
                </c:pt>
                <c:pt idx="11">
                  <c:v>402.69962969420982</c:v>
                </c:pt>
                <c:pt idx="12">
                  <c:v>521.99680169553051</c:v>
                </c:pt>
                <c:pt idx="13">
                  <c:v>624.3438898434099</c:v>
                </c:pt>
                <c:pt idx="14">
                  <c:v>566.2677086498004</c:v>
                </c:pt>
                <c:pt idx="15">
                  <c:v>934.14365146817602</c:v>
                </c:pt>
                <c:pt idx="16">
                  <c:v>990.83666274126972</c:v>
                </c:pt>
                <c:pt idx="17">
                  <c:v>1578.9767586006296</c:v>
                </c:pt>
                <c:pt idx="18">
                  <c:v>1639.4315791201129</c:v>
                </c:pt>
                <c:pt idx="19">
                  <c:v>1285.7194104532109</c:v>
                </c:pt>
                <c:pt idx="20">
                  <c:v>1409.3024196582408</c:v>
                </c:pt>
                <c:pt idx="21">
                  <c:v>620.08298472695708</c:v>
                </c:pt>
                <c:pt idx="22">
                  <c:v>463.61840290860977</c:v>
                </c:pt>
                <c:pt idx="23">
                  <c:v>61.509667338411475</c:v>
                </c:pt>
                <c:pt idx="24">
                  <c:v>44.298857851142813</c:v>
                </c:pt>
                <c:pt idx="25">
                  <c:v>35.629854892716473</c:v>
                </c:pt>
                <c:pt idx="26">
                  <c:v>27.074822076609038</c:v>
                </c:pt>
                <c:pt idx="27">
                  <c:v>28.081444247475915</c:v>
                </c:pt>
                <c:pt idx="28">
                  <c:v>51.233900990588694</c:v>
                </c:pt>
                <c:pt idx="29">
                  <c:v>84.523515905404224</c:v>
                </c:pt>
                <c:pt idx="30">
                  <c:v>87.23517978861635</c:v>
                </c:pt>
                <c:pt idx="31">
                  <c:v>86.155613683668321</c:v>
                </c:pt>
                <c:pt idx="32">
                  <c:v>74.056792113733508</c:v>
                </c:pt>
                <c:pt idx="33">
                  <c:v>62.560144179291271</c:v>
                </c:pt>
                <c:pt idx="34">
                  <c:v>58.214078197043612</c:v>
                </c:pt>
                <c:pt idx="35">
                  <c:v>43.114223304888498</c:v>
                </c:pt>
                <c:pt idx="36">
                  <c:v>31.390416656638891</c:v>
                </c:pt>
                <c:pt idx="37">
                  <c:v>25.537395963645302</c:v>
                </c:pt>
                <c:pt idx="38">
                  <c:v>19.628189093969596</c:v>
                </c:pt>
                <c:pt idx="39">
                  <c:v>20.56841722225407</c:v>
                </c:pt>
                <c:pt idx="40">
                  <c:v>37.413938625821771</c:v>
                </c:pt>
                <c:pt idx="41">
                  <c:v>62.420173579505743</c:v>
                </c:pt>
                <c:pt idx="42">
                  <c:v>65.167388835606303</c:v>
                </c:pt>
                <c:pt idx="43">
                  <c:v>65.072308271595773</c:v>
                </c:pt>
                <c:pt idx="44">
                  <c:v>56.577994080357911</c:v>
                </c:pt>
                <c:pt idx="45">
                  <c:v>48.341343241244225</c:v>
                </c:pt>
                <c:pt idx="46">
                  <c:v>45.468026052638521</c:v>
                </c:pt>
                <c:pt idx="47">
                  <c:v>34.045387869646738</c:v>
                </c:pt>
                <c:pt idx="48">
                  <c:v>25.053256981797418</c:v>
                </c:pt>
                <c:pt idx="49">
                  <c:v>20.599132752544961</c:v>
                </c:pt>
                <c:pt idx="50">
                  <c:v>15.996921264102674</c:v>
                </c:pt>
                <c:pt idx="51">
                  <c:v>16.919797877187222</c:v>
                </c:pt>
                <c:pt idx="52">
                  <c:v>30.96602465368785</c:v>
                </c:pt>
                <c:pt idx="53">
                  <c:v>52.15825109282143</c:v>
                </c:pt>
                <c:pt idx="54">
                  <c:v>54.974515451551248</c:v>
                </c:pt>
                <c:pt idx="55">
                  <c:v>55.403859736976493</c:v>
                </c:pt>
                <c:pt idx="56">
                  <c:v>48.609365921873085</c:v>
                </c:pt>
                <c:pt idx="57">
                  <c:v>41.909580629939569</c:v>
                </c:pt>
                <c:pt idx="58">
                  <c:v>39.745195417767974</c:v>
                </c:pt>
                <c:pt idx="59">
                  <c:v>30.011618561778707</c:v>
                </c:pt>
                <c:pt idx="60">
                  <c:v>22.252768496745045</c:v>
                </c:pt>
                <c:pt idx="61">
                  <c:v>18.438259508182675</c:v>
                </c:pt>
                <c:pt idx="62">
                  <c:v>14.428216923076278</c:v>
                </c:pt>
                <c:pt idx="63">
                  <c:v>15.361438604098886</c:v>
                </c:pt>
                <c:pt idx="64">
                  <c:v>27.517673021654051</c:v>
                </c:pt>
                <c:pt idx="65">
                  <c:v>25.954431431836692</c:v>
                </c:pt>
                <c:pt idx="66">
                  <c:v>21.446920071718885</c:v>
                </c:pt>
                <c:pt idx="67">
                  <c:v>26.900326795667116</c:v>
                </c:pt>
                <c:pt idx="68">
                  <c:v>20.981272836788882</c:v>
                </c:pt>
                <c:pt idx="69">
                  <c:v>23.965652212086255</c:v>
                </c:pt>
                <c:pt idx="70">
                  <c:v>17.185454541078382</c:v>
                </c:pt>
                <c:pt idx="71">
                  <c:v>14.911713066437894</c:v>
                </c:pt>
                <c:pt idx="72">
                  <c:v>11.427706489871634</c:v>
                </c:pt>
                <c:pt idx="73">
                  <c:v>5.2208464090789954</c:v>
                </c:pt>
                <c:pt idx="74">
                  <c:v>3.961412599905072</c:v>
                </c:pt>
                <c:pt idx="75">
                  <c:v>4.6571731259937312</c:v>
                </c:pt>
                <c:pt idx="76">
                  <c:v>21.345352947894831</c:v>
                </c:pt>
                <c:pt idx="77">
                  <c:v>55.290481646347516</c:v>
                </c:pt>
                <c:pt idx="78">
                  <c:v>41.588268714843849</c:v>
                </c:pt>
                <c:pt idx="79">
                  <c:v>27.804910001546268</c:v>
                </c:pt>
                <c:pt idx="80">
                  <c:v>28.424588939075548</c:v>
                </c:pt>
                <c:pt idx="81">
                  <c:v>15.970977396275288</c:v>
                </c:pt>
                <c:pt idx="82">
                  <c:v>23.754831577963031</c:v>
                </c:pt>
                <c:pt idx="83">
                  <c:v>19.118339660609916</c:v>
                </c:pt>
                <c:pt idx="84">
                  <c:v>15.025443983000775</c:v>
                </c:pt>
                <c:pt idx="85">
                  <c:v>5.7286693456137101</c:v>
                </c:pt>
                <c:pt idx="86">
                  <c:v>7.2316248066469848</c:v>
                </c:pt>
                <c:pt idx="87">
                  <c:v>10.717348545849751</c:v>
                </c:pt>
              </c:numCache>
            </c:numRef>
          </c:val>
        </c:ser>
        <c:dLbls>
          <c:showLegendKey val="0"/>
          <c:showVal val="0"/>
          <c:showCatName val="0"/>
          <c:showSerName val="0"/>
          <c:showPercent val="0"/>
          <c:showBubbleSize val="0"/>
        </c:dLbls>
        <c:gapWidth val="0"/>
        <c:overlap val="100"/>
        <c:axId val="269900416"/>
        <c:axId val="269898880"/>
      </c:barChart>
      <c:lineChart>
        <c:grouping val="standard"/>
        <c:varyColors val="0"/>
        <c:ser>
          <c:idx val="2"/>
          <c:order val="0"/>
          <c:tx>
            <c:strRef>
              <c:f>まとめ!$AB$29</c:f>
              <c:strCache>
                <c:ptCount val="1"/>
                <c:pt idx="0">
                  <c:v>ごみ焼却量 (t/月)</c:v>
                </c:pt>
              </c:strCache>
            </c:strRef>
          </c:tx>
          <c:spPr>
            <a:ln w="0">
              <a:solidFill>
                <a:srgbClr val="00B050"/>
              </a:solidFill>
            </a:ln>
          </c:spPr>
          <c:marker>
            <c:symbol val="circle"/>
            <c:size val="4"/>
            <c:spPr>
              <a:solidFill>
                <a:srgbClr val="33CC33"/>
              </a:solidFill>
              <a:ln w="0">
                <a:solidFill>
                  <a:srgbClr val="00B050"/>
                </a:solidFill>
              </a:ln>
            </c:spPr>
          </c:marker>
          <c:cat>
            <c:numRef>
              <c:f>まとめ!$R$32:$R$119</c:f>
              <c:numCache>
                <c:formatCode>[$-411]ge\.m</c:formatCode>
                <c:ptCount val="88"/>
                <c:pt idx="0">
                  <c:v>40614</c:v>
                </c:pt>
                <c:pt idx="1">
                  <c:v>40923</c:v>
                </c:pt>
                <c:pt idx="2">
                  <c:v>40954</c:v>
                </c:pt>
                <c:pt idx="3">
                  <c:v>40983</c:v>
                </c:pt>
                <c:pt idx="4">
                  <c:v>41014</c:v>
                </c:pt>
                <c:pt idx="5">
                  <c:v>41044</c:v>
                </c:pt>
                <c:pt idx="6">
                  <c:v>41075</c:v>
                </c:pt>
                <c:pt idx="7">
                  <c:v>41105</c:v>
                </c:pt>
                <c:pt idx="8">
                  <c:v>41136</c:v>
                </c:pt>
                <c:pt idx="9">
                  <c:v>41167</c:v>
                </c:pt>
                <c:pt idx="10">
                  <c:v>41197</c:v>
                </c:pt>
                <c:pt idx="11">
                  <c:v>41228</c:v>
                </c:pt>
                <c:pt idx="12">
                  <c:v>41258</c:v>
                </c:pt>
                <c:pt idx="13">
                  <c:v>41289</c:v>
                </c:pt>
                <c:pt idx="14">
                  <c:v>41320</c:v>
                </c:pt>
                <c:pt idx="15">
                  <c:v>41348</c:v>
                </c:pt>
                <c:pt idx="16">
                  <c:v>41379</c:v>
                </c:pt>
                <c:pt idx="17">
                  <c:v>41409</c:v>
                </c:pt>
                <c:pt idx="18">
                  <c:v>41440</c:v>
                </c:pt>
                <c:pt idx="19">
                  <c:v>41470</c:v>
                </c:pt>
                <c:pt idx="20">
                  <c:v>41501</c:v>
                </c:pt>
                <c:pt idx="21">
                  <c:v>41532</c:v>
                </c:pt>
                <c:pt idx="22">
                  <c:v>41562</c:v>
                </c:pt>
                <c:pt idx="23">
                  <c:v>41593</c:v>
                </c:pt>
                <c:pt idx="24">
                  <c:v>41623</c:v>
                </c:pt>
                <c:pt idx="25">
                  <c:v>41654</c:v>
                </c:pt>
                <c:pt idx="26">
                  <c:v>41685</c:v>
                </c:pt>
                <c:pt idx="27">
                  <c:v>41713</c:v>
                </c:pt>
                <c:pt idx="28">
                  <c:v>41744</c:v>
                </c:pt>
                <c:pt idx="29">
                  <c:v>41774</c:v>
                </c:pt>
                <c:pt idx="30">
                  <c:v>41805</c:v>
                </c:pt>
                <c:pt idx="31">
                  <c:v>41835</c:v>
                </c:pt>
                <c:pt idx="32">
                  <c:v>41866</c:v>
                </c:pt>
                <c:pt idx="33">
                  <c:v>41897</c:v>
                </c:pt>
                <c:pt idx="34">
                  <c:v>41927</c:v>
                </c:pt>
                <c:pt idx="35">
                  <c:v>41958</c:v>
                </c:pt>
                <c:pt idx="36">
                  <c:v>41988</c:v>
                </c:pt>
                <c:pt idx="37">
                  <c:v>42019</c:v>
                </c:pt>
                <c:pt idx="38">
                  <c:v>42050</c:v>
                </c:pt>
                <c:pt idx="39">
                  <c:v>42078</c:v>
                </c:pt>
                <c:pt idx="40">
                  <c:v>42109</c:v>
                </c:pt>
                <c:pt idx="41">
                  <c:v>42139</c:v>
                </c:pt>
                <c:pt idx="42">
                  <c:v>42170</c:v>
                </c:pt>
                <c:pt idx="43">
                  <c:v>42200</c:v>
                </c:pt>
                <c:pt idx="44">
                  <c:v>42231</c:v>
                </c:pt>
                <c:pt idx="45">
                  <c:v>42262</c:v>
                </c:pt>
                <c:pt idx="46">
                  <c:v>42292</c:v>
                </c:pt>
                <c:pt idx="47">
                  <c:v>42323</c:v>
                </c:pt>
                <c:pt idx="48">
                  <c:v>42353</c:v>
                </c:pt>
                <c:pt idx="49">
                  <c:v>42384</c:v>
                </c:pt>
                <c:pt idx="50">
                  <c:v>42415</c:v>
                </c:pt>
                <c:pt idx="51">
                  <c:v>42444</c:v>
                </c:pt>
                <c:pt idx="52">
                  <c:v>42475</c:v>
                </c:pt>
                <c:pt idx="53">
                  <c:v>42505</c:v>
                </c:pt>
                <c:pt idx="54">
                  <c:v>42536</c:v>
                </c:pt>
                <c:pt idx="55">
                  <c:v>42566</c:v>
                </c:pt>
                <c:pt idx="56">
                  <c:v>42597</c:v>
                </c:pt>
                <c:pt idx="57">
                  <c:v>42628</c:v>
                </c:pt>
                <c:pt idx="58">
                  <c:v>42658</c:v>
                </c:pt>
                <c:pt idx="59">
                  <c:v>42689</c:v>
                </c:pt>
                <c:pt idx="60">
                  <c:v>42719</c:v>
                </c:pt>
                <c:pt idx="61">
                  <c:v>42750</c:v>
                </c:pt>
                <c:pt idx="62">
                  <c:v>42781</c:v>
                </c:pt>
                <c:pt idx="63">
                  <c:v>42809</c:v>
                </c:pt>
                <c:pt idx="64">
                  <c:v>42840</c:v>
                </c:pt>
                <c:pt idx="65">
                  <c:v>42870</c:v>
                </c:pt>
                <c:pt idx="66">
                  <c:v>42901</c:v>
                </c:pt>
                <c:pt idx="67">
                  <c:v>42931</c:v>
                </c:pt>
                <c:pt idx="68">
                  <c:v>42962</c:v>
                </c:pt>
                <c:pt idx="69">
                  <c:v>42993</c:v>
                </c:pt>
                <c:pt idx="70">
                  <c:v>43023</c:v>
                </c:pt>
                <c:pt idx="71">
                  <c:v>43054</c:v>
                </c:pt>
                <c:pt idx="72">
                  <c:v>43084</c:v>
                </c:pt>
                <c:pt idx="73">
                  <c:v>43115</c:v>
                </c:pt>
                <c:pt idx="74">
                  <c:v>43146</c:v>
                </c:pt>
                <c:pt idx="75">
                  <c:v>43174</c:v>
                </c:pt>
                <c:pt idx="76">
                  <c:v>43205</c:v>
                </c:pt>
                <c:pt idx="77">
                  <c:v>43235</c:v>
                </c:pt>
                <c:pt idx="78">
                  <c:v>43266</c:v>
                </c:pt>
                <c:pt idx="79">
                  <c:v>43296</c:v>
                </c:pt>
                <c:pt idx="80">
                  <c:v>43327</c:v>
                </c:pt>
                <c:pt idx="81">
                  <c:v>43358</c:v>
                </c:pt>
                <c:pt idx="82">
                  <c:v>43388</c:v>
                </c:pt>
                <c:pt idx="83">
                  <c:v>43419</c:v>
                </c:pt>
                <c:pt idx="84">
                  <c:v>43449</c:v>
                </c:pt>
                <c:pt idx="85">
                  <c:v>43480</c:v>
                </c:pt>
                <c:pt idx="86">
                  <c:v>43511</c:v>
                </c:pt>
                <c:pt idx="87">
                  <c:v>43539</c:v>
                </c:pt>
              </c:numCache>
            </c:numRef>
          </c:cat>
          <c:val>
            <c:numRef>
              <c:f>まとめ!$AB$32:$AB$119</c:f>
              <c:numCache>
                <c:formatCode>0</c:formatCode>
                <c:ptCount val="88"/>
                <c:pt idx="1">
                  <c:v>1770.1754191650202</c:v>
                </c:pt>
                <c:pt idx="2">
                  <c:v>1514.7028955426845</c:v>
                </c:pt>
                <c:pt idx="3">
                  <c:v>1836.3243775090402</c:v>
                </c:pt>
                <c:pt idx="4">
                  <c:v>1616.9825640585625</c:v>
                </c:pt>
                <c:pt idx="5">
                  <c:v>1816.8874001550219</c:v>
                </c:pt>
                <c:pt idx="6">
                  <c:v>1783.0029452013887</c:v>
                </c:pt>
                <c:pt idx="7">
                  <c:v>1896.970790455827</c:v>
                </c:pt>
                <c:pt idx="8">
                  <c:v>1923.6152589675237</c:v>
                </c:pt>
                <c:pt idx="9">
                  <c:v>1783.6620834119938</c:v>
                </c:pt>
                <c:pt idx="10">
                  <c:v>1835.2753716210957</c:v>
                </c:pt>
                <c:pt idx="11">
                  <c:v>1660.1138347803885</c:v>
                </c:pt>
                <c:pt idx="12">
                  <c:v>1666.1724024129376</c:v>
                </c:pt>
                <c:pt idx="13">
                  <c:v>1526.6330718652512</c:v>
                </c:pt>
                <c:pt idx="14">
                  <c:v>1306.3086908506841</c:v>
                </c:pt>
                <c:pt idx="15">
                  <c:v>1583.681196239869</c:v>
                </c:pt>
                <c:pt idx="16">
                  <c:v>1588.0299697057847</c:v>
                </c:pt>
                <c:pt idx="17">
                  <c:v>1784.3554452344144</c:v>
                </c:pt>
                <c:pt idx="18">
                  <c:v>1751.0777023758549</c:v>
                </c:pt>
                <c:pt idx="19">
                  <c:v>1863.0049166017002</c:v>
                </c:pt>
                <c:pt idx="20">
                  <c:v>1889.1723073107592</c:v>
                </c:pt>
                <c:pt idx="21">
                  <c:v>1751.7250385041998</c:v>
                </c:pt>
                <c:pt idx="22">
                  <c:v>1802.4141741405119</c:v>
                </c:pt>
                <c:pt idx="23">
                  <c:v>1630.3889611137297</c:v>
                </c:pt>
                <c:pt idx="24">
                  <c:v>1636.3390481386809</c:v>
                </c:pt>
                <c:pt idx="25">
                  <c:v>1499.2982143116176</c:v>
                </c:pt>
                <c:pt idx="26">
                  <c:v>1282.9188124027812</c:v>
                </c:pt>
                <c:pt idx="27">
                  <c:v>1555.3248736189441</c:v>
                </c:pt>
                <c:pt idx="28">
                  <c:v>1605.6394928463783</c:v>
                </c:pt>
                <c:pt idx="29">
                  <c:v>1804.1420041176332</c:v>
                </c:pt>
                <c:pt idx="30">
                  <c:v>1770.4952473272756</c:v>
                </c:pt>
                <c:pt idx="31">
                  <c:v>1883.6636124801007</c:v>
                </c:pt>
                <c:pt idx="32">
                  <c:v>1910.1211710581613</c:v>
                </c:pt>
                <c:pt idx="33">
                  <c:v>1771.1497617083921</c:v>
                </c:pt>
                <c:pt idx="34">
                  <c:v>1822.4009846629492</c:v>
                </c:pt>
                <c:pt idx="35">
                  <c:v>1648.4681993438619</c:v>
                </c:pt>
                <c:pt idx="36">
                  <c:v>1654.4842663548043</c:v>
                </c:pt>
                <c:pt idx="37">
                  <c:v>1515.9237989058824</c:v>
                </c:pt>
                <c:pt idx="38">
                  <c:v>1297.1449850478073</c:v>
                </c:pt>
                <c:pt idx="39">
                  <c:v>1572.5717328568765</c:v>
                </c:pt>
                <c:pt idx="40">
                  <c:v>1600.1662626810587</c:v>
                </c:pt>
                <c:pt idx="41">
                  <c:v>1797.9921277079841</c:v>
                </c:pt>
                <c:pt idx="42">
                  <c:v>1764.4600644369691</c:v>
                </c:pt>
                <c:pt idx="43">
                  <c:v>1877.242666463841</c:v>
                </c:pt>
                <c:pt idx="44">
                  <c:v>1903.6100377312659</c:v>
                </c:pt>
                <c:pt idx="45">
                  <c:v>1765.1123477395215</c:v>
                </c:pt>
                <c:pt idx="46">
                  <c:v>1816.1888678789485</c:v>
                </c:pt>
                <c:pt idx="47">
                  <c:v>1642.8489766507128</c:v>
                </c:pt>
                <c:pt idx="48">
                  <c:v>1648.8445363687117</c:v>
                </c:pt>
                <c:pt idx="49">
                  <c:v>1510.7563874779353</c:v>
                </c:pt>
                <c:pt idx="50">
                  <c:v>1292.7233367932722</c:v>
                </c:pt>
                <c:pt idx="51">
                  <c:v>1567.2112225531948</c:v>
                </c:pt>
                <c:pt idx="52">
                  <c:v>1588.1886140584027</c:v>
                </c:pt>
                <c:pt idx="53">
                  <c:v>1784.5337025216506</c:v>
                </c:pt>
                <c:pt idx="54">
                  <c:v>1751.2526352132552</c:v>
                </c:pt>
                <c:pt idx="55">
                  <c:v>1863.191030978983</c:v>
                </c:pt>
                <c:pt idx="56">
                  <c:v>1889.3610358129881</c:v>
                </c:pt>
                <c:pt idx="57">
                  <c:v>1751.9000360105438</c:v>
                </c:pt>
                <c:pt idx="58">
                  <c:v>1802.5942354965698</c:v>
                </c:pt>
                <c:pt idx="59">
                  <c:v>1630.551837133821</c:v>
                </c:pt>
                <c:pt idx="60">
                  <c:v>1636.5025185730603</c:v>
                </c:pt>
                <c:pt idx="61">
                  <c:v>1499.4479943530075</c:v>
                </c:pt>
                <c:pt idx="62">
                  <c:v>1283.0469761203042</c:v>
                </c:pt>
                <c:pt idx="63">
                  <c:v>1555.4802507291959</c:v>
                </c:pt>
                <c:pt idx="64">
                  <c:v>1532.4251241131894</c:v>
                </c:pt>
                <c:pt idx="65">
                  <c:v>1721.8762660581244</c:v>
                </c:pt>
                <c:pt idx="66">
                  <c:v>1689.7637428670901</c:v>
                </c:pt>
                <c:pt idx="67">
                  <c:v>1797.7718273640482</c:v>
                </c:pt>
                <c:pt idx="68">
                  <c:v>1823.0229672795483</c:v>
                </c:pt>
                <c:pt idx="69">
                  <c:v>1690.3884125306013</c:v>
                </c:pt>
                <c:pt idx="70">
                  <c:v>1739.3026688421853</c:v>
                </c:pt>
                <c:pt idx="71">
                  <c:v>1573.3009160717354</c:v>
                </c:pt>
                <c:pt idx="72">
                  <c:v>1579.0426608886701</c:v>
                </c:pt>
                <c:pt idx="73">
                  <c:v>1446.8003098045026</c:v>
                </c:pt>
                <c:pt idx="74">
                  <c:v>1237.9974294110555</c:v>
                </c:pt>
                <c:pt idx="75">
                  <c:v>1500.8651964757435</c:v>
                </c:pt>
                <c:pt idx="76">
                  <c:v>1582.8898926809627</c:v>
                </c:pt>
                <c:pt idx="77">
                  <c:v>1778.5799091279614</c:v>
                </c:pt>
                <c:pt idx="78">
                  <c:v>1745.4098784440889</c:v>
                </c:pt>
                <c:pt idx="79">
                  <c:v>1856.9748107777348</c:v>
                </c:pt>
                <c:pt idx="80">
                  <c:v>1883.0575038385446</c:v>
                </c:pt>
                <c:pt idx="81">
                  <c:v>1746.0551192986518</c:v>
                </c:pt>
                <c:pt idx="82">
                  <c:v>1796.5801862042331</c:v>
                </c:pt>
                <c:pt idx="83">
                  <c:v>1625.1117780627721</c:v>
                </c:pt>
                <c:pt idx="84">
                  <c:v>1631.0426060647856</c:v>
                </c:pt>
                <c:pt idx="85">
                  <c:v>1494.4453409705891</c:v>
                </c:pt>
                <c:pt idx="86">
                  <c:v>1278.7663079550441</c:v>
                </c:pt>
                <c:pt idx="87">
                  <c:v>1550.2906552467909</c:v>
                </c:pt>
              </c:numCache>
            </c:numRef>
          </c:val>
          <c:smooth val="0"/>
        </c:ser>
        <c:ser>
          <c:idx val="3"/>
          <c:order val="1"/>
          <c:tx>
            <c:strRef>
              <c:f>まとめ!$AN$29</c:f>
              <c:strCache>
                <c:ptCount val="1"/>
                <c:pt idx="0">
                  <c:v>両Cs5000から理論減衰</c:v>
                </c:pt>
              </c:strCache>
            </c:strRef>
          </c:tx>
          <c:spPr>
            <a:ln w="31750">
              <a:solidFill>
                <a:srgbClr val="FF0000"/>
              </a:solidFill>
              <a:prstDash val="sysDash"/>
            </a:ln>
          </c:spPr>
          <c:marker>
            <c:symbol val="none"/>
          </c:marker>
          <c:cat>
            <c:numRef>
              <c:f>まとめ!$R$32:$R$119</c:f>
              <c:numCache>
                <c:formatCode>[$-411]ge\.m</c:formatCode>
                <c:ptCount val="88"/>
                <c:pt idx="0">
                  <c:v>40614</c:v>
                </c:pt>
                <c:pt idx="1">
                  <c:v>40923</c:v>
                </c:pt>
                <c:pt idx="2">
                  <c:v>40954</c:v>
                </c:pt>
                <c:pt idx="3">
                  <c:v>40983</c:v>
                </c:pt>
                <c:pt idx="4">
                  <c:v>41014</c:v>
                </c:pt>
                <c:pt idx="5">
                  <c:v>41044</c:v>
                </c:pt>
                <c:pt idx="6">
                  <c:v>41075</c:v>
                </c:pt>
                <c:pt idx="7">
                  <c:v>41105</c:v>
                </c:pt>
                <c:pt idx="8">
                  <c:v>41136</c:v>
                </c:pt>
                <c:pt idx="9">
                  <c:v>41167</c:v>
                </c:pt>
                <c:pt idx="10">
                  <c:v>41197</c:v>
                </c:pt>
                <c:pt idx="11">
                  <c:v>41228</c:v>
                </c:pt>
                <c:pt idx="12">
                  <c:v>41258</c:v>
                </c:pt>
                <c:pt idx="13">
                  <c:v>41289</c:v>
                </c:pt>
                <c:pt idx="14">
                  <c:v>41320</c:v>
                </c:pt>
                <c:pt idx="15">
                  <c:v>41348</c:v>
                </c:pt>
                <c:pt idx="16">
                  <c:v>41379</c:v>
                </c:pt>
                <c:pt idx="17">
                  <c:v>41409</c:v>
                </c:pt>
                <c:pt idx="18">
                  <c:v>41440</c:v>
                </c:pt>
                <c:pt idx="19">
                  <c:v>41470</c:v>
                </c:pt>
                <c:pt idx="20">
                  <c:v>41501</c:v>
                </c:pt>
                <c:pt idx="21">
                  <c:v>41532</c:v>
                </c:pt>
                <c:pt idx="22">
                  <c:v>41562</c:v>
                </c:pt>
                <c:pt idx="23">
                  <c:v>41593</c:v>
                </c:pt>
                <c:pt idx="24">
                  <c:v>41623</c:v>
                </c:pt>
                <c:pt idx="25">
                  <c:v>41654</c:v>
                </c:pt>
                <c:pt idx="26">
                  <c:v>41685</c:v>
                </c:pt>
                <c:pt idx="27">
                  <c:v>41713</c:v>
                </c:pt>
                <c:pt idx="28">
                  <c:v>41744</c:v>
                </c:pt>
                <c:pt idx="29">
                  <c:v>41774</c:v>
                </c:pt>
                <c:pt idx="30">
                  <c:v>41805</c:v>
                </c:pt>
                <c:pt idx="31">
                  <c:v>41835</c:v>
                </c:pt>
                <c:pt idx="32">
                  <c:v>41866</c:v>
                </c:pt>
                <c:pt idx="33">
                  <c:v>41897</c:v>
                </c:pt>
                <c:pt idx="34">
                  <c:v>41927</c:v>
                </c:pt>
                <c:pt idx="35">
                  <c:v>41958</c:v>
                </c:pt>
                <c:pt idx="36">
                  <c:v>41988</c:v>
                </c:pt>
                <c:pt idx="37">
                  <c:v>42019</c:v>
                </c:pt>
                <c:pt idx="38">
                  <c:v>42050</c:v>
                </c:pt>
                <c:pt idx="39">
                  <c:v>42078</c:v>
                </c:pt>
                <c:pt idx="40">
                  <c:v>42109</c:v>
                </c:pt>
                <c:pt idx="41">
                  <c:v>42139</c:v>
                </c:pt>
                <c:pt idx="42">
                  <c:v>42170</c:v>
                </c:pt>
                <c:pt idx="43">
                  <c:v>42200</c:v>
                </c:pt>
                <c:pt idx="44">
                  <c:v>42231</c:v>
                </c:pt>
                <c:pt idx="45">
                  <c:v>42262</c:v>
                </c:pt>
                <c:pt idx="46">
                  <c:v>42292</c:v>
                </c:pt>
                <c:pt idx="47">
                  <c:v>42323</c:v>
                </c:pt>
                <c:pt idx="48">
                  <c:v>42353</c:v>
                </c:pt>
                <c:pt idx="49">
                  <c:v>42384</c:v>
                </c:pt>
                <c:pt idx="50">
                  <c:v>42415</c:v>
                </c:pt>
                <c:pt idx="51">
                  <c:v>42444</c:v>
                </c:pt>
                <c:pt idx="52">
                  <c:v>42475</c:v>
                </c:pt>
                <c:pt idx="53">
                  <c:v>42505</c:v>
                </c:pt>
                <c:pt idx="54">
                  <c:v>42536</c:v>
                </c:pt>
                <c:pt idx="55">
                  <c:v>42566</c:v>
                </c:pt>
                <c:pt idx="56">
                  <c:v>42597</c:v>
                </c:pt>
                <c:pt idx="57">
                  <c:v>42628</c:v>
                </c:pt>
                <c:pt idx="58">
                  <c:v>42658</c:v>
                </c:pt>
                <c:pt idx="59">
                  <c:v>42689</c:v>
                </c:pt>
                <c:pt idx="60">
                  <c:v>42719</c:v>
                </c:pt>
                <c:pt idx="61">
                  <c:v>42750</c:v>
                </c:pt>
                <c:pt idx="62">
                  <c:v>42781</c:v>
                </c:pt>
                <c:pt idx="63">
                  <c:v>42809</c:v>
                </c:pt>
                <c:pt idx="64">
                  <c:v>42840</c:v>
                </c:pt>
                <c:pt idx="65">
                  <c:v>42870</c:v>
                </c:pt>
                <c:pt idx="66">
                  <c:v>42901</c:v>
                </c:pt>
                <c:pt idx="67">
                  <c:v>42931</c:v>
                </c:pt>
                <c:pt idx="68">
                  <c:v>42962</c:v>
                </c:pt>
                <c:pt idx="69">
                  <c:v>42993</c:v>
                </c:pt>
                <c:pt idx="70">
                  <c:v>43023</c:v>
                </c:pt>
                <c:pt idx="71">
                  <c:v>43054</c:v>
                </c:pt>
                <c:pt idx="72">
                  <c:v>43084</c:v>
                </c:pt>
                <c:pt idx="73">
                  <c:v>43115</c:v>
                </c:pt>
                <c:pt idx="74">
                  <c:v>43146</c:v>
                </c:pt>
                <c:pt idx="75">
                  <c:v>43174</c:v>
                </c:pt>
                <c:pt idx="76">
                  <c:v>43205</c:v>
                </c:pt>
                <c:pt idx="77">
                  <c:v>43235</c:v>
                </c:pt>
                <c:pt idx="78">
                  <c:v>43266</c:v>
                </c:pt>
                <c:pt idx="79">
                  <c:v>43296</c:v>
                </c:pt>
                <c:pt idx="80">
                  <c:v>43327</c:v>
                </c:pt>
                <c:pt idx="81">
                  <c:v>43358</c:v>
                </c:pt>
                <c:pt idx="82">
                  <c:v>43388</c:v>
                </c:pt>
                <c:pt idx="83">
                  <c:v>43419</c:v>
                </c:pt>
                <c:pt idx="84">
                  <c:v>43449</c:v>
                </c:pt>
                <c:pt idx="85">
                  <c:v>43480</c:v>
                </c:pt>
                <c:pt idx="86">
                  <c:v>43511</c:v>
                </c:pt>
                <c:pt idx="87">
                  <c:v>43539</c:v>
                </c:pt>
              </c:numCache>
            </c:numRef>
          </c:cat>
          <c:val>
            <c:numRef>
              <c:f>まとめ!$AN$32:$AN$119</c:f>
              <c:numCache>
                <c:formatCode>0</c:formatCode>
                <c:ptCount val="88"/>
                <c:pt idx="0">
                  <c:v>5000</c:v>
                </c:pt>
                <c:pt idx="1">
                  <c:v>4332.9116549052933</c:v>
                </c:pt>
                <c:pt idx="2">
                  <c:v>4275.206721971841</c:v>
                </c:pt>
                <c:pt idx="3">
                  <c:v>4222.5813600945285</c:v>
                </c:pt>
                <c:pt idx="4">
                  <c:v>4167.7372045812153</c:v>
                </c:pt>
                <c:pt idx="5">
                  <c:v>4116.0124417554016</c:v>
                </c:pt>
                <c:pt idx="6">
                  <c:v>4063.9201636038833</c:v>
                </c:pt>
                <c:pt idx="7">
                  <c:v>4014.7852446607435</c:v>
                </c:pt>
                <c:pt idx="8">
                  <c:v>3965.2955390761872</c:v>
                </c:pt>
                <c:pt idx="9">
                  <c:v>3917.0738625505078</c:v>
                </c:pt>
                <c:pt idx="10">
                  <c:v>3871.5816832398286</c:v>
                </c:pt>
                <c:pt idx="11">
                  <c:v>3825.7526652963243</c:v>
                </c:pt>
                <c:pt idx="12">
                  <c:v>3782.5123175678782</c:v>
                </c:pt>
                <c:pt idx="13">
                  <c:v>3738.946255620046</c:v>
                </c:pt>
                <c:pt idx="14">
                  <c:v>3696.4827976490224</c:v>
                </c:pt>
                <c:pt idx="15">
                  <c:v>3659.0508035884232</c:v>
                </c:pt>
                <c:pt idx="16">
                  <c:v>3618.6015510669795</c:v>
                </c:pt>
                <c:pt idx="17">
                  <c:v>3580.4244220607452</c:v>
                </c:pt>
                <c:pt idx="18">
                  <c:v>3541.9466902202512</c:v>
                </c:pt>
                <c:pt idx="19">
                  <c:v>3505.6251159019898</c:v>
                </c:pt>
                <c:pt idx="20">
                  <c:v>3469.0121814628465</c:v>
                </c:pt>
                <c:pt idx="21">
                  <c:v>3433.3079097889358</c:v>
                </c:pt>
                <c:pt idx="22">
                  <c:v>3399.5967011770008</c:v>
                </c:pt>
                <c:pt idx="23">
                  <c:v>3365.6071783319503</c:v>
                </c:pt>
                <c:pt idx="24">
                  <c:v>3333.5099099280715</c:v>
                </c:pt>
                <c:pt idx="25">
                  <c:v>3301.1424220670451</c:v>
                </c:pt>
                <c:pt idx="26">
                  <c:v>3269.5653480295514</c:v>
                </c:pt>
                <c:pt idx="27">
                  <c:v>3241.7051872962493</c:v>
                </c:pt>
                <c:pt idx="28">
                  <c:v>3211.5721897314411</c:v>
                </c:pt>
                <c:pt idx="29">
                  <c:v>3183.1048176580744</c:v>
                </c:pt>
                <c:pt idx="30">
                  <c:v>3154.3855277562134</c:v>
                </c:pt>
                <c:pt idx="31">
                  <c:v>3127.2488244897231</c:v>
                </c:pt>
                <c:pt idx="32">
                  <c:v>3099.8669514428011</c:v>
                </c:pt>
                <c:pt idx="33">
                  <c:v>3073.1368548044029</c:v>
                </c:pt>
                <c:pt idx="34">
                  <c:v>3047.8725438549413</c:v>
                </c:pt>
                <c:pt idx="35">
                  <c:v>3022.3726005937483</c:v>
                </c:pt>
                <c:pt idx="36">
                  <c:v>2998.2662383410543</c:v>
                </c:pt>
                <c:pt idx="37">
                  <c:v>2973.9301700504302</c:v>
                </c:pt>
                <c:pt idx="38">
                  <c:v>2950.1613454839298</c:v>
                </c:pt>
                <c:pt idx="39">
                  <c:v>2929.1671981771774</c:v>
                </c:pt>
                <c:pt idx="40">
                  <c:v>2906.434887689978</c:v>
                </c:pt>
                <c:pt idx="41">
                  <c:v>2884.9338005653221</c:v>
                </c:pt>
                <c:pt idx="42">
                  <c:v>2863.2164341656699</c:v>
                </c:pt>
                <c:pt idx="43">
                  <c:v>2842.6707882124401</c:v>
                </c:pt>
                <c:pt idx="44">
                  <c:v>2821.9138249063712</c:v>
                </c:pt>
                <c:pt idx="45">
                  <c:v>2801.6249930163021</c:v>
                </c:pt>
                <c:pt idx="46">
                  <c:v>2782.4241710465035</c:v>
                </c:pt>
                <c:pt idx="47">
                  <c:v>2763.019056934259</c:v>
                </c:pt>
                <c:pt idx="48">
                  <c:v>2744.6501942754285</c:v>
                </c:pt>
                <c:pt idx="49">
                  <c:v>2726.0814127546814</c:v>
                </c:pt>
                <c:pt idx="50">
                  <c:v>2707.9203267353478</c:v>
                </c:pt>
                <c:pt idx="51">
                  <c:v>2691.2900488734822</c:v>
                </c:pt>
                <c:pt idx="52">
                  <c:v>2673.8863905910916</c:v>
                </c:pt>
                <c:pt idx="53">
                  <c:v>2657.4018493739532</c:v>
                </c:pt>
                <c:pt idx="54">
                  <c:v>2640.7273860299883</c:v>
                </c:pt>
                <c:pt idx="55">
                  <c:v>2624.9293997866539</c:v>
                </c:pt>
                <c:pt idx="56">
                  <c:v>2608.9451707103831</c:v>
                </c:pt>
                <c:pt idx="57">
                  <c:v>2593.2974706214727</c:v>
                </c:pt>
                <c:pt idx="58">
                  <c:v>2578.4662459613228</c:v>
                </c:pt>
                <c:pt idx="59">
                  <c:v>2563.4539993096641</c:v>
                </c:pt>
                <c:pt idx="60">
                  <c:v>2549.2211192910086</c:v>
                </c:pt>
                <c:pt idx="61">
                  <c:v>2534.8104749622548</c:v>
                </c:pt>
                <c:pt idx="62">
                  <c:v>2520.6931853168421</c:v>
                </c:pt>
                <c:pt idx="63">
                  <c:v>2508.187543699009</c:v>
                </c:pt>
                <c:pt idx="64">
                  <c:v>2494.6065703821159</c:v>
                </c:pt>
                <c:pt idx="65">
                  <c:v>2481.7214664282556</c:v>
                </c:pt>
                <c:pt idx="66">
                  <c:v>2468.6660240140041</c:v>
                </c:pt>
                <c:pt idx="67">
                  <c:v>2456.2758272994729</c:v>
                </c:pt>
                <c:pt idx="68">
                  <c:v>2443.718054599236</c:v>
                </c:pt>
                <c:pt idx="69">
                  <c:v>2431.403008414266</c:v>
                </c:pt>
                <c:pt idx="70">
                  <c:v>2419.7101011841746</c:v>
                </c:pt>
                <c:pt idx="71">
                  <c:v>2407.8535487596514</c:v>
                </c:pt>
                <c:pt idx="72">
                  <c:v>2396.5924660684368</c:v>
                </c:pt>
                <c:pt idx="73">
                  <c:v>2385.1701980627954</c:v>
                </c:pt>
                <c:pt idx="74">
                  <c:v>2373.9597795668924</c:v>
                </c:pt>
                <c:pt idx="75">
                  <c:v>2364.0115476205065</c:v>
                </c:pt>
                <c:pt idx="76">
                  <c:v>2353.188589055887</c:v>
                </c:pt>
                <c:pt idx="77">
                  <c:v>2342.9010617011336</c:v>
                </c:pt>
                <c:pt idx="78">
                  <c:v>2332.4579799299877</c:v>
                </c:pt>
                <c:pt idx="79">
                  <c:v>2322.5282968975821</c:v>
                </c:pt>
                <c:pt idx="80">
                  <c:v>2312.4451636655044</c:v>
                </c:pt>
                <c:pt idx="81">
                  <c:v>2302.5376679520364</c:v>
                </c:pt>
                <c:pt idx="82">
                  <c:v>2293.112543777896</c:v>
                </c:pt>
                <c:pt idx="83">
                  <c:v>2283.5369736808448</c:v>
                </c:pt>
                <c:pt idx="84">
                  <c:v>2274.4245702095736</c:v>
                </c:pt>
                <c:pt idx="85">
                  <c:v>2265.1636075258684</c:v>
                </c:pt>
                <c:pt idx="86">
                  <c:v>2256.0561944427036</c:v>
                </c:pt>
                <c:pt idx="87">
                  <c:v>2247.958702116819</c:v>
                </c:pt>
              </c:numCache>
            </c:numRef>
          </c:val>
          <c:smooth val="0"/>
        </c:ser>
        <c:ser>
          <c:idx val="4"/>
          <c:order val="2"/>
          <c:tx>
            <c:strRef>
              <c:f>まとめ!$U$30:$U$31</c:f>
              <c:strCache>
                <c:ptCount val="1"/>
                <c:pt idx="0">
                  <c:v>ぱいじん(飛灰) 両Cs濃度 (Bq/kg)</c:v>
                </c:pt>
              </c:strCache>
            </c:strRef>
          </c:tx>
          <c:spPr>
            <a:ln w="0" cmpd="sng">
              <a:solidFill>
                <a:srgbClr val="3333FF"/>
              </a:solidFill>
              <a:prstDash val="solid"/>
            </a:ln>
          </c:spPr>
          <c:marker>
            <c:symbol val="plus"/>
            <c:size val="5"/>
            <c:spPr>
              <a:noFill/>
              <a:ln>
                <a:solidFill>
                  <a:srgbClr val="3333FF"/>
                </a:solidFill>
              </a:ln>
            </c:spPr>
          </c:marker>
          <c:cat>
            <c:numRef>
              <c:f>まとめ!$R$32:$R$119</c:f>
              <c:numCache>
                <c:formatCode>[$-411]ge\.m</c:formatCode>
                <c:ptCount val="88"/>
                <c:pt idx="0">
                  <c:v>40614</c:v>
                </c:pt>
                <c:pt idx="1">
                  <c:v>40923</c:v>
                </c:pt>
                <c:pt idx="2">
                  <c:v>40954</c:v>
                </c:pt>
                <c:pt idx="3">
                  <c:v>40983</c:v>
                </c:pt>
                <c:pt idx="4">
                  <c:v>41014</c:v>
                </c:pt>
                <c:pt idx="5">
                  <c:v>41044</c:v>
                </c:pt>
                <c:pt idx="6">
                  <c:v>41075</c:v>
                </c:pt>
                <c:pt idx="7">
                  <c:v>41105</c:v>
                </c:pt>
                <c:pt idx="8">
                  <c:v>41136</c:v>
                </c:pt>
                <c:pt idx="9">
                  <c:v>41167</c:v>
                </c:pt>
                <c:pt idx="10">
                  <c:v>41197</c:v>
                </c:pt>
                <c:pt idx="11">
                  <c:v>41228</c:v>
                </c:pt>
                <c:pt idx="12">
                  <c:v>41258</c:v>
                </c:pt>
                <c:pt idx="13">
                  <c:v>41289</c:v>
                </c:pt>
                <c:pt idx="14">
                  <c:v>41320</c:v>
                </c:pt>
                <c:pt idx="15">
                  <c:v>41348</c:v>
                </c:pt>
                <c:pt idx="16">
                  <c:v>41379</c:v>
                </c:pt>
                <c:pt idx="17">
                  <c:v>41409</c:v>
                </c:pt>
                <c:pt idx="18">
                  <c:v>41440</c:v>
                </c:pt>
                <c:pt idx="19">
                  <c:v>41470</c:v>
                </c:pt>
                <c:pt idx="20">
                  <c:v>41501</c:v>
                </c:pt>
                <c:pt idx="21">
                  <c:v>41532</c:v>
                </c:pt>
                <c:pt idx="22">
                  <c:v>41562</c:v>
                </c:pt>
                <c:pt idx="23">
                  <c:v>41593</c:v>
                </c:pt>
                <c:pt idx="24">
                  <c:v>41623</c:v>
                </c:pt>
                <c:pt idx="25">
                  <c:v>41654</c:v>
                </c:pt>
                <c:pt idx="26">
                  <c:v>41685</c:v>
                </c:pt>
                <c:pt idx="27">
                  <c:v>41713</c:v>
                </c:pt>
                <c:pt idx="28">
                  <c:v>41744</c:v>
                </c:pt>
                <c:pt idx="29">
                  <c:v>41774</c:v>
                </c:pt>
                <c:pt idx="30">
                  <c:v>41805</c:v>
                </c:pt>
                <c:pt idx="31">
                  <c:v>41835</c:v>
                </c:pt>
                <c:pt idx="32">
                  <c:v>41866</c:v>
                </c:pt>
                <c:pt idx="33">
                  <c:v>41897</c:v>
                </c:pt>
                <c:pt idx="34">
                  <c:v>41927</c:v>
                </c:pt>
                <c:pt idx="35">
                  <c:v>41958</c:v>
                </c:pt>
                <c:pt idx="36">
                  <c:v>41988</c:v>
                </c:pt>
                <c:pt idx="37">
                  <c:v>42019</c:v>
                </c:pt>
                <c:pt idx="38">
                  <c:v>42050</c:v>
                </c:pt>
                <c:pt idx="39">
                  <c:v>42078</c:v>
                </c:pt>
                <c:pt idx="40">
                  <c:v>42109</c:v>
                </c:pt>
                <c:pt idx="41">
                  <c:v>42139</c:v>
                </c:pt>
                <c:pt idx="42">
                  <c:v>42170</c:v>
                </c:pt>
                <c:pt idx="43">
                  <c:v>42200</c:v>
                </c:pt>
                <c:pt idx="44">
                  <c:v>42231</c:v>
                </c:pt>
                <c:pt idx="45">
                  <c:v>42262</c:v>
                </c:pt>
                <c:pt idx="46">
                  <c:v>42292</c:v>
                </c:pt>
                <c:pt idx="47">
                  <c:v>42323</c:v>
                </c:pt>
                <c:pt idx="48">
                  <c:v>42353</c:v>
                </c:pt>
                <c:pt idx="49">
                  <c:v>42384</c:v>
                </c:pt>
                <c:pt idx="50">
                  <c:v>42415</c:v>
                </c:pt>
                <c:pt idx="51">
                  <c:v>42444</c:v>
                </c:pt>
                <c:pt idx="52">
                  <c:v>42475</c:v>
                </c:pt>
                <c:pt idx="53">
                  <c:v>42505</c:v>
                </c:pt>
                <c:pt idx="54">
                  <c:v>42536</c:v>
                </c:pt>
                <c:pt idx="55">
                  <c:v>42566</c:v>
                </c:pt>
                <c:pt idx="56">
                  <c:v>42597</c:v>
                </c:pt>
                <c:pt idx="57">
                  <c:v>42628</c:v>
                </c:pt>
                <c:pt idx="58">
                  <c:v>42658</c:v>
                </c:pt>
                <c:pt idx="59">
                  <c:v>42689</c:v>
                </c:pt>
                <c:pt idx="60">
                  <c:v>42719</c:v>
                </c:pt>
                <c:pt idx="61">
                  <c:v>42750</c:v>
                </c:pt>
                <c:pt idx="62">
                  <c:v>42781</c:v>
                </c:pt>
                <c:pt idx="63">
                  <c:v>42809</c:v>
                </c:pt>
                <c:pt idx="64">
                  <c:v>42840</c:v>
                </c:pt>
                <c:pt idx="65">
                  <c:v>42870</c:v>
                </c:pt>
                <c:pt idx="66">
                  <c:v>42901</c:v>
                </c:pt>
                <c:pt idx="67">
                  <c:v>42931</c:v>
                </c:pt>
                <c:pt idx="68">
                  <c:v>42962</c:v>
                </c:pt>
                <c:pt idx="69">
                  <c:v>42993</c:v>
                </c:pt>
                <c:pt idx="70">
                  <c:v>43023</c:v>
                </c:pt>
                <c:pt idx="71">
                  <c:v>43054</c:v>
                </c:pt>
                <c:pt idx="72">
                  <c:v>43084</c:v>
                </c:pt>
                <c:pt idx="73">
                  <c:v>43115</c:v>
                </c:pt>
                <c:pt idx="74">
                  <c:v>43146</c:v>
                </c:pt>
                <c:pt idx="75">
                  <c:v>43174</c:v>
                </c:pt>
                <c:pt idx="76">
                  <c:v>43205</c:v>
                </c:pt>
                <c:pt idx="77">
                  <c:v>43235</c:v>
                </c:pt>
                <c:pt idx="78">
                  <c:v>43266</c:v>
                </c:pt>
                <c:pt idx="79">
                  <c:v>43296</c:v>
                </c:pt>
                <c:pt idx="80">
                  <c:v>43327</c:v>
                </c:pt>
                <c:pt idx="81">
                  <c:v>43358</c:v>
                </c:pt>
                <c:pt idx="82">
                  <c:v>43388</c:v>
                </c:pt>
                <c:pt idx="83">
                  <c:v>43419</c:v>
                </c:pt>
                <c:pt idx="84">
                  <c:v>43449</c:v>
                </c:pt>
                <c:pt idx="85">
                  <c:v>43480</c:v>
                </c:pt>
                <c:pt idx="86">
                  <c:v>43511</c:v>
                </c:pt>
                <c:pt idx="87">
                  <c:v>43539</c:v>
                </c:pt>
              </c:numCache>
            </c:numRef>
          </c:cat>
          <c:val>
            <c:numRef>
              <c:f>まとめ!$U$32:$U$119</c:f>
              <c:numCache>
                <c:formatCode>0.0</c:formatCode>
                <c:ptCount val="88"/>
                <c:pt idx="4" formatCode="0">
                  <c:v>2058.9169634842506</c:v>
                </c:pt>
                <c:pt idx="5" formatCode="0">
                  <c:v>2937.4781190559966</c:v>
                </c:pt>
                <c:pt idx="6" formatCode="0">
                  <c:v>2997.9435737124286</c:v>
                </c:pt>
                <c:pt idx="7" formatCode="0">
                  <c:v>2702.4550415009103</c:v>
                </c:pt>
                <c:pt idx="8" formatCode="0">
                  <c:v>2221.3692695049617</c:v>
                </c:pt>
                <c:pt idx="9" formatCode="0">
                  <c:v>1962.4435148958266</c:v>
                </c:pt>
                <c:pt idx="10" formatCode="0">
                  <c:v>1721.836100976318</c:v>
                </c:pt>
                <c:pt idx="11" formatCode="0">
                  <c:v>1365.982022399402</c:v>
                </c:pt>
                <c:pt idx="12" formatCode="0">
                  <c:v>961.06770327142988</c:v>
                </c:pt>
                <c:pt idx="13" formatCode="0">
                  <c:v>826.29176320063868</c:v>
                </c:pt>
                <c:pt idx="14" formatCode="0">
                  <c:v>718.74324897244105</c:v>
                </c:pt>
                <c:pt idx="15" formatCode="0">
                  <c:v>639.70834968187569</c:v>
                </c:pt>
                <c:pt idx="16" formatCode="0">
                  <c:v>1044.1620777680398</c:v>
                </c:pt>
                <c:pt idx="17" formatCode="0">
                  <c:v>1502.5252914699106</c:v>
                </c:pt>
                <c:pt idx="18" formatCode="0">
                  <c:v>1547.193675495017</c:v>
                </c:pt>
                <c:pt idx="19" formatCode="0">
                  <c:v>1407.3384786343363</c:v>
                </c:pt>
                <c:pt idx="20" formatCode="0">
                  <c:v>1167.7858001924803</c:v>
                </c:pt>
                <c:pt idx="21" formatCode="0">
                  <c:v>1041.7042113491109</c:v>
                </c:pt>
                <c:pt idx="22" formatCode="0">
                  <c:v>922.97676140260842</c:v>
                </c:pt>
                <c:pt idx="23" formatCode="0">
                  <c:v>739.81235628963975</c:v>
                </c:pt>
                <c:pt idx="24" formatCode="0">
                  <c:v>525.80775692190537</c:v>
                </c:pt>
                <c:pt idx="25" formatCode="0">
                  <c:v>457.08428991945988</c:v>
                </c:pt>
                <c:pt idx="26" formatCode="0">
                  <c:v>402.03370379045469</c:v>
                </c:pt>
                <c:pt idx="27" formatCode="0">
                  <c:v>341.01842302801418</c:v>
                </c:pt>
                <c:pt idx="28" formatCode="0">
                  <c:v>597.08075703338568</c:v>
                </c:pt>
                <c:pt idx="29" formatCode="0">
                  <c:v>868.88795984862884</c:v>
                </c:pt>
                <c:pt idx="30" formatCode="0">
                  <c:v>905.5609157197232</c:v>
                </c:pt>
                <c:pt idx="31" formatCode="0">
                  <c:v>833.39074465387296</c:v>
                </c:pt>
                <c:pt idx="32" formatCode="0">
                  <c:v>700.24986706964194</c:v>
                </c:pt>
                <c:pt idx="33" formatCode="0">
                  <c:v>632.45606277529839</c:v>
                </c:pt>
                <c:pt idx="34" formatCode="0">
                  <c:v>567.26617537484549</c:v>
                </c:pt>
                <c:pt idx="35" formatCode="0">
                  <c:v>460.56825429297089</c:v>
                </c:pt>
                <c:pt idx="36" formatCode="0">
                  <c:v>331.44436245390136</c:v>
                </c:pt>
                <c:pt idx="37" formatCode="0">
                  <c:v>291.90128664228155</c:v>
                </c:pt>
                <c:pt idx="38" formatCode="0">
                  <c:v>260.10187559014832</c:v>
                </c:pt>
                <c:pt idx="39" formatCode="0">
                  <c:v>223.22383941819351</c:v>
                </c:pt>
                <c:pt idx="40" formatCode="0">
                  <c:v>395.94505287479228</c:v>
                </c:pt>
                <c:pt idx="41" formatCode="0">
                  <c:v>583.55130068549556</c:v>
                </c:pt>
                <c:pt idx="42" formatCode="0">
                  <c:v>616.13895530924412</c:v>
                </c:pt>
                <c:pt idx="43" formatCode="0">
                  <c:v>574.12752170461431</c:v>
                </c:pt>
                <c:pt idx="44" formatCode="0">
                  <c:v>488.67408694498079</c:v>
                </c:pt>
                <c:pt idx="45" formatCode="0">
                  <c:v>447.05645198732878</c:v>
                </c:pt>
                <c:pt idx="46" formatCode="0">
                  <c:v>405.85829954064894</c:v>
                </c:pt>
                <c:pt idx="47" formatCode="0">
                  <c:v>333.61880954606818</c:v>
                </c:pt>
                <c:pt idx="48" formatCode="0">
                  <c:v>242.98389439310986</c:v>
                </c:pt>
                <c:pt idx="49" formatCode="0">
                  <c:v>216.570511474916</c:v>
                </c:pt>
                <c:pt idx="50" formatCode="0">
                  <c:v>195.24175544091884</c:v>
                </c:pt>
                <c:pt idx="51" formatCode="0">
                  <c:v>169.29110767498551</c:v>
                </c:pt>
                <c:pt idx="52" formatCode="0">
                  <c:v>303.76122187962005</c:v>
                </c:pt>
                <c:pt idx="53" formatCode="0">
                  <c:v>452.54472029720483</c:v>
                </c:pt>
                <c:pt idx="54" formatCode="0">
                  <c:v>482.99449514816536</c:v>
                </c:pt>
                <c:pt idx="55" formatCode="0">
                  <c:v>454.78514079699966</c:v>
                </c:pt>
                <c:pt idx="56" formatCode="0">
                  <c:v>391.08932039934206</c:v>
                </c:pt>
                <c:pt idx="57" formatCode="0">
                  <c:v>361.46173862784741</c:v>
                </c:pt>
                <c:pt idx="58" formatCode="0">
                  <c:v>331.24864660317382</c:v>
                </c:pt>
                <c:pt idx="59" formatCode="0">
                  <c:v>274.90734260967014</c:v>
                </c:pt>
                <c:pt idx="60" formatCode="0">
                  <c:v>201.9672177766592</c:v>
                </c:pt>
                <c:pt idx="61" formatCode="0">
                  <c:v>181.61010599785527</c:v>
                </c:pt>
                <c:pt idx="62" formatCode="0">
                  <c:v>165.15666180935673</c:v>
                </c:pt>
                <c:pt idx="63" formatCode="0">
                  <c:v>144.32228555734335</c:v>
                </c:pt>
                <c:pt idx="64">
                  <c:v>261</c:v>
                </c:pt>
                <c:pt idx="65">
                  <c:v>242</c:v>
                </c:pt>
                <c:pt idx="66">
                  <c:v>211</c:v>
                </c:pt>
                <c:pt idx="67">
                  <c:v>200</c:v>
                </c:pt>
                <c:pt idx="68">
                  <c:v>134</c:v>
                </c:pt>
                <c:pt idx="69">
                  <c:v>220</c:v>
                </c:pt>
                <c:pt idx="70">
                  <c:v>150</c:v>
                </c:pt>
                <c:pt idx="71">
                  <c:v>130</c:v>
                </c:pt>
                <c:pt idx="72">
                  <c:v>110</c:v>
                </c:pt>
                <c:pt idx="73">
                  <c:v>52</c:v>
                </c:pt>
                <c:pt idx="74">
                  <c:v>43</c:v>
                </c:pt>
                <c:pt idx="75">
                  <c:v>50</c:v>
                </c:pt>
                <c:pt idx="76">
                  <c:v>150</c:v>
                </c:pt>
                <c:pt idx="77">
                  <c:v>250</c:v>
                </c:pt>
                <c:pt idx="78">
                  <c:v>294</c:v>
                </c:pt>
                <c:pt idx="79">
                  <c:v>200</c:v>
                </c:pt>
                <c:pt idx="80">
                  <c:v>160</c:v>
                </c:pt>
                <c:pt idx="81">
                  <c:v>120</c:v>
                </c:pt>
                <c:pt idx="82">
                  <c:v>190</c:v>
                </c:pt>
                <c:pt idx="83">
                  <c:v>150</c:v>
                </c:pt>
                <c:pt idx="84">
                  <c:v>140</c:v>
                </c:pt>
                <c:pt idx="85">
                  <c:v>66</c:v>
                </c:pt>
                <c:pt idx="86">
                  <c:v>93</c:v>
                </c:pt>
                <c:pt idx="87">
                  <c:v>110</c:v>
                </c:pt>
              </c:numCache>
            </c:numRef>
          </c:val>
          <c:smooth val="0"/>
        </c:ser>
        <c:ser>
          <c:idx val="5"/>
          <c:order val="3"/>
          <c:tx>
            <c:strRef>
              <c:f>まとめ!$X$30:$X$31</c:f>
              <c:strCache>
                <c:ptCount val="1"/>
                <c:pt idx="0">
                  <c:v>焼却灰(主灰) 両Cs濃度 (Bq/kg)</c:v>
                </c:pt>
              </c:strCache>
            </c:strRef>
          </c:tx>
          <c:spPr>
            <a:ln w="0">
              <a:solidFill>
                <a:srgbClr val="3333FF"/>
              </a:solidFill>
              <a:prstDash val="sysDash"/>
            </a:ln>
          </c:spPr>
          <c:marker>
            <c:symbol val="circle"/>
            <c:size val="5"/>
            <c:spPr>
              <a:noFill/>
              <a:ln w="0">
                <a:solidFill>
                  <a:srgbClr val="3333FF"/>
                </a:solidFill>
                <a:prstDash val="sysDash"/>
              </a:ln>
            </c:spPr>
          </c:marker>
          <c:cat>
            <c:numRef>
              <c:f>まとめ!$R$32:$R$119</c:f>
              <c:numCache>
                <c:formatCode>[$-411]ge\.m</c:formatCode>
                <c:ptCount val="88"/>
                <c:pt idx="0">
                  <c:v>40614</c:v>
                </c:pt>
                <c:pt idx="1">
                  <c:v>40923</c:v>
                </c:pt>
                <c:pt idx="2">
                  <c:v>40954</c:v>
                </c:pt>
                <c:pt idx="3">
                  <c:v>40983</c:v>
                </c:pt>
                <c:pt idx="4">
                  <c:v>41014</c:v>
                </c:pt>
                <c:pt idx="5">
                  <c:v>41044</c:v>
                </c:pt>
                <c:pt idx="6">
                  <c:v>41075</c:v>
                </c:pt>
                <c:pt idx="7">
                  <c:v>41105</c:v>
                </c:pt>
                <c:pt idx="8">
                  <c:v>41136</c:v>
                </c:pt>
                <c:pt idx="9">
                  <c:v>41167</c:v>
                </c:pt>
                <c:pt idx="10">
                  <c:v>41197</c:v>
                </c:pt>
                <c:pt idx="11">
                  <c:v>41228</c:v>
                </c:pt>
                <c:pt idx="12">
                  <c:v>41258</c:v>
                </c:pt>
                <c:pt idx="13">
                  <c:v>41289</c:v>
                </c:pt>
                <c:pt idx="14">
                  <c:v>41320</c:v>
                </c:pt>
                <c:pt idx="15">
                  <c:v>41348</c:v>
                </c:pt>
                <c:pt idx="16">
                  <c:v>41379</c:v>
                </c:pt>
                <c:pt idx="17">
                  <c:v>41409</c:v>
                </c:pt>
                <c:pt idx="18">
                  <c:v>41440</c:v>
                </c:pt>
                <c:pt idx="19">
                  <c:v>41470</c:v>
                </c:pt>
                <c:pt idx="20">
                  <c:v>41501</c:v>
                </c:pt>
                <c:pt idx="21">
                  <c:v>41532</c:v>
                </c:pt>
                <c:pt idx="22">
                  <c:v>41562</c:v>
                </c:pt>
                <c:pt idx="23">
                  <c:v>41593</c:v>
                </c:pt>
                <c:pt idx="24">
                  <c:v>41623</c:v>
                </c:pt>
                <c:pt idx="25">
                  <c:v>41654</c:v>
                </c:pt>
                <c:pt idx="26">
                  <c:v>41685</c:v>
                </c:pt>
                <c:pt idx="27">
                  <c:v>41713</c:v>
                </c:pt>
                <c:pt idx="28">
                  <c:v>41744</c:v>
                </c:pt>
                <c:pt idx="29">
                  <c:v>41774</c:v>
                </c:pt>
                <c:pt idx="30">
                  <c:v>41805</c:v>
                </c:pt>
                <c:pt idx="31">
                  <c:v>41835</c:v>
                </c:pt>
                <c:pt idx="32">
                  <c:v>41866</c:v>
                </c:pt>
                <c:pt idx="33">
                  <c:v>41897</c:v>
                </c:pt>
                <c:pt idx="34">
                  <c:v>41927</c:v>
                </c:pt>
                <c:pt idx="35">
                  <c:v>41958</c:v>
                </c:pt>
                <c:pt idx="36">
                  <c:v>41988</c:v>
                </c:pt>
                <c:pt idx="37">
                  <c:v>42019</c:v>
                </c:pt>
                <c:pt idx="38">
                  <c:v>42050</c:v>
                </c:pt>
                <c:pt idx="39">
                  <c:v>42078</c:v>
                </c:pt>
                <c:pt idx="40">
                  <c:v>42109</c:v>
                </c:pt>
                <c:pt idx="41">
                  <c:v>42139</c:v>
                </c:pt>
                <c:pt idx="42">
                  <c:v>42170</c:v>
                </c:pt>
                <c:pt idx="43">
                  <c:v>42200</c:v>
                </c:pt>
                <c:pt idx="44">
                  <c:v>42231</c:v>
                </c:pt>
                <c:pt idx="45">
                  <c:v>42262</c:v>
                </c:pt>
                <c:pt idx="46">
                  <c:v>42292</c:v>
                </c:pt>
                <c:pt idx="47">
                  <c:v>42323</c:v>
                </c:pt>
                <c:pt idx="48">
                  <c:v>42353</c:v>
                </c:pt>
                <c:pt idx="49">
                  <c:v>42384</c:v>
                </c:pt>
                <c:pt idx="50">
                  <c:v>42415</c:v>
                </c:pt>
                <c:pt idx="51">
                  <c:v>42444</c:v>
                </c:pt>
                <c:pt idx="52">
                  <c:v>42475</c:v>
                </c:pt>
                <c:pt idx="53">
                  <c:v>42505</c:v>
                </c:pt>
                <c:pt idx="54">
                  <c:v>42536</c:v>
                </c:pt>
                <c:pt idx="55">
                  <c:v>42566</c:v>
                </c:pt>
                <c:pt idx="56">
                  <c:v>42597</c:v>
                </c:pt>
                <c:pt idx="57">
                  <c:v>42628</c:v>
                </c:pt>
                <c:pt idx="58">
                  <c:v>42658</c:v>
                </c:pt>
                <c:pt idx="59">
                  <c:v>42689</c:v>
                </c:pt>
                <c:pt idx="60">
                  <c:v>42719</c:v>
                </c:pt>
                <c:pt idx="61">
                  <c:v>42750</c:v>
                </c:pt>
                <c:pt idx="62">
                  <c:v>42781</c:v>
                </c:pt>
                <c:pt idx="63">
                  <c:v>42809</c:v>
                </c:pt>
                <c:pt idx="64">
                  <c:v>42840</c:v>
                </c:pt>
                <c:pt idx="65">
                  <c:v>42870</c:v>
                </c:pt>
                <c:pt idx="66">
                  <c:v>42901</c:v>
                </c:pt>
                <c:pt idx="67">
                  <c:v>42931</c:v>
                </c:pt>
                <c:pt idx="68">
                  <c:v>42962</c:v>
                </c:pt>
                <c:pt idx="69">
                  <c:v>42993</c:v>
                </c:pt>
                <c:pt idx="70">
                  <c:v>43023</c:v>
                </c:pt>
                <c:pt idx="71">
                  <c:v>43054</c:v>
                </c:pt>
                <c:pt idx="72">
                  <c:v>43084</c:v>
                </c:pt>
                <c:pt idx="73">
                  <c:v>43115</c:v>
                </c:pt>
                <c:pt idx="74">
                  <c:v>43146</c:v>
                </c:pt>
                <c:pt idx="75">
                  <c:v>43174</c:v>
                </c:pt>
                <c:pt idx="76">
                  <c:v>43205</c:v>
                </c:pt>
                <c:pt idx="77">
                  <c:v>43235</c:v>
                </c:pt>
                <c:pt idx="78">
                  <c:v>43266</c:v>
                </c:pt>
                <c:pt idx="79">
                  <c:v>43296</c:v>
                </c:pt>
                <c:pt idx="80">
                  <c:v>43327</c:v>
                </c:pt>
                <c:pt idx="81">
                  <c:v>43358</c:v>
                </c:pt>
                <c:pt idx="82">
                  <c:v>43388</c:v>
                </c:pt>
                <c:pt idx="83">
                  <c:v>43419</c:v>
                </c:pt>
                <c:pt idx="84">
                  <c:v>43449</c:v>
                </c:pt>
                <c:pt idx="85">
                  <c:v>43480</c:v>
                </c:pt>
                <c:pt idx="86">
                  <c:v>43511</c:v>
                </c:pt>
                <c:pt idx="87">
                  <c:v>43539</c:v>
                </c:pt>
              </c:numCache>
            </c:numRef>
          </c:cat>
          <c:val>
            <c:numRef>
              <c:f>まとめ!$X$32:$X$119</c:f>
              <c:numCache>
                <c:formatCode>0.0</c:formatCode>
                <c:ptCount val="88"/>
                <c:pt idx="4">
                  <c:v>383.38453802810153</c:v>
                </c:pt>
                <c:pt idx="5">
                  <c:v>546.97868423801265</c:v>
                </c:pt>
                <c:pt idx="6">
                  <c:v>558.23776889817577</c:v>
                </c:pt>
                <c:pt idx="7">
                  <c:v>503.21576634844479</c:v>
                </c:pt>
                <c:pt idx="8">
                  <c:v>413.63427776988891</c:v>
                </c:pt>
                <c:pt idx="9">
                  <c:v>365.42051656680866</c:v>
                </c:pt>
                <c:pt idx="10">
                  <c:v>320.61775673352093</c:v>
                </c:pt>
                <c:pt idx="11">
                  <c:v>254.3552731364401</c:v>
                </c:pt>
                <c:pt idx="12">
                  <c:v>178.95743440226607</c:v>
                </c:pt>
                <c:pt idx="13">
                  <c:v>153.86122487184292</c:v>
                </c:pt>
                <c:pt idx="14">
                  <c:v>133.83494980866132</c:v>
                </c:pt>
                <c:pt idx="15">
                  <c:v>119.1181064924871</c:v>
                </c:pt>
                <c:pt idx="16">
                  <c:v>194.43017999818659</c:v>
                </c:pt>
                <c:pt idx="17">
                  <c:v>279.78057151508665</c:v>
                </c:pt>
                <c:pt idx="18">
                  <c:v>288.09813267838234</c:v>
                </c:pt>
                <c:pt idx="19">
                  <c:v>262.05613050432453</c:v>
                </c:pt>
                <c:pt idx="20">
                  <c:v>217.44976969101342</c:v>
                </c:pt>
                <c:pt idx="21">
                  <c:v>193.97250832017914</c:v>
                </c:pt>
                <c:pt idx="22">
                  <c:v>171.86463833014079</c:v>
                </c:pt>
                <c:pt idx="23">
                  <c:v>137.75816289531215</c:v>
                </c:pt>
                <c:pt idx="24">
                  <c:v>97.909030599251281</c:v>
                </c:pt>
                <c:pt idx="25">
                  <c:v>85.112247088451085</c:v>
                </c:pt>
                <c:pt idx="26">
                  <c:v>74.861448292015638</c:v>
                </c:pt>
                <c:pt idx="27">
                  <c:v>63.499982219009482</c:v>
                </c:pt>
                <c:pt idx="28">
                  <c:v>111.18055475794068</c:v>
                </c:pt>
                <c:pt idx="29">
                  <c:v>161.79293045457212</c:v>
                </c:pt>
                <c:pt idx="30">
                  <c:v>168.62168775470693</c:v>
                </c:pt>
                <c:pt idx="31">
                  <c:v>155.18310417692794</c:v>
                </c:pt>
                <c:pt idx="32">
                  <c:v>130.3913545577953</c:v>
                </c:pt>
                <c:pt idx="33">
                  <c:v>117.76768065471066</c:v>
                </c:pt>
                <c:pt idx="34">
                  <c:v>105.62887403531599</c:v>
                </c:pt>
                <c:pt idx="35">
                  <c:v>85.760985282139345</c:v>
                </c:pt>
                <c:pt idx="36">
                  <c:v>61.717226112105728</c:v>
                </c:pt>
                <c:pt idx="37">
                  <c:v>54.354032685114454</c:v>
                </c:pt>
                <c:pt idx="38">
                  <c:v>48.432763040924129</c:v>
                </c:pt>
                <c:pt idx="39">
                  <c:v>41.565818374422207</c:v>
                </c:pt>
                <c:pt idx="40">
                  <c:v>73.72769950082332</c:v>
                </c:pt>
                <c:pt idx="41">
                  <c:v>108.66127667936803</c:v>
                </c:pt>
                <c:pt idx="42">
                  <c:v>114.72932271275569</c:v>
                </c:pt>
                <c:pt idx="43">
                  <c:v>106.90650404154877</c:v>
                </c:pt>
                <c:pt idx="44">
                  <c:v>90.994485155272187</c:v>
                </c:pt>
                <c:pt idx="45">
                  <c:v>83.244994507985282</c:v>
                </c:pt>
                <c:pt idx="46">
                  <c:v>75.573614397224219</c:v>
                </c:pt>
                <c:pt idx="47">
                  <c:v>62.122123156854009</c:v>
                </c:pt>
                <c:pt idx="48">
                  <c:v>45.245276886992819</c:v>
                </c:pt>
                <c:pt idx="49">
                  <c:v>40.326922826363628</c:v>
                </c:pt>
                <c:pt idx="50">
                  <c:v>36.355361357964156</c:v>
                </c:pt>
                <c:pt idx="51">
                  <c:v>31.523171773962787</c:v>
                </c:pt>
                <c:pt idx="52">
                  <c:v>56.562434418963676</c:v>
                </c:pt>
                <c:pt idx="53">
                  <c:v>84.266947917410477</c:v>
                </c:pt>
                <c:pt idx="54">
                  <c:v>89.936905993106564</c:v>
                </c:pt>
                <c:pt idx="55">
                  <c:v>84.684129665648129</c:v>
                </c:pt>
                <c:pt idx="56">
                  <c:v>72.823528626084325</c:v>
                </c:pt>
                <c:pt idx="57">
                  <c:v>67.306668572081875</c:v>
                </c:pt>
                <c:pt idx="58">
                  <c:v>61.680782470935767</c:v>
                </c:pt>
                <c:pt idx="59">
                  <c:v>51.189643106628196</c:v>
                </c:pt>
                <c:pt idx="60">
                  <c:v>37.607688827377892</c:v>
                </c:pt>
                <c:pt idx="61">
                  <c:v>33.817054220290274</c:v>
                </c:pt>
                <c:pt idx="62">
                  <c:v>30.753309440362969</c:v>
                </c:pt>
                <c:pt idx="63">
                  <c:v>26.873804896884618</c:v>
                </c:pt>
                <c:pt idx="64">
                  <c:v>48.6</c:v>
                </c:pt>
                <c:pt idx="65">
                  <c:v>26</c:v>
                </c:pt>
                <c:pt idx="66">
                  <c:v>17</c:v>
                </c:pt>
                <c:pt idx="67">
                  <c:v>49</c:v>
                </c:pt>
                <c:pt idx="68">
                  <c:v>36</c:v>
                </c:pt>
                <c:pt idx="69">
                  <c:v>36</c:v>
                </c:pt>
                <c:pt idx="70">
                  <c:v>20</c:v>
                </c:pt>
                <c:pt idx="71">
                  <c:v>13</c:v>
                </c:pt>
                <c:pt idx="72">
                  <c:v>11</c:v>
                </c:pt>
                <c:pt idx="73">
                  <c:v>5.5</c:v>
                </c:pt>
                <c:pt idx="74">
                  <c:v>9.4</c:v>
                </c:pt>
                <c:pt idx="75">
                  <c:v>4.7</c:v>
                </c:pt>
                <c:pt idx="76">
                  <c:v>32</c:v>
                </c:pt>
                <c:pt idx="77">
                  <c:v>190</c:v>
                </c:pt>
                <c:pt idx="78">
                  <c:v>58</c:v>
                </c:pt>
                <c:pt idx="79">
                  <c:v>42</c:v>
                </c:pt>
                <c:pt idx="80">
                  <c:v>38</c:v>
                </c:pt>
                <c:pt idx="81">
                  <c:v>24</c:v>
                </c:pt>
                <c:pt idx="82">
                  <c:v>25</c:v>
                </c:pt>
                <c:pt idx="83">
                  <c:v>21</c:v>
                </c:pt>
                <c:pt idx="84">
                  <c:v>12</c:v>
                </c:pt>
                <c:pt idx="85">
                  <c:v>4.7</c:v>
                </c:pt>
                <c:pt idx="86">
                  <c:v>4.7</c:v>
                </c:pt>
                <c:pt idx="87">
                  <c:v>12</c:v>
                </c:pt>
              </c:numCache>
            </c:numRef>
          </c:val>
          <c:smooth val="0"/>
        </c:ser>
        <c:ser>
          <c:idx val="6"/>
          <c:order val="6"/>
          <c:tx>
            <c:strRef>
              <c:f>まとめ!$BK$28:$BK$29</c:f>
              <c:strCache>
                <c:ptCount val="1"/>
                <c:pt idx="0">
                  <c:v>階上+小泉+南三陸 焼却量</c:v>
                </c:pt>
              </c:strCache>
            </c:strRef>
          </c:tx>
          <c:spPr>
            <a:ln w="0">
              <a:solidFill>
                <a:sysClr val="windowText" lastClr="000000"/>
              </a:solidFill>
              <a:prstDash val="sysDash"/>
            </a:ln>
          </c:spPr>
          <c:marker>
            <c:symbol val="circle"/>
            <c:size val="6"/>
            <c:spPr>
              <a:solidFill>
                <a:srgbClr val="FFFF99"/>
              </a:solidFill>
              <a:ln>
                <a:solidFill>
                  <a:sysClr val="windowText" lastClr="000000"/>
                </a:solidFill>
              </a:ln>
            </c:spPr>
          </c:marker>
          <c:cat>
            <c:numRef>
              <c:f>まとめ!$R$32:$R$119</c:f>
              <c:numCache>
                <c:formatCode>[$-411]ge\.m</c:formatCode>
                <c:ptCount val="88"/>
                <c:pt idx="0">
                  <c:v>40614</c:v>
                </c:pt>
                <c:pt idx="1">
                  <c:v>40923</c:v>
                </c:pt>
                <c:pt idx="2">
                  <c:v>40954</c:v>
                </c:pt>
                <c:pt idx="3">
                  <c:v>40983</c:v>
                </c:pt>
                <c:pt idx="4">
                  <c:v>41014</c:v>
                </c:pt>
                <c:pt idx="5">
                  <c:v>41044</c:v>
                </c:pt>
                <c:pt idx="6">
                  <c:v>41075</c:v>
                </c:pt>
                <c:pt idx="7">
                  <c:v>41105</c:v>
                </c:pt>
                <c:pt idx="8">
                  <c:v>41136</c:v>
                </c:pt>
                <c:pt idx="9">
                  <c:v>41167</c:v>
                </c:pt>
                <c:pt idx="10">
                  <c:v>41197</c:v>
                </c:pt>
                <c:pt idx="11">
                  <c:v>41228</c:v>
                </c:pt>
                <c:pt idx="12">
                  <c:v>41258</c:v>
                </c:pt>
                <c:pt idx="13">
                  <c:v>41289</c:v>
                </c:pt>
                <c:pt idx="14">
                  <c:v>41320</c:v>
                </c:pt>
                <c:pt idx="15">
                  <c:v>41348</c:v>
                </c:pt>
                <c:pt idx="16">
                  <c:v>41379</c:v>
                </c:pt>
                <c:pt idx="17">
                  <c:v>41409</c:v>
                </c:pt>
                <c:pt idx="18">
                  <c:v>41440</c:v>
                </c:pt>
                <c:pt idx="19">
                  <c:v>41470</c:v>
                </c:pt>
                <c:pt idx="20">
                  <c:v>41501</c:v>
                </c:pt>
                <c:pt idx="21">
                  <c:v>41532</c:v>
                </c:pt>
                <c:pt idx="22">
                  <c:v>41562</c:v>
                </c:pt>
                <c:pt idx="23">
                  <c:v>41593</c:v>
                </c:pt>
                <c:pt idx="24">
                  <c:v>41623</c:v>
                </c:pt>
                <c:pt idx="25">
                  <c:v>41654</c:v>
                </c:pt>
                <c:pt idx="26">
                  <c:v>41685</c:v>
                </c:pt>
                <c:pt idx="27">
                  <c:v>41713</c:v>
                </c:pt>
                <c:pt idx="28">
                  <c:v>41744</c:v>
                </c:pt>
                <c:pt idx="29">
                  <c:v>41774</c:v>
                </c:pt>
                <c:pt idx="30">
                  <c:v>41805</c:v>
                </c:pt>
                <c:pt idx="31">
                  <c:v>41835</c:v>
                </c:pt>
                <c:pt idx="32">
                  <c:v>41866</c:v>
                </c:pt>
                <c:pt idx="33">
                  <c:v>41897</c:v>
                </c:pt>
                <c:pt idx="34">
                  <c:v>41927</c:v>
                </c:pt>
                <c:pt idx="35">
                  <c:v>41958</c:v>
                </c:pt>
                <c:pt idx="36">
                  <c:v>41988</c:v>
                </c:pt>
                <c:pt idx="37">
                  <c:v>42019</c:v>
                </c:pt>
                <c:pt idx="38">
                  <c:v>42050</c:v>
                </c:pt>
                <c:pt idx="39">
                  <c:v>42078</c:v>
                </c:pt>
                <c:pt idx="40">
                  <c:v>42109</c:v>
                </c:pt>
                <c:pt idx="41">
                  <c:v>42139</c:v>
                </c:pt>
                <c:pt idx="42">
                  <c:v>42170</c:v>
                </c:pt>
                <c:pt idx="43">
                  <c:v>42200</c:v>
                </c:pt>
                <c:pt idx="44">
                  <c:v>42231</c:v>
                </c:pt>
                <c:pt idx="45">
                  <c:v>42262</c:v>
                </c:pt>
                <c:pt idx="46">
                  <c:v>42292</c:v>
                </c:pt>
                <c:pt idx="47">
                  <c:v>42323</c:v>
                </c:pt>
                <c:pt idx="48">
                  <c:v>42353</c:v>
                </c:pt>
                <c:pt idx="49">
                  <c:v>42384</c:v>
                </c:pt>
                <c:pt idx="50">
                  <c:v>42415</c:v>
                </c:pt>
                <c:pt idx="51">
                  <c:v>42444</c:v>
                </c:pt>
                <c:pt idx="52">
                  <c:v>42475</c:v>
                </c:pt>
                <c:pt idx="53">
                  <c:v>42505</c:v>
                </c:pt>
                <c:pt idx="54">
                  <c:v>42536</c:v>
                </c:pt>
                <c:pt idx="55">
                  <c:v>42566</c:v>
                </c:pt>
                <c:pt idx="56">
                  <c:v>42597</c:v>
                </c:pt>
                <c:pt idx="57">
                  <c:v>42628</c:v>
                </c:pt>
                <c:pt idx="58">
                  <c:v>42658</c:v>
                </c:pt>
                <c:pt idx="59">
                  <c:v>42689</c:v>
                </c:pt>
                <c:pt idx="60">
                  <c:v>42719</c:v>
                </c:pt>
                <c:pt idx="61">
                  <c:v>42750</c:v>
                </c:pt>
                <c:pt idx="62">
                  <c:v>42781</c:v>
                </c:pt>
                <c:pt idx="63">
                  <c:v>42809</c:v>
                </c:pt>
                <c:pt idx="64">
                  <c:v>42840</c:v>
                </c:pt>
                <c:pt idx="65">
                  <c:v>42870</c:v>
                </c:pt>
                <c:pt idx="66">
                  <c:v>42901</c:v>
                </c:pt>
                <c:pt idx="67">
                  <c:v>42931</c:v>
                </c:pt>
                <c:pt idx="68">
                  <c:v>42962</c:v>
                </c:pt>
                <c:pt idx="69">
                  <c:v>42993</c:v>
                </c:pt>
                <c:pt idx="70">
                  <c:v>43023</c:v>
                </c:pt>
                <c:pt idx="71">
                  <c:v>43054</c:v>
                </c:pt>
                <c:pt idx="72">
                  <c:v>43084</c:v>
                </c:pt>
                <c:pt idx="73">
                  <c:v>43115</c:v>
                </c:pt>
                <c:pt idx="74">
                  <c:v>43146</c:v>
                </c:pt>
                <c:pt idx="75">
                  <c:v>43174</c:v>
                </c:pt>
                <c:pt idx="76">
                  <c:v>43205</c:v>
                </c:pt>
                <c:pt idx="77">
                  <c:v>43235</c:v>
                </c:pt>
                <c:pt idx="78">
                  <c:v>43266</c:v>
                </c:pt>
                <c:pt idx="79">
                  <c:v>43296</c:v>
                </c:pt>
                <c:pt idx="80">
                  <c:v>43327</c:v>
                </c:pt>
                <c:pt idx="81">
                  <c:v>43358</c:v>
                </c:pt>
                <c:pt idx="82">
                  <c:v>43388</c:v>
                </c:pt>
                <c:pt idx="83">
                  <c:v>43419</c:v>
                </c:pt>
                <c:pt idx="84">
                  <c:v>43449</c:v>
                </c:pt>
                <c:pt idx="85">
                  <c:v>43480</c:v>
                </c:pt>
                <c:pt idx="86">
                  <c:v>43511</c:v>
                </c:pt>
                <c:pt idx="87">
                  <c:v>43539</c:v>
                </c:pt>
              </c:numCache>
            </c:numRef>
          </c:cat>
          <c:val>
            <c:numRef>
              <c:f>まとめ!$BK$33:$BK$119</c:f>
              <c:numCache>
                <c:formatCode>General</c:formatCode>
                <c:ptCount val="87"/>
                <c:pt idx="9" formatCode="0">
                  <c:v>593.70000000000005</c:v>
                </c:pt>
                <c:pt idx="10" formatCode="0">
                  <c:v>519.85</c:v>
                </c:pt>
                <c:pt idx="11" formatCode="0">
                  <c:v>639.68888888888887</c:v>
                </c:pt>
                <c:pt idx="12" formatCode="0">
                  <c:v>883.91666666666674</c:v>
                </c:pt>
                <c:pt idx="13" formatCode="0">
                  <c:v>1104.161111111111</c:v>
                </c:pt>
                <c:pt idx="14" formatCode="0">
                  <c:v>1411.3240740740741</c:v>
                </c:pt>
                <c:pt idx="15" formatCode="0">
                  <c:v>1540.2833333333333</c:v>
                </c:pt>
                <c:pt idx="16" formatCode="0">
                  <c:v>2678.3759259259259</c:v>
                </c:pt>
                <c:pt idx="17" formatCode="0">
                  <c:v>2528.5926775956286</c:v>
                </c:pt>
                <c:pt idx="18" formatCode="0">
                  <c:v>2388.0741590771095</c:v>
                </c:pt>
                <c:pt idx="19" formatCode="0">
                  <c:v>2355.5482331511839</c:v>
                </c:pt>
                <c:pt idx="20" formatCode="0">
                  <c:v>1456.2556405585915</c:v>
                </c:pt>
                <c:pt idx="21" formatCode="0">
                  <c:v>1214.3331147540982</c:v>
                </c:pt>
              </c:numCache>
            </c:numRef>
          </c:val>
          <c:smooth val="0"/>
        </c:ser>
        <c:dLbls>
          <c:showLegendKey val="0"/>
          <c:showVal val="0"/>
          <c:showCatName val="0"/>
          <c:showSerName val="0"/>
          <c:showPercent val="0"/>
          <c:showBubbleSize val="0"/>
        </c:dLbls>
        <c:marker val="1"/>
        <c:smooth val="0"/>
        <c:axId val="269890304"/>
        <c:axId val="269892992"/>
      </c:lineChart>
      <c:dateAx>
        <c:axId val="269890304"/>
        <c:scaling>
          <c:orientation val="minMax"/>
        </c:scaling>
        <c:delete val="0"/>
        <c:axPos val="b"/>
        <c:majorGridlines>
          <c:spPr>
            <a:ln w="0">
              <a:solidFill>
                <a:sysClr val="window" lastClr="FFFFFF">
                  <a:lumMod val="75000"/>
                </a:sysClr>
              </a:solidFill>
              <a:prstDash val="sysDot"/>
            </a:ln>
          </c:spPr>
        </c:majorGridlines>
        <c:numFmt formatCode="ge\.m" sourceLinked="0"/>
        <c:majorTickMark val="in"/>
        <c:minorTickMark val="none"/>
        <c:tickLblPos val="nextTo"/>
        <c:spPr>
          <a:ln w="3175">
            <a:solidFill>
              <a:srgbClr val="000000"/>
            </a:solidFill>
            <a:prstDash val="solid"/>
          </a:ln>
        </c:spPr>
        <c:txPr>
          <a:bodyPr rot="-5400000" vert="horz"/>
          <a:lstStyle/>
          <a:p>
            <a:pPr>
              <a:defRPr sz="900"/>
            </a:pPr>
            <a:endParaRPr lang="ja-JP"/>
          </a:p>
        </c:txPr>
        <c:crossAx val="269892992"/>
        <c:crosses val="autoZero"/>
        <c:auto val="0"/>
        <c:lblOffset val="0"/>
        <c:baseTimeUnit val="months"/>
        <c:majorUnit val="6"/>
        <c:minorUnit val="6"/>
      </c:dateAx>
      <c:valAx>
        <c:axId val="269892992"/>
        <c:scaling>
          <c:orientation val="minMax"/>
          <c:max val="5000"/>
        </c:scaling>
        <c:delete val="0"/>
        <c:axPos val="l"/>
        <c:majorGridlines>
          <c:spPr>
            <a:ln w="0">
              <a:solidFill>
                <a:sysClr val="window" lastClr="FFFFFF">
                  <a:lumMod val="75000"/>
                </a:sysClr>
              </a:solidFill>
              <a:prstDash val="sysDot"/>
            </a:ln>
          </c:spPr>
        </c:majorGridlines>
        <c:numFmt formatCode="0" sourceLinked="0"/>
        <c:majorTickMark val="in"/>
        <c:minorTickMark val="none"/>
        <c:tickLblPos val="nextTo"/>
        <c:spPr>
          <a:ln w="3175">
            <a:solidFill>
              <a:srgbClr val="000000"/>
            </a:solidFill>
            <a:prstDash val="solid"/>
          </a:ln>
        </c:spPr>
        <c:txPr>
          <a:bodyPr rot="0" vert="horz"/>
          <a:lstStyle/>
          <a:p>
            <a:pPr>
              <a:defRPr sz="900"/>
            </a:pPr>
            <a:endParaRPr lang="ja-JP"/>
          </a:p>
        </c:txPr>
        <c:crossAx val="269890304"/>
        <c:crosses val="autoZero"/>
        <c:crossBetween val="between"/>
      </c:valAx>
      <c:valAx>
        <c:axId val="269898880"/>
        <c:scaling>
          <c:orientation val="maxMin"/>
          <c:max val="5000"/>
        </c:scaling>
        <c:delete val="0"/>
        <c:axPos val="r"/>
        <c:numFmt formatCode="General" sourceLinked="1"/>
        <c:majorTickMark val="out"/>
        <c:minorTickMark val="none"/>
        <c:tickLblPos val="nextTo"/>
        <c:txPr>
          <a:bodyPr/>
          <a:lstStyle/>
          <a:p>
            <a:pPr>
              <a:defRPr sz="900"/>
            </a:pPr>
            <a:endParaRPr lang="ja-JP"/>
          </a:p>
        </c:txPr>
        <c:crossAx val="269900416"/>
        <c:crosses val="max"/>
        <c:crossBetween val="between"/>
      </c:valAx>
      <c:dateAx>
        <c:axId val="269900416"/>
        <c:scaling>
          <c:orientation val="minMax"/>
        </c:scaling>
        <c:delete val="1"/>
        <c:axPos val="t"/>
        <c:numFmt formatCode="[$-411]ge\.m" sourceLinked="1"/>
        <c:majorTickMark val="out"/>
        <c:minorTickMark val="none"/>
        <c:tickLblPos val="nextTo"/>
        <c:crossAx val="269898880"/>
        <c:crosses val="autoZero"/>
        <c:auto val="1"/>
        <c:lblOffset val="100"/>
        <c:baseTimeUnit val="months"/>
      </c:dateAx>
      <c:spPr>
        <a:noFill/>
        <a:ln w="12700">
          <a:solidFill>
            <a:srgbClr val="808080"/>
          </a:solidFill>
          <a:prstDash val="solid"/>
        </a:ln>
      </c:spPr>
    </c:plotArea>
    <c:legend>
      <c:legendPos val="r"/>
      <c:layout>
        <c:manualLayout>
          <c:xMode val="edge"/>
          <c:yMode val="edge"/>
          <c:x val="0"/>
          <c:y val="1.58071997087697E-2"/>
          <c:w val="0.99994344255355172"/>
          <c:h val="0.12935634118284114"/>
        </c:manualLayout>
      </c:layout>
      <c:overlay val="0"/>
      <c:spPr>
        <a:noFill/>
        <a:ln w="25400">
          <a:noFill/>
        </a:ln>
      </c:spPr>
      <c:txPr>
        <a:bodyPr/>
        <a:lstStyle/>
        <a:p>
          <a:pPr>
            <a:defRPr sz="1000"/>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171755573742668"/>
          <c:y val="3.6627296587926503E-2"/>
          <c:w val="0.85458439390452412"/>
          <c:h val="0.84993864403313213"/>
        </c:manualLayout>
      </c:layout>
      <c:lineChart>
        <c:grouping val="standard"/>
        <c:varyColors val="0"/>
        <c:ser>
          <c:idx val="1"/>
          <c:order val="0"/>
          <c:tx>
            <c:strRef>
              <c:f>濃度回帰式!$I$56</c:f>
              <c:strCache>
                <c:ptCount val="1"/>
                <c:pt idx="0">
                  <c:v>Cs-137</c:v>
                </c:pt>
              </c:strCache>
            </c:strRef>
          </c:tx>
          <c:spPr>
            <a:ln w="9525">
              <a:solidFill>
                <a:srgbClr val="009900"/>
              </a:solidFill>
            </a:ln>
          </c:spPr>
          <c:marker>
            <c:symbol val="triangle"/>
            <c:size val="6"/>
            <c:spPr>
              <a:solidFill>
                <a:srgbClr val="92D050"/>
              </a:solidFill>
              <a:ln>
                <a:solidFill>
                  <a:srgbClr val="009900"/>
                </a:solidFill>
              </a:ln>
            </c:spPr>
          </c:marker>
          <c:cat>
            <c:numRef>
              <c:f>濃度回帰式!$G$63:$G$147</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濃度回帰式!$I$63:$I$147</c:f>
              <c:numCache>
                <c:formatCode>General</c:formatCode>
                <c:ptCount val="85"/>
                <c:pt idx="1">
                  <c:v>510</c:v>
                </c:pt>
                <c:pt idx="2">
                  <c:v>850</c:v>
                </c:pt>
                <c:pt idx="3">
                  <c:v>890</c:v>
                </c:pt>
                <c:pt idx="4">
                  <c:v>760</c:v>
                </c:pt>
                <c:pt idx="5">
                  <c:v>660</c:v>
                </c:pt>
                <c:pt idx="6">
                  <c:v>510</c:v>
                </c:pt>
                <c:pt idx="7">
                  <c:v>450</c:v>
                </c:pt>
                <c:pt idx="8">
                  <c:v>450</c:v>
                </c:pt>
                <c:pt idx="9">
                  <c:v>330</c:v>
                </c:pt>
                <c:pt idx="10">
                  <c:v>300</c:v>
                </c:pt>
                <c:pt idx="11">
                  <c:v>180</c:v>
                </c:pt>
                <c:pt idx="12">
                  <c:v>320</c:v>
                </c:pt>
                <c:pt idx="13">
                  <c:v>460</c:v>
                </c:pt>
                <c:pt idx="14">
                  <c:v>540</c:v>
                </c:pt>
                <c:pt idx="15">
                  <c:v>560</c:v>
                </c:pt>
                <c:pt idx="16">
                  <c:v>430</c:v>
                </c:pt>
                <c:pt idx="17">
                  <c:v>390</c:v>
                </c:pt>
                <c:pt idx="18">
                  <c:v>360</c:v>
                </c:pt>
                <c:pt idx="19">
                  <c:v>290</c:v>
                </c:pt>
                <c:pt idx="20">
                  <c:v>300</c:v>
                </c:pt>
                <c:pt idx="21">
                  <c:v>280</c:v>
                </c:pt>
                <c:pt idx="22">
                  <c:v>190</c:v>
                </c:pt>
                <c:pt idx="23">
                  <c:v>120</c:v>
                </c:pt>
                <c:pt idx="24">
                  <c:v>130</c:v>
                </c:pt>
                <c:pt idx="25">
                  <c:v>210</c:v>
                </c:pt>
                <c:pt idx="26">
                  <c:v>320</c:v>
                </c:pt>
                <c:pt idx="27">
                  <c:v>330</c:v>
                </c:pt>
                <c:pt idx="28">
                  <c:v>290</c:v>
                </c:pt>
                <c:pt idx="29">
                  <c:v>220</c:v>
                </c:pt>
                <c:pt idx="30">
                  <c:v>230</c:v>
                </c:pt>
                <c:pt idx="31">
                  <c:v>200</c:v>
                </c:pt>
                <c:pt idx="32">
                  <c:v>190</c:v>
                </c:pt>
                <c:pt idx="33">
                  <c:v>180</c:v>
                </c:pt>
                <c:pt idx="34">
                  <c:v>110</c:v>
                </c:pt>
                <c:pt idx="35">
                  <c:v>71</c:v>
                </c:pt>
                <c:pt idx="36">
                  <c:v>100</c:v>
                </c:pt>
                <c:pt idx="37">
                  <c:v>170</c:v>
                </c:pt>
                <c:pt idx="38">
                  <c:v>230</c:v>
                </c:pt>
                <c:pt idx="39">
                  <c:v>240</c:v>
                </c:pt>
                <c:pt idx="40">
                  <c:v>230</c:v>
                </c:pt>
                <c:pt idx="41">
                  <c:v>170</c:v>
                </c:pt>
                <c:pt idx="42">
                  <c:v>160</c:v>
                </c:pt>
                <c:pt idx="43">
                  <c:v>160</c:v>
                </c:pt>
                <c:pt idx="44">
                  <c:v>170</c:v>
                </c:pt>
                <c:pt idx="45">
                  <c:v>140</c:v>
                </c:pt>
                <c:pt idx="46">
                  <c:v>110</c:v>
                </c:pt>
                <c:pt idx="47">
                  <c:v>120</c:v>
                </c:pt>
                <c:pt idx="48">
                  <c:v>75</c:v>
                </c:pt>
                <c:pt idx="49">
                  <c:v>120</c:v>
                </c:pt>
                <c:pt idx="50">
                  <c:v>180</c:v>
                </c:pt>
                <c:pt idx="51">
                  <c:v>210</c:v>
                </c:pt>
                <c:pt idx="52">
                  <c:v>180</c:v>
                </c:pt>
                <c:pt idx="53">
                  <c:v>150</c:v>
                </c:pt>
                <c:pt idx="54">
                  <c:v>110</c:v>
                </c:pt>
                <c:pt idx="55">
                  <c:v>120</c:v>
                </c:pt>
                <c:pt idx="56">
                  <c:v>110</c:v>
                </c:pt>
                <c:pt idx="57">
                  <c:v>120</c:v>
                </c:pt>
                <c:pt idx="58">
                  <c:v>93</c:v>
                </c:pt>
                <c:pt idx="59">
                  <c:v>70</c:v>
                </c:pt>
                <c:pt idx="60">
                  <c:v>72</c:v>
                </c:pt>
                <c:pt idx="61">
                  <c:v>120</c:v>
                </c:pt>
                <c:pt idx="62">
                  <c:v>170</c:v>
                </c:pt>
                <c:pt idx="63">
                  <c:v>150</c:v>
                </c:pt>
                <c:pt idx="64">
                  <c:v>140</c:v>
                </c:pt>
                <c:pt idx="65">
                  <c:v>120</c:v>
                </c:pt>
                <c:pt idx="66">
                  <c:v>130</c:v>
                </c:pt>
                <c:pt idx="67">
                  <c:v>120</c:v>
                </c:pt>
                <c:pt idx="68">
                  <c:v>120</c:v>
                </c:pt>
                <c:pt idx="69">
                  <c:v>120</c:v>
                </c:pt>
                <c:pt idx="70">
                  <c:v>81</c:v>
                </c:pt>
                <c:pt idx="71">
                  <c:v>48</c:v>
                </c:pt>
                <c:pt idx="72">
                  <c:v>51</c:v>
                </c:pt>
                <c:pt idx="73">
                  <c:v>100</c:v>
                </c:pt>
                <c:pt idx="74">
                  <c:v>130</c:v>
                </c:pt>
                <c:pt idx="75">
                  <c:v>170</c:v>
                </c:pt>
                <c:pt idx="76">
                  <c:v>130</c:v>
                </c:pt>
                <c:pt idx="77">
                  <c:v>120</c:v>
                </c:pt>
                <c:pt idx="78">
                  <c:v>110</c:v>
                </c:pt>
                <c:pt idx="79">
                  <c:v>100</c:v>
                </c:pt>
                <c:pt idx="80">
                  <c:v>80</c:v>
                </c:pt>
                <c:pt idx="81">
                  <c:v>180</c:v>
                </c:pt>
                <c:pt idx="82">
                  <c:v>200</c:v>
                </c:pt>
                <c:pt idx="83">
                  <c:v>200</c:v>
                </c:pt>
                <c:pt idx="84">
                  <c:v>190</c:v>
                </c:pt>
              </c:numCache>
            </c:numRef>
          </c:val>
          <c:smooth val="0"/>
        </c:ser>
        <c:ser>
          <c:idx val="0"/>
          <c:order val="1"/>
          <c:tx>
            <c:strRef>
              <c:f>濃度回帰式!$T$56</c:f>
              <c:strCache>
                <c:ptCount val="1"/>
                <c:pt idx="0">
                  <c:v>回帰式_Cs-137</c:v>
                </c:pt>
              </c:strCache>
            </c:strRef>
          </c:tx>
          <c:spPr>
            <a:ln w="25400">
              <a:solidFill>
                <a:srgbClr val="C00000"/>
              </a:solidFill>
              <a:prstDash val="sysDash"/>
            </a:ln>
          </c:spPr>
          <c:marker>
            <c:symbol val="none"/>
          </c:marker>
          <c:cat>
            <c:numRef>
              <c:f>濃度回帰式!$G$63:$G$147</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濃度回帰式!$T$63:$T$147</c:f>
              <c:numCache>
                <c:formatCode>0</c:formatCode>
                <c:ptCount val="85"/>
                <c:pt idx="1">
                  <c:v>619.11163311909479</c:v>
                </c:pt>
                <c:pt idx="2">
                  <c:v>893.14449191352446</c:v>
                </c:pt>
                <c:pt idx="3">
                  <c:v>921.94337224211188</c:v>
                </c:pt>
                <c:pt idx="4">
                  <c:v>840.16902975276457</c:v>
                </c:pt>
                <c:pt idx="5">
                  <c:v>698.30436134875242</c:v>
                </c:pt>
                <c:pt idx="6">
                  <c:v>623.69646112611258</c:v>
                </c:pt>
                <c:pt idx="7">
                  <c:v>552.95647959774908</c:v>
                </c:pt>
                <c:pt idx="8">
                  <c:v>443.34245582281784</c:v>
                </c:pt>
                <c:pt idx="9">
                  <c:v>315.08998786242449</c:v>
                </c:pt>
                <c:pt idx="10">
                  <c:v>273.69205588226487</c:v>
                </c:pt>
                <c:pt idx="11">
                  <c:v>240.48040595634467</c:v>
                </c:pt>
                <c:pt idx="12">
                  <c:v>215.9464076889418</c:v>
                </c:pt>
                <c:pt idx="13">
                  <c:v>355.89706653956932</c:v>
                </c:pt>
                <c:pt idx="14">
                  <c:v>516.84227119223203</c:v>
                </c:pt>
                <c:pt idx="15">
                  <c:v>537.1742141586318</c:v>
                </c:pt>
                <c:pt idx="16">
                  <c:v>492.94600607645924</c:v>
                </c:pt>
                <c:pt idx="17">
                  <c:v>412.69059731125117</c:v>
                </c:pt>
                <c:pt idx="18">
                  <c:v>371.32376796552376</c:v>
                </c:pt>
                <c:pt idx="19">
                  <c:v>331.7052894234115</c:v>
                </c:pt>
                <c:pt idx="20">
                  <c:v>268.06228702177407</c:v>
                </c:pt>
                <c:pt idx="21">
                  <c:v>191.99518123089607</c:v>
                </c:pt>
                <c:pt idx="22">
                  <c:v>168.20015468298203</c:v>
                </c:pt>
                <c:pt idx="23">
                  <c:v>149.05561249246404</c:v>
                </c:pt>
                <c:pt idx="24">
                  <c:v>134.93903507617941</c:v>
                </c:pt>
                <c:pt idx="25">
                  <c:v>224.38568056284529</c:v>
                </c:pt>
                <c:pt idx="26">
                  <c:v>328.67139039305005</c:v>
                </c:pt>
                <c:pt idx="27">
                  <c:v>344.77370251768696</c:v>
                </c:pt>
                <c:pt idx="28">
                  <c:v>319.22487223296105</c:v>
                </c:pt>
                <c:pt idx="29">
                  <c:v>269.8498753976699</c:v>
                </c:pt>
                <c:pt idx="30">
                  <c:v>245.12734787655489</c:v>
                </c:pt>
                <c:pt idx="31">
                  <c:v>221.03578628056266</c:v>
                </c:pt>
                <c:pt idx="32">
                  <c:v>180.4053801930381</c:v>
                </c:pt>
                <c:pt idx="33">
                  <c:v>130.45785984156714</c:v>
                </c:pt>
                <c:pt idx="34">
                  <c:v>115.44115043282261</c:v>
                </c:pt>
                <c:pt idx="35">
                  <c:v>103.32991123415472</c:v>
                </c:pt>
                <c:pt idx="36">
                  <c:v>94.389697224070218</c:v>
                </c:pt>
                <c:pt idx="37">
                  <c:v>158.53918906284284</c:v>
                </c:pt>
                <c:pt idx="38">
                  <c:v>234.52019095962723</c:v>
                </c:pt>
                <c:pt idx="39">
                  <c:v>248.49911277488587</c:v>
                </c:pt>
                <c:pt idx="40">
                  <c:v>232.3122307271469</c:v>
                </c:pt>
                <c:pt idx="41">
                  <c:v>198.36209778918848</c:v>
                </c:pt>
                <c:pt idx="42">
                  <c:v>182.00381952052985</c:v>
                </c:pt>
                <c:pt idx="43">
                  <c:v>165.67070815564415</c:v>
                </c:pt>
                <c:pt idx="44">
                  <c:v>136.53162753033865</c:v>
                </c:pt>
                <c:pt idx="45">
                  <c:v>99.669438020800342</c:v>
                </c:pt>
                <c:pt idx="46">
                  <c:v>89.030199189001422</c:v>
                </c:pt>
                <c:pt idx="47">
                  <c:v>80.424203285927177</c:v>
                </c:pt>
                <c:pt idx="48">
                  <c:v>74.071024287227857</c:v>
                </c:pt>
                <c:pt idx="49">
                  <c:v>125.55892816921619</c:v>
                </c:pt>
                <c:pt idx="50">
                  <c:v>187.33818923251644</c:v>
                </c:pt>
                <c:pt idx="51">
                  <c:v>200.23026219523791</c:v>
                </c:pt>
                <c:pt idx="52">
                  <c:v>188.77485075829043</c:v>
                </c:pt>
                <c:pt idx="53">
                  <c:v>162.52860193505822</c:v>
                </c:pt>
                <c:pt idx="54">
                  <c:v>150.38066495457664</c:v>
                </c:pt>
                <c:pt idx="55">
                  <c:v>137.93921947435391</c:v>
                </c:pt>
                <c:pt idx="56">
                  <c:v>114.57784828591433</c:v>
                </c:pt>
                <c:pt idx="57">
                  <c:v>84.238705438379597</c:v>
                </c:pt>
                <c:pt idx="58">
                  <c:v>75.801483917461184</c:v>
                </c:pt>
                <c:pt idx="59">
                  <c:v>68.976714710764995</c:v>
                </c:pt>
                <c:pt idx="60">
                  <c:v>63.941519707196882</c:v>
                </c:pt>
                <c:pt idx="61">
                  <c:v>109.10597749205307</c:v>
                </c:pt>
                <c:pt idx="62">
                  <c:v>163.80954829020123</c:v>
                </c:pt>
                <c:pt idx="63">
                  <c:v>176.22784908908042</c:v>
                </c:pt>
                <c:pt idx="64">
                  <c:v>167.0949736629147</c:v>
                </c:pt>
                <c:pt idx="65">
                  <c:v>144.69053005288382</c:v>
                </c:pt>
                <c:pt idx="66">
                  <c:v>134.5810598573712</c:v>
                </c:pt>
                <c:pt idx="67">
                  <c:v>124.1027901428062</c:v>
                </c:pt>
                <c:pt idx="68">
                  <c:v>103.6093310809801</c:v>
                </c:pt>
                <c:pt idx="69">
                  <c:v>76.543721190423028</c:v>
                </c:pt>
                <c:pt idx="70">
                  <c:v>69.210734499811736</c:v>
                </c:pt>
                <c:pt idx="71">
                  <c:v>63.270678548787757</c:v>
                </c:pt>
                <c:pt idx="72">
                  <c:v>58.882327891800372</c:v>
                </c:pt>
                <c:pt idx="73">
                  <c:v>100.88966652746389</c:v>
                </c:pt>
                <c:pt idx="74">
                  <c:v>152.07690548816228</c:v>
                </c:pt>
                <c:pt idx="75">
                  <c:v>164.16326699435419</c:v>
                </c:pt>
                <c:pt idx="76">
                  <c:v>156.23888298457661</c:v>
                </c:pt>
                <c:pt idx="77">
                  <c:v>135.75285271576826</c:v>
                </c:pt>
                <c:pt idx="78">
                  <c:v>126.70455463803174</c:v>
                </c:pt>
                <c:pt idx="79">
                  <c:v>117.19802911331773</c:v>
                </c:pt>
                <c:pt idx="80">
                  <c:v>98.154094442414916</c:v>
                </c:pt>
                <c:pt idx="81">
                  <c:v>72.663092020679144</c:v>
                </c:pt>
                <c:pt idx="82">
                  <c:v>65.854477606270748</c:v>
                </c:pt>
                <c:pt idx="83">
                  <c:v>60.345219542212263</c:v>
                </c:pt>
                <c:pt idx="84">
                  <c:v>56.290567829731557</c:v>
                </c:pt>
              </c:numCache>
            </c:numRef>
          </c:val>
          <c:smooth val="0"/>
        </c:ser>
        <c:ser>
          <c:idx val="3"/>
          <c:order val="2"/>
          <c:tx>
            <c:strRef>
              <c:f>濃度回帰式!$R$56</c:f>
              <c:strCache>
                <c:ptCount val="1"/>
                <c:pt idx="0">
                  <c:v>Cs-137:事故日1200から減衰</c:v>
                </c:pt>
              </c:strCache>
            </c:strRef>
          </c:tx>
          <c:marker>
            <c:symbol val="none"/>
          </c:marker>
          <c:cat>
            <c:numRef>
              <c:f>濃度回帰式!$G$63:$G$147</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濃度回帰式!$R$63:$R$147</c:f>
              <c:numCache>
                <c:formatCode>0</c:formatCode>
                <c:ptCount val="85"/>
                <c:pt idx="0">
                  <c:v>1195.4540564843187</c:v>
                </c:pt>
                <c:pt idx="1">
                  <c:v>576.83092372613953</c:v>
                </c:pt>
                <c:pt idx="2">
                  <c:v>544.908013145724</c:v>
                </c:pt>
                <c:pt idx="3">
                  <c:v>513.77583790499762</c:v>
                </c:pt>
                <c:pt idx="4">
                  <c:v>485.34251462566851</c:v>
                </c:pt>
                <c:pt idx="5">
                  <c:v>457.61348907900185</c:v>
                </c:pt>
                <c:pt idx="6">
                  <c:v>431.46870318700604</c:v>
                </c:pt>
                <c:pt idx="7">
                  <c:v>407.59041188266207</c:v>
                </c:pt>
                <c:pt idx="8">
                  <c:v>384.30358947768934</c:v>
                </c:pt>
                <c:pt idx="9">
                  <c:v>363.03550446695323</c:v>
                </c:pt>
                <c:pt idx="10">
                  <c:v>342.29423314957177</c:v>
                </c:pt>
                <c:pt idx="11">
                  <c:v>322.73797082047895</c:v>
                </c:pt>
                <c:pt idx="12">
                  <c:v>306.0363966679954</c:v>
                </c:pt>
                <c:pt idx="13">
                  <c:v>288.55164969922481</c:v>
                </c:pt>
                <c:pt idx="14">
                  <c:v>272.58265751746552</c:v>
                </c:pt>
                <c:pt idx="15">
                  <c:v>257.00921969549813</c:v>
                </c:pt>
                <c:pt idx="16">
                  <c:v>242.78584504407786</c:v>
                </c:pt>
                <c:pt idx="17">
                  <c:v>228.91478554130859</c:v>
                </c:pt>
                <c:pt idx="18">
                  <c:v>215.83621989951558</c:v>
                </c:pt>
                <c:pt idx="19">
                  <c:v>203.89143666327854</c:v>
                </c:pt>
                <c:pt idx="20">
                  <c:v>192.24252752053997</c:v>
                </c:pt>
                <c:pt idx="21">
                  <c:v>181.60346369201193</c:v>
                </c:pt>
                <c:pt idx="22">
                  <c:v>171.22793108909769</c:v>
                </c:pt>
                <c:pt idx="23">
                  <c:v>161.44518275695441</c:v>
                </c:pt>
                <c:pt idx="24">
                  <c:v>153.09045249536908</c:v>
                </c:pt>
                <c:pt idx="25">
                  <c:v>144.34395092117873</c:v>
                </c:pt>
                <c:pt idx="26">
                  <c:v>136.35568460508864</c:v>
                </c:pt>
                <c:pt idx="27">
                  <c:v>128.56528885794515</c:v>
                </c:pt>
                <c:pt idx="28">
                  <c:v>121.45024344143765</c:v>
                </c:pt>
                <c:pt idx="29">
                  <c:v>114.51143877967435</c:v>
                </c:pt>
                <c:pt idx="30">
                  <c:v>107.96906815352763</c:v>
                </c:pt>
                <c:pt idx="31">
                  <c:v>101.99385641236198</c:v>
                </c:pt>
                <c:pt idx="32">
                  <c:v>96.166651572821493</c:v>
                </c:pt>
                <c:pt idx="33">
                  <c:v>90.844607811459895</c:v>
                </c:pt>
                <c:pt idx="34">
                  <c:v>85.654391881739102</c:v>
                </c:pt>
                <c:pt idx="35">
                  <c:v>80.760708041771352</c:v>
                </c:pt>
                <c:pt idx="36">
                  <c:v>76.581370387334019</c:v>
                </c:pt>
                <c:pt idx="37">
                  <c:v>72.206054580708368</c:v>
                </c:pt>
                <c:pt idx="38">
                  <c:v>68.210035419920615</c:v>
                </c:pt>
                <c:pt idx="39">
                  <c:v>64.312998260180336</c:v>
                </c:pt>
                <c:pt idx="40">
                  <c:v>60.753795713694004</c:v>
                </c:pt>
                <c:pt idx="41">
                  <c:v>57.282755154427697</c:v>
                </c:pt>
                <c:pt idx="42">
                  <c:v>54.010025209708829</c:v>
                </c:pt>
                <c:pt idx="43">
                  <c:v>51.021008611780928</c:v>
                </c:pt>
                <c:pt idx="44">
                  <c:v>48.106030408596013</c:v>
                </c:pt>
                <c:pt idx="45">
                  <c:v>45.44375201132781</c:v>
                </c:pt>
                <c:pt idx="46">
                  <c:v>42.847418653986558</c:v>
                </c:pt>
                <c:pt idx="47">
                  <c:v>40.39942135174843</c:v>
                </c:pt>
                <c:pt idx="48">
                  <c:v>38.236134659234203</c:v>
                </c:pt>
                <c:pt idx="49">
                  <c:v>36.051593386171731</c:v>
                </c:pt>
                <c:pt idx="50">
                  <c:v>34.056430254982452</c:v>
                </c:pt>
                <c:pt idx="51">
                  <c:v>32.110687617338115</c:v>
                </c:pt>
                <c:pt idx="52">
                  <c:v>30.333621639560175</c:v>
                </c:pt>
                <c:pt idx="53">
                  <c:v>28.600573855738844</c:v>
                </c:pt>
                <c:pt idx="54">
                  <c:v>26.966540118334276</c:v>
                </c:pt>
                <c:pt idx="55">
                  <c:v>25.474160959290661</c:v>
                </c:pt>
                <c:pt idx="56">
                  <c:v>24.018748258499592</c:v>
                </c:pt>
                <c:pt idx="57">
                  <c:v>22.689505457235327</c:v>
                </c:pt>
                <c:pt idx="58">
                  <c:v>21.393188201883877</c:v>
                </c:pt>
                <c:pt idx="59">
                  <c:v>20.170933311165683</c:v>
                </c:pt>
                <c:pt idx="60">
                  <c:v>19.127094752086979</c:v>
                </c:pt>
                <c:pt idx="61">
                  <c:v>18.034308352726946</c:v>
                </c:pt>
                <c:pt idx="62">
                  <c:v>17.036255735844243</c:v>
                </c:pt>
                <c:pt idx="63">
                  <c:v>16.062925033745909</c:v>
                </c:pt>
                <c:pt idx="64">
                  <c:v>15.173972485571428</c:v>
                </c:pt>
                <c:pt idx="65">
                  <c:v>14.307039426922424</c:v>
                </c:pt>
                <c:pt idx="66">
                  <c:v>13.489636768364312</c:v>
                </c:pt>
                <c:pt idx="67">
                  <c:v>12.743094843155014</c:v>
                </c:pt>
                <c:pt idx="68">
                  <c:v>12.015044874728128</c:v>
                </c:pt>
                <c:pt idx="69">
                  <c:v>11.350109644352496</c:v>
                </c:pt>
                <c:pt idx="70">
                  <c:v>10.701644960543659</c:v>
                </c:pt>
                <c:pt idx="71">
                  <c:v>10.09022894492602</c:v>
                </c:pt>
                <c:pt idx="72">
                  <c:v>9.5680632186224521</c:v>
                </c:pt>
                <c:pt idx="73">
                  <c:v>9.0214120157581537</c:v>
                </c:pt>
                <c:pt idx="74">
                  <c:v>8.5221500704591477</c:v>
                </c:pt>
                <c:pt idx="75">
                  <c:v>8.0352549193130525</c:v>
                </c:pt>
                <c:pt idx="76">
                  <c:v>7.5905687665265305</c:v>
                </c:pt>
                <c:pt idx="77">
                  <c:v>7.156897557229974</c:v>
                </c:pt>
                <c:pt idx="78">
                  <c:v>6.7480032419393199</c:v>
                </c:pt>
                <c:pt idx="79">
                  <c:v>6.3745560233032865</c:v>
                </c:pt>
                <c:pt idx="80">
                  <c:v>6.0103591489471091</c:v>
                </c:pt>
                <c:pt idx="81">
                  <c:v>5.6777345447934104</c:v>
                </c:pt>
                <c:pt idx="82">
                  <c:v>5.3533491025636142</c:v>
                </c:pt>
                <c:pt idx="83">
                  <c:v>5.0474967414950562</c:v>
                </c:pt>
                <c:pt idx="84">
                  <c:v>4.7862905967759062</c:v>
                </c:pt>
              </c:numCache>
            </c:numRef>
          </c:val>
          <c:smooth val="0"/>
        </c:ser>
        <c:dLbls>
          <c:showLegendKey val="0"/>
          <c:showVal val="0"/>
          <c:showCatName val="0"/>
          <c:showSerName val="0"/>
          <c:showPercent val="0"/>
          <c:showBubbleSize val="0"/>
        </c:dLbls>
        <c:marker val="1"/>
        <c:smooth val="0"/>
        <c:axId val="270519680"/>
        <c:axId val="270521472"/>
      </c:lineChart>
      <c:dateAx>
        <c:axId val="270519680"/>
        <c:scaling>
          <c:orientation val="minMax"/>
        </c:scaling>
        <c:delete val="0"/>
        <c:axPos val="b"/>
        <c:majorGridlines>
          <c:spPr>
            <a:ln w="3175">
              <a:solidFill>
                <a:sysClr val="window" lastClr="FFFFFF">
                  <a:lumMod val="85000"/>
                </a:sysClr>
              </a:solid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a:pPr>
            <a:endParaRPr lang="ja-JP"/>
          </a:p>
        </c:txPr>
        <c:crossAx val="270521472"/>
        <c:crosses val="autoZero"/>
        <c:auto val="0"/>
        <c:lblOffset val="100"/>
        <c:baseTimeUnit val="days"/>
        <c:majorUnit val="6"/>
        <c:majorTimeUnit val="months"/>
      </c:dateAx>
      <c:valAx>
        <c:axId val="270521472"/>
        <c:scaling>
          <c:logBase val="10"/>
          <c:orientation val="minMax"/>
        </c:scaling>
        <c:delete val="0"/>
        <c:axPos val="l"/>
        <c:majorGridlines>
          <c:spPr>
            <a:ln w="3175">
              <a:solidFill>
                <a:srgbClr val="000000"/>
              </a:solidFill>
              <a:prstDash val="solid"/>
            </a:ln>
          </c:spPr>
        </c:majorGridlines>
        <c:minorGridlines>
          <c:spPr>
            <a:ln w="3175">
              <a:solidFill>
                <a:sysClr val="window" lastClr="FFFFFF">
                  <a:lumMod val="85000"/>
                </a:sysClr>
              </a:solid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a:pPr>
            <a:endParaRPr lang="ja-JP"/>
          </a:p>
        </c:txPr>
        <c:crossAx val="270519680"/>
        <c:crosses val="autoZero"/>
        <c:crossBetween val="between"/>
        <c:majorUnit val="500"/>
      </c:valAx>
      <c:spPr>
        <a:noFill/>
        <a:ln w="12700">
          <a:solidFill>
            <a:srgbClr val="808080"/>
          </a:solidFill>
          <a:prstDash val="solid"/>
        </a:ln>
      </c:spPr>
    </c:plotArea>
    <c:legend>
      <c:legendPos val="t"/>
      <c:layout>
        <c:manualLayout>
          <c:xMode val="edge"/>
          <c:yMode val="edge"/>
          <c:x val="0.27636338038007013"/>
          <c:y val="5.7577241086361648E-2"/>
          <c:w val="0.62622810100278092"/>
          <c:h val="0.14863429934328748"/>
        </c:manualLayout>
      </c:layout>
      <c:overlay val="0"/>
      <c:spPr>
        <a:solidFill>
          <a:sysClr val="window" lastClr="FFFFFF"/>
        </a:solidFill>
        <a:ln>
          <a:solidFill>
            <a:sysClr val="windowText" lastClr="000000">
              <a:lumMod val="50000"/>
              <a:lumOff val="50000"/>
            </a:sysClr>
          </a:solidFill>
        </a:ln>
      </c:spPr>
      <c:txPr>
        <a:bodyPr/>
        <a:lstStyle/>
        <a:p>
          <a:pPr>
            <a:defRPr sz="800"/>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panose="020B0604030504040204" pitchFamily="50" charset="-128"/>
          <a:ea typeface="Meiryo UI" panose="020B0604030504040204" pitchFamily="50" charset="-128"/>
          <a:cs typeface="ＭＳ Ｐゴシック"/>
        </a:defRPr>
      </a:pPr>
      <a:endParaRPr lang="ja-JP"/>
    </a:p>
  </c:txPr>
  <c:printSettings>
    <c:headerFooter alignWithMargins="0"/>
    <c:pageMargins b="1" l="0.75" r="0.75" t="1" header="0.51200000000000001" footer="0.51200000000000001"/>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400" b="0" i="0" u="none" strike="noStrike" baseline="0">
                <a:solidFill>
                  <a:srgbClr val="000000"/>
                </a:solidFill>
                <a:latin typeface="ＭＳ Ｐ明朝"/>
                <a:ea typeface="ＭＳ Ｐ明朝"/>
                <a:cs typeface="ＭＳ Ｐ明朝"/>
              </a:defRPr>
            </a:pPr>
            <a:r>
              <a:rPr lang="ja-JP" altLang="en-US">
                <a:latin typeface="Meiryo UI" panose="020B0604030504040204" pitchFamily="50" charset="-128"/>
                <a:ea typeface="Meiryo UI" panose="020B0604030504040204" pitchFamily="50" charset="-128"/>
              </a:rPr>
              <a:t>角度間隔調整</a:t>
            </a:r>
            <a:endParaRPr lang="en-US" altLang="ja-JP">
              <a:latin typeface="Meiryo UI" panose="020B0604030504040204" pitchFamily="50" charset="-128"/>
              <a:ea typeface="Meiryo UI" panose="020B0604030504040204" pitchFamily="50" charset="-128"/>
            </a:endParaRPr>
          </a:p>
        </c:rich>
      </c:tx>
      <c:layout>
        <c:manualLayout>
          <c:xMode val="edge"/>
          <c:yMode val="edge"/>
          <c:x val="0.20703968295353808"/>
          <c:y val="6.3686979885808126E-2"/>
        </c:manualLayout>
      </c:layout>
      <c:overlay val="0"/>
      <c:spPr>
        <a:solidFill>
          <a:srgbClr val="FFFFFF"/>
        </a:solidFill>
        <a:ln w="25400">
          <a:noFill/>
        </a:ln>
      </c:spPr>
    </c:title>
    <c:autoTitleDeleted val="0"/>
    <c:plotArea>
      <c:layout>
        <c:manualLayout>
          <c:layoutTarget val="inner"/>
          <c:xMode val="edge"/>
          <c:yMode val="edge"/>
          <c:x val="7.8046150481189847E-2"/>
          <c:y val="4.7416251223034993E-2"/>
          <c:w val="0.88012926509186351"/>
          <c:h val="0.82178154271000481"/>
        </c:manualLayout>
      </c:layout>
      <c:lineChart>
        <c:grouping val="standard"/>
        <c:varyColors val="0"/>
        <c:ser>
          <c:idx val="2"/>
          <c:order val="0"/>
          <c:tx>
            <c:strRef>
              <c:f>濃度回帰式!$X$56</c:f>
              <c:strCache>
                <c:ptCount val="1"/>
                <c:pt idx="0">
                  <c:v>角度間隔ゆらぎCOS()</c:v>
                </c:pt>
              </c:strCache>
            </c:strRef>
          </c:tx>
          <c:spPr>
            <a:ln w="25400">
              <a:solidFill>
                <a:srgbClr val="0066FF"/>
              </a:solidFill>
              <a:prstDash val="solid"/>
            </a:ln>
          </c:spPr>
          <c:marker>
            <c:symbol val="none"/>
          </c:marker>
          <c:cat>
            <c:numRef>
              <c:f>濃度回帰式!$G$64:$G$147</c:f>
              <c:numCache>
                <c:formatCode>[$-411]m\.d\.ge</c:formatCode>
                <c:ptCount val="84"/>
                <c:pt idx="0">
                  <c:v>41000</c:v>
                </c:pt>
                <c:pt idx="1">
                  <c:v>41030</c:v>
                </c:pt>
                <c:pt idx="2">
                  <c:v>41061</c:v>
                </c:pt>
                <c:pt idx="3">
                  <c:v>41091</c:v>
                </c:pt>
                <c:pt idx="4">
                  <c:v>41122</c:v>
                </c:pt>
                <c:pt idx="5">
                  <c:v>41153</c:v>
                </c:pt>
                <c:pt idx="6">
                  <c:v>41183</c:v>
                </c:pt>
                <c:pt idx="7">
                  <c:v>41214</c:v>
                </c:pt>
                <c:pt idx="8">
                  <c:v>41244</c:v>
                </c:pt>
                <c:pt idx="9">
                  <c:v>41275</c:v>
                </c:pt>
                <c:pt idx="10">
                  <c:v>41306</c:v>
                </c:pt>
                <c:pt idx="11">
                  <c:v>41334</c:v>
                </c:pt>
                <c:pt idx="12">
                  <c:v>41365</c:v>
                </c:pt>
                <c:pt idx="13">
                  <c:v>41395</c:v>
                </c:pt>
                <c:pt idx="14">
                  <c:v>41426</c:v>
                </c:pt>
                <c:pt idx="15">
                  <c:v>41456</c:v>
                </c:pt>
                <c:pt idx="16">
                  <c:v>41487</c:v>
                </c:pt>
                <c:pt idx="17">
                  <c:v>41518</c:v>
                </c:pt>
                <c:pt idx="18">
                  <c:v>41548</c:v>
                </c:pt>
                <c:pt idx="19">
                  <c:v>41579</c:v>
                </c:pt>
                <c:pt idx="20">
                  <c:v>41609</c:v>
                </c:pt>
                <c:pt idx="21">
                  <c:v>41640</c:v>
                </c:pt>
                <c:pt idx="22">
                  <c:v>41671</c:v>
                </c:pt>
                <c:pt idx="23">
                  <c:v>41699</c:v>
                </c:pt>
                <c:pt idx="24">
                  <c:v>41730</c:v>
                </c:pt>
                <c:pt idx="25">
                  <c:v>41760</c:v>
                </c:pt>
                <c:pt idx="26">
                  <c:v>41791</c:v>
                </c:pt>
                <c:pt idx="27">
                  <c:v>41821</c:v>
                </c:pt>
                <c:pt idx="28">
                  <c:v>41852</c:v>
                </c:pt>
                <c:pt idx="29">
                  <c:v>41883</c:v>
                </c:pt>
                <c:pt idx="30">
                  <c:v>41913</c:v>
                </c:pt>
                <c:pt idx="31">
                  <c:v>41944</c:v>
                </c:pt>
                <c:pt idx="32">
                  <c:v>41974</c:v>
                </c:pt>
                <c:pt idx="33">
                  <c:v>42005</c:v>
                </c:pt>
                <c:pt idx="34">
                  <c:v>42036</c:v>
                </c:pt>
                <c:pt idx="35">
                  <c:v>42064</c:v>
                </c:pt>
                <c:pt idx="36">
                  <c:v>42095</c:v>
                </c:pt>
                <c:pt idx="37">
                  <c:v>42125</c:v>
                </c:pt>
                <c:pt idx="38">
                  <c:v>42156</c:v>
                </c:pt>
                <c:pt idx="39">
                  <c:v>42186</c:v>
                </c:pt>
                <c:pt idx="40">
                  <c:v>42217</c:v>
                </c:pt>
                <c:pt idx="41">
                  <c:v>42248</c:v>
                </c:pt>
                <c:pt idx="42">
                  <c:v>42278</c:v>
                </c:pt>
                <c:pt idx="43">
                  <c:v>42309</c:v>
                </c:pt>
                <c:pt idx="44">
                  <c:v>42339</c:v>
                </c:pt>
                <c:pt idx="45">
                  <c:v>42370</c:v>
                </c:pt>
                <c:pt idx="46">
                  <c:v>42401</c:v>
                </c:pt>
                <c:pt idx="47">
                  <c:v>42430</c:v>
                </c:pt>
                <c:pt idx="48">
                  <c:v>42461</c:v>
                </c:pt>
                <c:pt idx="49">
                  <c:v>42491</c:v>
                </c:pt>
                <c:pt idx="50">
                  <c:v>42522</c:v>
                </c:pt>
                <c:pt idx="51">
                  <c:v>42552</c:v>
                </c:pt>
                <c:pt idx="52">
                  <c:v>42583</c:v>
                </c:pt>
                <c:pt idx="53">
                  <c:v>42614</c:v>
                </c:pt>
                <c:pt idx="54">
                  <c:v>42644</c:v>
                </c:pt>
                <c:pt idx="55">
                  <c:v>42675</c:v>
                </c:pt>
                <c:pt idx="56">
                  <c:v>42705</c:v>
                </c:pt>
                <c:pt idx="57">
                  <c:v>42736</c:v>
                </c:pt>
                <c:pt idx="58">
                  <c:v>42767</c:v>
                </c:pt>
                <c:pt idx="59">
                  <c:v>42795</c:v>
                </c:pt>
                <c:pt idx="60">
                  <c:v>42826</c:v>
                </c:pt>
                <c:pt idx="61">
                  <c:v>42856</c:v>
                </c:pt>
                <c:pt idx="62">
                  <c:v>42887</c:v>
                </c:pt>
                <c:pt idx="63">
                  <c:v>42917</c:v>
                </c:pt>
                <c:pt idx="64">
                  <c:v>42948</c:v>
                </c:pt>
                <c:pt idx="65">
                  <c:v>42979</c:v>
                </c:pt>
                <c:pt idx="66">
                  <c:v>43009</c:v>
                </c:pt>
                <c:pt idx="67">
                  <c:v>43040</c:v>
                </c:pt>
                <c:pt idx="68">
                  <c:v>43070</c:v>
                </c:pt>
                <c:pt idx="69">
                  <c:v>43101</c:v>
                </c:pt>
                <c:pt idx="70">
                  <c:v>43132</c:v>
                </c:pt>
                <c:pt idx="71">
                  <c:v>43160</c:v>
                </c:pt>
                <c:pt idx="72">
                  <c:v>43191</c:v>
                </c:pt>
                <c:pt idx="73">
                  <c:v>43221</c:v>
                </c:pt>
                <c:pt idx="74">
                  <c:v>43252</c:v>
                </c:pt>
                <c:pt idx="75">
                  <c:v>43282</c:v>
                </c:pt>
                <c:pt idx="76">
                  <c:v>43313</c:v>
                </c:pt>
                <c:pt idx="77">
                  <c:v>43344</c:v>
                </c:pt>
                <c:pt idx="78">
                  <c:v>43374</c:v>
                </c:pt>
                <c:pt idx="79">
                  <c:v>43405</c:v>
                </c:pt>
                <c:pt idx="80">
                  <c:v>43435</c:v>
                </c:pt>
                <c:pt idx="81">
                  <c:v>43466</c:v>
                </c:pt>
                <c:pt idx="82">
                  <c:v>43497</c:v>
                </c:pt>
                <c:pt idx="83">
                  <c:v>43525</c:v>
                </c:pt>
              </c:numCache>
            </c:numRef>
          </c:cat>
          <c:val>
            <c:numRef>
              <c:f>濃度回帰式!$X$64:$X$147</c:f>
              <c:numCache>
                <c:formatCode>0.00</c:formatCode>
                <c:ptCount val="84"/>
                <c:pt idx="0">
                  <c:v>0.17364817766693041</c:v>
                </c:pt>
                <c:pt idx="1">
                  <c:v>-0.7660444431189779</c:v>
                </c:pt>
                <c:pt idx="2">
                  <c:v>-1</c:v>
                </c:pt>
                <c:pt idx="3">
                  <c:v>-0.8660254037844386</c:v>
                </c:pt>
                <c:pt idx="4">
                  <c:v>-0.50000000000000044</c:v>
                </c:pt>
                <c:pt idx="5">
                  <c:v>-0.34202014332566855</c:v>
                </c:pt>
                <c:pt idx="6">
                  <c:v>-0.17364817766693033</c:v>
                </c:pt>
                <c:pt idx="7">
                  <c:v>0.17364817766692997</c:v>
                </c:pt>
                <c:pt idx="8">
                  <c:v>0.64278760968653925</c:v>
                </c:pt>
                <c:pt idx="9">
                  <c:v>0.76604444311897779</c:v>
                </c:pt>
                <c:pt idx="10">
                  <c:v>0.86602540378443837</c:v>
                </c:pt>
                <c:pt idx="11">
                  <c:v>0.93969262078590843</c:v>
                </c:pt>
                <c:pt idx="12">
                  <c:v>0.17364817766693041</c:v>
                </c:pt>
                <c:pt idx="13">
                  <c:v>-0.7660444431189779</c:v>
                </c:pt>
                <c:pt idx="14">
                  <c:v>-1</c:v>
                </c:pt>
                <c:pt idx="15">
                  <c:v>-0.8660254037844386</c:v>
                </c:pt>
                <c:pt idx="16">
                  <c:v>-0.50000000000000044</c:v>
                </c:pt>
                <c:pt idx="17">
                  <c:v>-0.34202014332566855</c:v>
                </c:pt>
                <c:pt idx="18">
                  <c:v>-0.17364817766693033</c:v>
                </c:pt>
                <c:pt idx="19">
                  <c:v>0.17364817766692997</c:v>
                </c:pt>
                <c:pt idx="20">
                  <c:v>0.64278760968653925</c:v>
                </c:pt>
                <c:pt idx="21">
                  <c:v>0.76604444311897779</c:v>
                </c:pt>
                <c:pt idx="22">
                  <c:v>0.86602540378443837</c:v>
                </c:pt>
                <c:pt idx="23">
                  <c:v>0.93969262078590843</c:v>
                </c:pt>
                <c:pt idx="24">
                  <c:v>0.17364817766693041</c:v>
                </c:pt>
                <c:pt idx="25">
                  <c:v>-0.7660444431189779</c:v>
                </c:pt>
                <c:pt idx="26">
                  <c:v>-1</c:v>
                </c:pt>
                <c:pt idx="27">
                  <c:v>-0.8660254037844386</c:v>
                </c:pt>
                <c:pt idx="28">
                  <c:v>-0.50000000000000044</c:v>
                </c:pt>
                <c:pt idx="29">
                  <c:v>-0.34202014332566855</c:v>
                </c:pt>
                <c:pt idx="30">
                  <c:v>-0.17364817766693033</c:v>
                </c:pt>
                <c:pt idx="31">
                  <c:v>0.17364817766692997</c:v>
                </c:pt>
                <c:pt idx="32">
                  <c:v>0.64278760968653925</c:v>
                </c:pt>
                <c:pt idx="33">
                  <c:v>0.76604444311897779</c:v>
                </c:pt>
                <c:pt idx="34">
                  <c:v>0.86602540378443837</c:v>
                </c:pt>
                <c:pt idx="35">
                  <c:v>0.93969262078590843</c:v>
                </c:pt>
                <c:pt idx="36">
                  <c:v>0.17364817766693041</c:v>
                </c:pt>
                <c:pt idx="37">
                  <c:v>-0.7660444431189779</c:v>
                </c:pt>
                <c:pt idx="38">
                  <c:v>-1</c:v>
                </c:pt>
                <c:pt idx="39">
                  <c:v>-0.8660254037844386</c:v>
                </c:pt>
                <c:pt idx="40">
                  <c:v>-0.50000000000000044</c:v>
                </c:pt>
                <c:pt idx="41">
                  <c:v>-0.34202014332566855</c:v>
                </c:pt>
                <c:pt idx="42">
                  <c:v>-0.17364817766693033</c:v>
                </c:pt>
                <c:pt idx="43">
                  <c:v>0.17364817766692997</c:v>
                </c:pt>
                <c:pt idx="44">
                  <c:v>0.64278760968653925</c:v>
                </c:pt>
                <c:pt idx="45">
                  <c:v>0.76604444311897779</c:v>
                </c:pt>
                <c:pt idx="46">
                  <c:v>0.86602540378443837</c:v>
                </c:pt>
                <c:pt idx="47">
                  <c:v>0.93969262078590843</c:v>
                </c:pt>
                <c:pt idx="48">
                  <c:v>0.17364817766693041</c:v>
                </c:pt>
                <c:pt idx="49">
                  <c:v>-0.7660444431189779</c:v>
                </c:pt>
                <c:pt idx="50">
                  <c:v>-1</c:v>
                </c:pt>
                <c:pt idx="51">
                  <c:v>-0.8660254037844386</c:v>
                </c:pt>
                <c:pt idx="52">
                  <c:v>-0.50000000000000044</c:v>
                </c:pt>
                <c:pt idx="53">
                  <c:v>-0.34202014332566855</c:v>
                </c:pt>
                <c:pt idx="54">
                  <c:v>-0.17364817766693033</c:v>
                </c:pt>
                <c:pt idx="55">
                  <c:v>0.17364817766692997</c:v>
                </c:pt>
                <c:pt idx="56">
                  <c:v>0.64278760968653925</c:v>
                </c:pt>
                <c:pt idx="57">
                  <c:v>0.76604444311897779</c:v>
                </c:pt>
                <c:pt idx="58">
                  <c:v>0.86602540378443837</c:v>
                </c:pt>
                <c:pt idx="59">
                  <c:v>0.93969262078590843</c:v>
                </c:pt>
                <c:pt idx="60">
                  <c:v>0.17364817766693041</c:v>
                </c:pt>
                <c:pt idx="61">
                  <c:v>-0.7660444431189779</c:v>
                </c:pt>
                <c:pt idx="62">
                  <c:v>-1</c:v>
                </c:pt>
                <c:pt idx="63">
                  <c:v>-0.8660254037844386</c:v>
                </c:pt>
                <c:pt idx="64">
                  <c:v>-0.50000000000000044</c:v>
                </c:pt>
                <c:pt idx="65">
                  <c:v>-0.34202014332566855</c:v>
                </c:pt>
                <c:pt idx="66">
                  <c:v>-0.17364817766693033</c:v>
                </c:pt>
                <c:pt idx="67">
                  <c:v>0.17364817766692997</c:v>
                </c:pt>
                <c:pt idx="68">
                  <c:v>0.64278760968653925</c:v>
                </c:pt>
                <c:pt idx="69">
                  <c:v>0.76604444311897779</c:v>
                </c:pt>
                <c:pt idx="70">
                  <c:v>0.86602540378443837</c:v>
                </c:pt>
                <c:pt idx="71">
                  <c:v>0.93969262078590843</c:v>
                </c:pt>
                <c:pt idx="72">
                  <c:v>0.17364817766693041</c:v>
                </c:pt>
                <c:pt idx="73">
                  <c:v>-0.7660444431189779</c:v>
                </c:pt>
                <c:pt idx="74">
                  <c:v>-1</c:v>
                </c:pt>
                <c:pt idx="75">
                  <c:v>-0.8660254037844386</c:v>
                </c:pt>
                <c:pt idx="76">
                  <c:v>-0.50000000000000044</c:v>
                </c:pt>
                <c:pt idx="77">
                  <c:v>-0.34202014332566855</c:v>
                </c:pt>
                <c:pt idx="78">
                  <c:v>-0.17364817766693033</c:v>
                </c:pt>
                <c:pt idx="79">
                  <c:v>0.17364817766692997</c:v>
                </c:pt>
                <c:pt idx="80">
                  <c:v>0.64278760968653925</c:v>
                </c:pt>
                <c:pt idx="81">
                  <c:v>0.76604444311897779</c:v>
                </c:pt>
                <c:pt idx="82">
                  <c:v>0.86602540378443837</c:v>
                </c:pt>
                <c:pt idx="83">
                  <c:v>0.93969262078590843</c:v>
                </c:pt>
              </c:numCache>
            </c:numRef>
          </c:val>
          <c:smooth val="0"/>
        </c:ser>
        <c:ser>
          <c:idx val="3"/>
          <c:order val="1"/>
          <c:tx>
            <c:strRef>
              <c:f>濃度回帰式!$AA$56</c:f>
              <c:strCache>
                <c:ptCount val="1"/>
                <c:pt idx="0">
                  <c:v>30°等間隔COS()</c:v>
                </c:pt>
              </c:strCache>
            </c:strRef>
          </c:tx>
          <c:spPr>
            <a:ln w="38100">
              <a:solidFill>
                <a:srgbClr val="0066FF"/>
              </a:solidFill>
              <a:prstDash val="sysDot"/>
            </a:ln>
          </c:spPr>
          <c:marker>
            <c:symbol val="none"/>
          </c:marker>
          <c:cat>
            <c:numRef>
              <c:f>濃度回帰式!$G$64:$G$147</c:f>
              <c:numCache>
                <c:formatCode>[$-411]m\.d\.ge</c:formatCode>
                <c:ptCount val="84"/>
                <c:pt idx="0">
                  <c:v>41000</c:v>
                </c:pt>
                <c:pt idx="1">
                  <c:v>41030</c:v>
                </c:pt>
                <c:pt idx="2">
                  <c:v>41061</c:v>
                </c:pt>
                <c:pt idx="3">
                  <c:v>41091</c:v>
                </c:pt>
                <c:pt idx="4">
                  <c:v>41122</c:v>
                </c:pt>
                <c:pt idx="5">
                  <c:v>41153</c:v>
                </c:pt>
                <c:pt idx="6">
                  <c:v>41183</c:v>
                </c:pt>
                <c:pt idx="7">
                  <c:v>41214</c:v>
                </c:pt>
                <c:pt idx="8">
                  <c:v>41244</c:v>
                </c:pt>
                <c:pt idx="9">
                  <c:v>41275</c:v>
                </c:pt>
                <c:pt idx="10">
                  <c:v>41306</c:v>
                </c:pt>
                <c:pt idx="11">
                  <c:v>41334</c:v>
                </c:pt>
                <c:pt idx="12">
                  <c:v>41365</c:v>
                </c:pt>
                <c:pt idx="13">
                  <c:v>41395</c:v>
                </c:pt>
                <c:pt idx="14">
                  <c:v>41426</c:v>
                </c:pt>
                <c:pt idx="15">
                  <c:v>41456</c:v>
                </c:pt>
                <c:pt idx="16">
                  <c:v>41487</c:v>
                </c:pt>
                <c:pt idx="17">
                  <c:v>41518</c:v>
                </c:pt>
                <c:pt idx="18">
                  <c:v>41548</c:v>
                </c:pt>
                <c:pt idx="19">
                  <c:v>41579</c:v>
                </c:pt>
                <c:pt idx="20">
                  <c:v>41609</c:v>
                </c:pt>
                <c:pt idx="21">
                  <c:v>41640</c:v>
                </c:pt>
                <c:pt idx="22">
                  <c:v>41671</c:v>
                </c:pt>
                <c:pt idx="23">
                  <c:v>41699</c:v>
                </c:pt>
                <c:pt idx="24">
                  <c:v>41730</c:v>
                </c:pt>
                <c:pt idx="25">
                  <c:v>41760</c:v>
                </c:pt>
                <c:pt idx="26">
                  <c:v>41791</c:v>
                </c:pt>
                <c:pt idx="27">
                  <c:v>41821</c:v>
                </c:pt>
                <c:pt idx="28">
                  <c:v>41852</c:v>
                </c:pt>
                <c:pt idx="29">
                  <c:v>41883</c:v>
                </c:pt>
                <c:pt idx="30">
                  <c:v>41913</c:v>
                </c:pt>
                <c:pt idx="31">
                  <c:v>41944</c:v>
                </c:pt>
                <c:pt idx="32">
                  <c:v>41974</c:v>
                </c:pt>
                <c:pt idx="33">
                  <c:v>42005</c:v>
                </c:pt>
                <c:pt idx="34">
                  <c:v>42036</c:v>
                </c:pt>
                <c:pt idx="35">
                  <c:v>42064</c:v>
                </c:pt>
                <c:pt idx="36">
                  <c:v>42095</c:v>
                </c:pt>
                <c:pt idx="37">
                  <c:v>42125</c:v>
                </c:pt>
                <c:pt idx="38">
                  <c:v>42156</c:v>
                </c:pt>
                <c:pt idx="39">
                  <c:v>42186</c:v>
                </c:pt>
                <c:pt idx="40">
                  <c:v>42217</c:v>
                </c:pt>
                <c:pt idx="41">
                  <c:v>42248</c:v>
                </c:pt>
                <c:pt idx="42">
                  <c:v>42278</c:v>
                </c:pt>
                <c:pt idx="43">
                  <c:v>42309</c:v>
                </c:pt>
                <c:pt idx="44">
                  <c:v>42339</c:v>
                </c:pt>
                <c:pt idx="45">
                  <c:v>42370</c:v>
                </c:pt>
                <c:pt idx="46">
                  <c:v>42401</c:v>
                </c:pt>
                <c:pt idx="47">
                  <c:v>42430</c:v>
                </c:pt>
                <c:pt idx="48">
                  <c:v>42461</c:v>
                </c:pt>
                <c:pt idx="49">
                  <c:v>42491</c:v>
                </c:pt>
                <c:pt idx="50">
                  <c:v>42522</c:v>
                </c:pt>
                <c:pt idx="51">
                  <c:v>42552</c:v>
                </c:pt>
                <c:pt idx="52">
                  <c:v>42583</c:v>
                </c:pt>
                <c:pt idx="53">
                  <c:v>42614</c:v>
                </c:pt>
                <c:pt idx="54">
                  <c:v>42644</c:v>
                </c:pt>
                <c:pt idx="55">
                  <c:v>42675</c:v>
                </c:pt>
                <c:pt idx="56">
                  <c:v>42705</c:v>
                </c:pt>
                <c:pt idx="57">
                  <c:v>42736</c:v>
                </c:pt>
                <c:pt idx="58">
                  <c:v>42767</c:v>
                </c:pt>
                <c:pt idx="59">
                  <c:v>42795</c:v>
                </c:pt>
                <c:pt idx="60">
                  <c:v>42826</c:v>
                </c:pt>
                <c:pt idx="61">
                  <c:v>42856</c:v>
                </c:pt>
                <c:pt idx="62">
                  <c:v>42887</c:v>
                </c:pt>
                <c:pt idx="63">
                  <c:v>42917</c:v>
                </c:pt>
                <c:pt idx="64">
                  <c:v>42948</c:v>
                </c:pt>
                <c:pt idx="65">
                  <c:v>42979</c:v>
                </c:pt>
                <c:pt idx="66">
                  <c:v>43009</c:v>
                </c:pt>
                <c:pt idx="67">
                  <c:v>43040</c:v>
                </c:pt>
                <c:pt idx="68">
                  <c:v>43070</c:v>
                </c:pt>
                <c:pt idx="69">
                  <c:v>43101</c:v>
                </c:pt>
                <c:pt idx="70">
                  <c:v>43132</c:v>
                </c:pt>
                <c:pt idx="71">
                  <c:v>43160</c:v>
                </c:pt>
                <c:pt idx="72">
                  <c:v>43191</c:v>
                </c:pt>
                <c:pt idx="73">
                  <c:v>43221</c:v>
                </c:pt>
                <c:pt idx="74">
                  <c:v>43252</c:v>
                </c:pt>
                <c:pt idx="75">
                  <c:v>43282</c:v>
                </c:pt>
                <c:pt idx="76">
                  <c:v>43313</c:v>
                </c:pt>
                <c:pt idx="77">
                  <c:v>43344</c:v>
                </c:pt>
                <c:pt idx="78">
                  <c:v>43374</c:v>
                </c:pt>
                <c:pt idx="79">
                  <c:v>43405</c:v>
                </c:pt>
                <c:pt idx="80">
                  <c:v>43435</c:v>
                </c:pt>
                <c:pt idx="81">
                  <c:v>43466</c:v>
                </c:pt>
                <c:pt idx="82">
                  <c:v>43497</c:v>
                </c:pt>
                <c:pt idx="83">
                  <c:v>43525</c:v>
                </c:pt>
              </c:numCache>
            </c:numRef>
          </c:cat>
          <c:val>
            <c:numRef>
              <c:f>濃度回帰式!$AA$64:$AA$147</c:f>
              <c:numCache>
                <c:formatCode>0.00</c:formatCode>
                <c:ptCount val="84"/>
                <c:pt idx="0">
                  <c:v>0.17364817766693041</c:v>
                </c:pt>
                <c:pt idx="1">
                  <c:v>-0.34202014332566871</c:v>
                </c:pt>
                <c:pt idx="2">
                  <c:v>-0.7660444431189779</c:v>
                </c:pt>
                <c:pt idx="3">
                  <c:v>-0.98480775301220802</c:v>
                </c:pt>
                <c:pt idx="4">
                  <c:v>-0.93969262078590843</c:v>
                </c:pt>
                <c:pt idx="5">
                  <c:v>-0.64278760968653947</c:v>
                </c:pt>
                <c:pt idx="6">
                  <c:v>-0.17364817766693033</c:v>
                </c:pt>
                <c:pt idx="7">
                  <c:v>0.34202014332566899</c:v>
                </c:pt>
                <c:pt idx="8">
                  <c:v>0.76604444311897779</c:v>
                </c:pt>
                <c:pt idx="9">
                  <c:v>0.98480775301220802</c:v>
                </c:pt>
                <c:pt idx="10">
                  <c:v>0.93969262078590832</c:v>
                </c:pt>
                <c:pt idx="11">
                  <c:v>0.64278760968653958</c:v>
                </c:pt>
                <c:pt idx="12">
                  <c:v>0.17364817766693044</c:v>
                </c:pt>
                <c:pt idx="13">
                  <c:v>-0.34202014332566805</c:v>
                </c:pt>
                <c:pt idx="14">
                  <c:v>-0.76604444311897835</c:v>
                </c:pt>
                <c:pt idx="15">
                  <c:v>-0.98480775301220802</c:v>
                </c:pt>
                <c:pt idx="16">
                  <c:v>-0.93969262078590865</c:v>
                </c:pt>
                <c:pt idx="17">
                  <c:v>-0.64278760968653903</c:v>
                </c:pt>
                <c:pt idx="18">
                  <c:v>-0.17364817766693058</c:v>
                </c:pt>
                <c:pt idx="19">
                  <c:v>0.34202014332566794</c:v>
                </c:pt>
                <c:pt idx="20">
                  <c:v>0.76604444311897824</c:v>
                </c:pt>
                <c:pt idx="21">
                  <c:v>0.98480775301220802</c:v>
                </c:pt>
                <c:pt idx="22">
                  <c:v>0.93969262078590865</c:v>
                </c:pt>
                <c:pt idx="23">
                  <c:v>0.64278760968653914</c:v>
                </c:pt>
                <c:pt idx="24">
                  <c:v>0.17364817766693069</c:v>
                </c:pt>
                <c:pt idx="25">
                  <c:v>-0.34202014332566782</c:v>
                </c:pt>
                <c:pt idx="26">
                  <c:v>-0.76604444311897812</c:v>
                </c:pt>
                <c:pt idx="27">
                  <c:v>-0.98480775301220802</c:v>
                </c:pt>
                <c:pt idx="28">
                  <c:v>-0.93969262078590876</c:v>
                </c:pt>
                <c:pt idx="29">
                  <c:v>-0.64278760968654058</c:v>
                </c:pt>
                <c:pt idx="30">
                  <c:v>-0.17364817766692905</c:v>
                </c:pt>
                <c:pt idx="31">
                  <c:v>0.34202014332566938</c:v>
                </c:pt>
                <c:pt idx="32">
                  <c:v>0.76604444311897812</c:v>
                </c:pt>
                <c:pt idx="33">
                  <c:v>0.98480775301220802</c:v>
                </c:pt>
                <c:pt idx="34">
                  <c:v>0.93969262078590876</c:v>
                </c:pt>
                <c:pt idx="35">
                  <c:v>0.6427876096865407</c:v>
                </c:pt>
                <c:pt idx="36">
                  <c:v>0.17364817766692919</c:v>
                </c:pt>
                <c:pt idx="37">
                  <c:v>-0.34202014332566927</c:v>
                </c:pt>
                <c:pt idx="38">
                  <c:v>-0.76604444311897801</c:v>
                </c:pt>
                <c:pt idx="39">
                  <c:v>-0.98480775301220791</c:v>
                </c:pt>
                <c:pt idx="40">
                  <c:v>-0.93969262078590887</c:v>
                </c:pt>
                <c:pt idx="41">
                  <c:v>-0.64278760968654081</c:v>
                </c:pt>
                <c:pt idx="42">
                  <c:v>-0.1736481776669293</c:v>
                </c:pt>
                <c:pt idx="43">
                  <c:v>0.34202014332566916</c:v>
                </c:pt>
                <c:pt idx="44">
                  <c:v>0.7660444431189779</c:v>
                </c:pt>
                <c:pt idx="45">
                  <c:v>0.98480775301220791</c:v>
                </c:pt>
                <c:pt idx="46">
                  <c:v>0.93969262078590887</c:v>
                </c:pt>
                <c:pt idx="47">
                  <c:v>0.64278760968654081</c:v>
                </c:pt>
                <c:pt idx="48">
                  <c:v>0.17364817766692942</c:v>
                </c:pt>
                <c:pt idx="49">
                  <c:v>-0.34202014332566905</c:v>
                </c:pt>
                <c:pt idx="50">
                  <c:v>-0.7660444431189779</c:v>
                </c:pt>
                <c:pt idx="51">
                  <c:v>-0.98480775301220791</c:v>
                </c:pt>
                <c:pt idx="52">
                  <c:v>-0.93969262078590887</c:v>
                </c:pt>
                <c:pt idx="53">
                  <c:v>-0.64278760968654092</c:v>
                </c:pt>
                <c:pt idx="54">
                  <c:v>-0.17364817766692955</c:v>
                </c:pt>
                <c:pt idx="55">
                  <c:v>0.34202014332566893</c:v>
                </c:pt>
                <c:pt idx="56">
                  <c:v>0.76604444311897779</c:v>
                </c:pt>
                <c:pt idx="57">
                  <c:v>0.98480775301220791</c:v>
                </c:pt>
                <c:pt idx="58">
                  <c:v>0.93969262078590898</c:v>
                </c:pt>
                <c:pt idx="59">
                  <c:v>0.64278760968653836</c:v>
                </c:pt>
                <c:pt idx="60">
                  <c:v>0.17364817766693316</c:v>
                </c:pt>
                <c:pt idx="61">
                  <c:v>-0.34202014332566882</c:v>
                </c:pt>
                <c:pt idx="62">
                  <c:v>-0.76604444311897546</c:v>
                </c:pt>
                <c:pt idx="63">
                  <c:v>-0.98480775301220791</c:v>
                </c:pt>
                <c:pt idx="64">
                  <c:v>-0.93969262078590776</c:v>
                </c:pt>
                <c:pt idx="65">
                  <c:v>-0.64278760968654114</c:v>
                </c:pt>
                <c:pt idx="66">
                  <c:v>-0.17364817766692978</c:v>
                </c:pt>
                <c:pt idx="67">
                  <c:v>0.34202014332566538</c:v>
                </c:pt>
                <c:pt idx="68">
                  <c:v>0.76604444311897757</c:v>
                </c:pt>
                <c:pt idx="69">
                  <c:v>0.98480775301220846</c:v>
                </c:pt>
                <c:pt idx="70">
                  <c:v>0.93969262078590898</c:v>
                </c:pt>
                <c:pt idx="71">
                  <c:v>0.64278760968653847</c:v>
                </c:pt>
                <c:pt idx="72">
                  <c:v>0.17364817766693341</c:v>
                </c:pt>
                <c:pt idx="73">
                  <c:v>-0.3420201433256686</c:v>
                </c:pt>
                <c:pt idx="74">
                  <c:v>-0.76604444311897979</c:v>
                </c:pt>
                <c:pt idx="75">
                  <c:v>-0.9848077530122078</c:v>
                </c:pt>
                <c:pt idx="76">
                  <c:v>-0.93969262078590787</c:v>
                </c:pt>
                <c:pt idx="77">
                  <c:v>-0.64278760968654136</c:v>
                </c:pt>
                <c:pt idx="78">
                  <c:v>-0.17364817766693003</c:v>
                </c:pt>
                <c:pt idx="79">
                  <c:v>0.3420201433256651</c:v>
                </c:pt>
                <c:pt idx="80">
                  <c:v>0.76604444311897746</c:v>
                </c:pt>
                <c:pt idx="81">
                  <c:v>0.98480775301220846</c:v>
                </c:pt>
                <c:pt idx="82">
                  <c:v>0.93969262078590909</c:v>
                </c:pt>
                <c:pt idx="83">
                  <c:v>0.6427876096865387</c:v>
                </c:pt>
              </c:numCache>
            </c:numRef>
          </c:val>
          <c:smooth val="0"/>
        </c:ser>
        <c:dLbls>
          <c:showLegendKey val="0"/>
          <c:showVal val="0"/>
          <c:showCatName val="0"/>
          <c:showSerName val="0"/>
          <c:showPercent val="0"/>
          <c:showBubbleSize val="0"/>
        </c:dLbls>
        <c:marker val="1"/>
        <c:smooth val="0"/>
        <c:axId val="270961664"/>
        <c:axId val="270971648"/>
      </c:lineChart>
      <c:catAx>
        <c:axId val="270961664"/>
        <c:scaling>
          <c:orientation val="minMax"/>
        </c:scaling>
        <c:delete val="0"/>
        <c:axPos val="b"/>
        <c:majorGridlines>
          <c:spPr>
            <a:ln w="3175">
              <a:pattFill prst="pct50">
                <a:fgClr>
                  <a:srgbClr val="000000"/>
                </a:fgClr>
                <a:bgClr>
                  <a:srgbClr val="FFFFFF"/>
                </a:bgClr>
              </a:patt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270971648"/>
        <c:crossesAt val="-1.5"/>
        <c:auto val="0"/>
        <c:lblAlgn val="ctr"/>
        <c:lblOffset val="0"/>
        <c:tickLblSkip val="12"/>
        <c:tickMarkSkip val="12"/>
        <c:noMultiLvlLbl val="0"/>
      </c:catAx>
      <c:valAx>
        <c:axId val="270971648"/>
        <c:scaling>
          <c:orientation val="minMax"/>
        </c:scaling>
        <c:delete val="0"/>
        <c:axPos val="l"/>
        <c:majorGridlines>
          <c:spPr>
            <a:ln w="3175">
              <a:pattFill prst="pct50">
                <a:fgClr>
                  <a:srgbClr val="000000"/>
                </a:fgClr>
                <a:bgClr>
                  <a:srgbClr val="FFFFFF"/>
                </a:bgClr>
              </a:pattFill>
              <a:prstDash val="solid"/>
            </a:ln>
          </c:spPr>
        </c:majorGridlines>
        <c:title>
          <c:tx>
            <c:rich>
              <a:bodyPr rot="0" vert="horz"/>
              <a:lstStyle/>
              <a:p>
                <a:pPr>
                  <a:defRPr sz="800">
                    <a:latin typeface="Meiryo UI" panose="020B0604030504040204" pitchFamily="50" charset="-128"/>
                    <a:ea typeface="Meiryo UI" panose="020B0604030504040204" pitchFamily="50" charset="-128"/>
                  </a:defRPr>
                </a:pPr>
                <a:r>
                  <a:rPr lang="en-US" altLang="ja-JP" sz="800"/>
                  <a:t>cos(</a:t>
                </a:r>
                <a:r>
                  <a:rPr lang="ja-JP" altLang="en-US" sz="800"/>
                  <a:t>ラジアン</a:t>
                </a:r>
                <a:r>
                  <a:rPr lang="en-US" altLang="ja-JP" sz="800"/>
                  <a:t>)</a:t>
                </a:r>
                <a:endParaRPr lang="ja-JP" altLang="en-US" sz="800"/>
              </a:p>
            </c:rich>
          </c:tx>
          <c:layout>
            <c:manualLayout>
              <c:xMode val="edge"/>
              <c:yMode val="edge"/>
              <c:x val="3.9271653543307077E-2"/>
              <c:y val="9.975092957130359E-2"/>
            </c:manualLayout>
          </c:layout>
          <c:overlay val="0"/>
          <c:spPr>
            <a:solidFill>
              <a:schemeClr val="bg1"/>
            </a:solidFill>
          </c:spPr>
        </c:title>
        <c:numFmt formatCode="0.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270961664"/>
        <c:crosses val="autoZero"/>
        <c:crossBetween val="between"/>
      </c:valAx>
      <c:spPr>
        <a:noFill/>
        <a:ln w="12700">
          <a:solidFill>
            <a:srgbClr val="808080"/>
          </a:solidFill>
          <a:prstDash val="solid"/>
        </a:ln>
      </c:spPr>
    </c:plotArea>
    <c:legend>
      <c:legendPos val="r"/>
      <c:layout>
        <c:manualLayout>
          <c:xMode val="edge"/>
          <c:yMode val="edge"/>
          <c:x val="0.62428673351580644"/>
          <c:y val="9.7222222222222623E-3"/>
          <c:w val="0.31263331992891336"/>
          <c:h val="0.12280705983180674"/>
        </c:manualLayout>
      </c:layout>
      <c:overlay val="0"/>
      <c:spPr>
        <a:solidFill>
          <a:schemeClr val="bg1"/>
        </a:solidFill>
        <a:ln w="25400">
          <a:noFill/>
        </a:ln>
      </c:spPr>
      <c:txPr>
        <a:bodyPr/>
        <a:lstStyle/>
        <a:p>
          <a:pPr>
            <a:defRPr sz="10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350" b="0" i="0" u="none" strike="noStrike" baseline="0">
          <a:solidFill>
            <a:srgbClr val="000000"/>
          </a:solidFill>
          <a:latin typeface="ＭＳ Ｐ明朝"/>
          <a:ea typeface="ＭＳ Ｐ明朝"/>
          <a:cs typeface="ＭＳ Ｐ明朝"/>
        </a:defRPr>
      </a:pPr>
      <a:endParaRPr lang="ja-JP"/>
    </a:p>
  </c:txPr>
  <c:printSettings>
    <c:headerFooter alignWithMargins="0"/>
    <c:pageMargins b="1" l="0.75" r="0.75" t="1" header="0.51200000000000001" footer="0.512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3495744850075559"/>
          <c:y val="4.2219850860579965E-2"/>
          <c:w val="0.76504255149924438"/>
          <c:h val="0.79862882193225693"/>
        </c:manualLayout>
      </c:layout>
      <c:lineChart>
        <c:grouping val="standard"/>
        <c:varyColors val="0"/>
        <c:ser>
          <c:idx val="0"/>
          <c:order val="0"/>
          <c:tx>
            <c:strRef>
              <c:f>一廃実調!$C$3</c:f>
              <c:strCache>
                <c:ptCount val="1"/>
                <c:pt idx="0">
                  <c:v>直接焼却量</c:v>
                </c:pt>
              </c:strCache>
            </c:strRef>
          </c:tx>
          <c:spPr>
            <a:ln w="15875">
              <a:solidFill>
                <a:srgbClr val="FF6600"/>
              </a:solidFill>
            </a:ln>
          </c:spPr>
          <c:marker>
            <c:symbol val="square"/>
            <c:size val="6"/>
            <c:spPr>
              <a:noFill/>
              <a:ln>
                <a:solidFill>
                  <a:srgbClr val="FF0000"/>
                </a:solidFill>
              </a:ln>
            </c:spPr>
          </c:marker>
          <c:trendline>
            <c:trendlineType val="poly"/>
            <c:order val="2"/>
            <c:dispRSqr val="0"/>
            <c:dispEq val="1"/>
            <c:trendlineLbl>
              <c:layout>
                <c:manualLayout>
                  <c:x val="-4.410403245048914E-2"/>
                  <c:y val="0.12158081009925384"/>
                </c:manualLayout>
              </c:layout>
              <c:numFmt formatCode="General" sourceLinked="0"/>
              <c:txPr>
                <a:bodyPr/>
                <a:lstStyle/>
                <a:p>
                  <a:pPr>
                    <a:defRPr sz="1100"/>
                  </a:pPr>
                  <a:endParaRPr lang="ja-JP"/>
                </a:p>
              </c:txPr>
            </c:trendlineLbl>
          </c:trendline>
          <c:cat>
            <c:strRef>
              <c:f>一廃実調!$B$5:$B$11</c:f>
              <c:strCache>
                <c:ptCount val="7"/>
                <c:pt idx="0">
                  <c:v>H24</c:v>
                </c:pt>
                <c:pt idx="1">
                  <c:v>H25</c:v>
                </c:pt>
                <c:pt idx="2">
                  <c:v>H26</c:v>
                </c:pt>
                <c:pt idx="3">
                  <c:v>H27</c:v>
                </c:pt>
                <c:pt idx="4">
                  <c:v>H28</c:v>
                </c:pt>
                <c:pt idx="5">
                  <c:v>H29</c:v>
                </c:pt>
                <c:pt idx="6">
                  <c:v>H30</c:v>
                </c:pt>
              </c:strCache>
            </c:strRef>
          </c:cat>
          <c:val>
            <c:numRef>
              <c:f>一廃実調!$C$5:$C$11</c:f>
              <c:numCache>
                <c:formatCode>General</c:formatCode>
                <c:ptCount val="7"/>
                <c:pt idx="0">
                  <c:v>20385</c:v>
                </c:pt>
                <c:pt idx="1">
                  <c:v>20020</c:v>
                </c:pt>
                <c:pt idx="2">
                  <c:v>20242</c:v>
                </c:pt>
                <c:pt idx="3">
                  <c:v>20173</c:v>
                </c:pt>
                <c:pt idx="4">
                  <c:v>20022</c:v>
                </c:pt>
                <c:pt idx="5">
                  <c:v>19319</c:v>
                </c:pt>
                <c:pt idx="6" formatCode="0">
                  <c:v>21010.055353736865</c:v>
                </c:pt>
              </c:numCache>
            </c:numRef>
          </c:val>
          <c:smooth val="0"/>
        </c:ser>
        <c:dLbls>
          <c:showLegendKey val="0"/>
          <c:showVal val="0"/>
          <c:showCatName val="0"/>
          <c:showSerName val="0"/>
          <c:showPercent val="0"/>
          <c:showBubbleSize val="0"/>
        </c:dLbls>
        <c:marker val="1"/>
        <c:smooth val="0"/>
        <c:axId val="270703616"/>
        <c:axId val="270734080"/>
      </c:lineChart>
      <c:dateAx>
        <c:axId val="270703616"/>
        <c:scaling>
          <c:orientation val="minMax"/>
        </c:scaling>
        <c:delete val="0"/>
        <c:axPos val="b"/>
        <c:majorGridlines>
          <c:spPr>
            <a:ln>
              <a:solidFill>
                <a:sysClr val="window" lastClr="FFFFFF">
                  <a:lumMod val="75000"/>
                </a:sysClr>
              </a:solidFill>
            </a:ln>
          </c:spPr>
        </c:majorGridlines>
        <c:numFmt formatCode="m/d/yy;@" sourceLinked="0"/>
        <c:majorTickMark val="in"/>
        <c:minorTickMark val="in"/>
        <c:tickLblPos val="nextTo"/>
        <c:txPr>
          <a:bodyPr rot="-5400000" vert="horz"/>
          <a:lstStyle/>
          <a:p>
            <a:pPr>
              <a:defRPr sz="1000"/>
            </a:pPr>
            <a:endParaRPr lang="ja-JP"/>
          </a:p>
        </c:txPr>
        <c:crossAx val="270734080"/>
        <c:crosses val="autoZero"/>
        <c:auto val="0"/>
        <c:lblOffset val="5"/>
        <c:baseTimeUnit val="months"/>
      </c:dateAx>
      <c:valAx>
        <c:axId val="270734080"/>
        <c:scaling>
          <c:orientation val="minMax"/>
          <c:min val="10000"/>
        </c:scaling>
        <c:delete val="0"/>
        <c:axPos val="l"/>
        <c:majorGridlines>
          <c:spPr>
            <a:ln>
              <a:solidFill>
                <a:sysClr val="window" lastClr="FFFFFF">
                  <a:lumMod val="75000"/>
                </a:sysClr>
              </a:solidFill>
            </a:ln>
          </c:spPr>
        </c:majorGridlines>
        <c:numFmt formatCode="General" sourceLinked="0"/>
        <c:majorTickMark val="none"/>
        <c:minorTickMark val="none"/>
        <c:tickLblPos val="nextTo"/>
        <c:txPr>
          <a:bodyPr/>
          <a:lstStyle/>
          <a:p>
            <a:pPr>
              <a:defRPr sz="1100"/>
            </a:pPr>
            <a:endParaRPr lang="ja-JP"/>
          </a:p>
        </c:txPr>
        <c:crossAx val="270703616"/>
        <c:crosses val="autoZero"/>
        <c:crossBetween val="between"/>
      </c:valAx>
    </c:plotArea>
    <c:legend>
      <c:legendPos val="t"/>
      <c:layout>
        <c:manualLayout>
          <c:xMode val="edge"/>
          <c:yMode val="edge"/>
          <c:x val="0.39860932156207746"/>
          <c:y val="0.4733086766657556"/>
          <c:w val="0.59946914800728934"/>
          <c:h val="0.14729698822179357"/>
        </c:manualLayout>
      </c:layout>
      <c:overlay val="1"/>
      <c:spPr>
        <a:solidFill>
          <a:sysClr val="window" lastClr="FFFFFF"/>
        </a:solidFill>
      </c:spPr>
      <c:txPr>
        <a:bodyPr/>
        <a:lstStyle/>
        <a:p>
          <a:pPr>
            <a:defRPr sz="1200"/>
          </a:pPr>
          <a:endParaRPr lang="ja-JP"/>
        </a:p>
      </c:txPr>
    </c:legend>
    <c:plotVisOnly val="1"/>
    <c:dispBlanksAs val="gap"/>
    <c:showDLblsOverMax val="0"/>
  </c:chart>
  <c:txPr>
    <a:bodyPr/>
    <a:lstStyle/>
    <a:p>
      <a:pPr>
        <a:defRPr sz="9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printSettings>
    <c:headerFooter/>
    <c:pageMargins b="0.75" l="0.7" r="0.7" t="0.75" header="0.3" footer="0.3"/>
    <c:pageSetup/>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sz="1200"/>
              <a:t>ばいじん</a:t>
            </a:r>
            <a:r>
              <a:rPr lang="en-US" altLang="ja-JP" sz="1200"/>
              <a:t>(</a:t>
            </a:r>
            <a:r>
              <a:rPr lang="ja-JP" altLang="en-US" sz="1200"/>
              <a:t>飛灰</a:t>
            </a:r>
            <a:r>
              <a:rPr lang="en-US" altLang="ja-JP" sz="1200"/>
              <a:t>)</a:t>
            </a:r>
            <a:r>
              <a:rPr lang="ja-JP" altLang="en-US" sz="1200"/>
              <a:t>中の</a:t>
            </a:r>
            <a:r>
              <a:rPr lang="en-US" altLang="ja-JP" sz="1200"/>
              <a:t>Cs</a:t>
            </a:r>
            <a:r>
              <a:rPr lang="ja-JP" altLang="en-US" sz="1200"/>
              <a:t>濃度の推移</a:t>
            </a:r>
          </a:p>
        </c:rich>
      </c:tx>
      <c:layout>
        <c:manualLayout>
          <c:xMode val="edge"/>
          <c:yMode val="edge"/>
          <c:x val="0.38475456202759467"/>
          <c:y val="2.8939330214148868E-2"/>
        </c:manualLayout>
      </c:layout>
      <c:overlay val="0"/>
      <c:spPr>
        <a:solidFill>
          <a:srgbClr val="FFFFFF"/>
        </a:solidFill>
        <a:ln w="25400">
          <a:noFill/>
        </a:ln>
      </c:spPr>
    </c:title>
    <c:autoTitleDeleted val="0"/>
    <c:plotArea>
      <c:layout>
        <c:manualLayout>
          <c:layoutTarget val="inner"/>
          <c:xMode val="edge"/>
          <c:yMode val="edge"/>
          <c:x val="8.5115133804150769E-2"/>
          <c:y val="5.189028696994271E-2"/>
          <c:w val="0.88368121510584374"/>
          <c:h val="0.82916263374054988"/>
        </c:manualLayout>
      </c:layout>
      <c:lineChart>
        <c:grouping val="standard"/>
        <c:varyColors val="0"/>
        <c:ser>
          <c:idx val="3"/>
          <c:order val="0"/>
          <c:tx>
            <c:strRef>
              <c:f>まとめ!$U$30:$U$31</c:f>
              <c:strCache>
                <c:ptCount val="1"/>
                <c:pt idx="0">
                  <c:v>ぱいじん(飛灰) 両Cs濃度 (Bq/kg)</c:v>
                </c:pt>
              </c:strCache>
            </c:strRef>
          </c:tx>
          <c:spPr>
            <a:ln w="3175">
              <a:solidFill>
                <a:srgbClr val="0070C0"/>
              </a:solidFill>
              <a:prstDash val="solid"/>
            </a:ln>
          </c:spPr>
          <c:marker>
            <c:symbol val="square"/>
            <c:size val="5"/>
            <c:spPr>
              <a:solidFill>
                <a:sysClr val="window" lastClr="FFFFFF"/>
              </a:solidFill>
              <a:ln>
                <a:solidFill>
                  <a:srgbClr val="0070C0"/>
                </a:solidFill>
              </a:ln>
            </c:spPr>
          </c:marker>
          <c:cat>
            <c:numRef>
              <c:f>まとめ!$R$32:$R$119</c:f>
              <c:numCache>
                <c:formatCode>[$-411]ge\.m</c:formatCode>
                <c:ptCount val="88"/>
                <c:pt idx="0">
                  <c:v>40614</c:v>
                </c:pt>
                <c:pt idx="1">
                  <c:v>40923</c:v>
                </c:pt>
                <c:pt idx="2">
                  <c:v>40954</c:v>
                </c:pt>
                <c:pt idx="3">
                  <c:v>40983</c:v>
                </c:pt>
                <c:pt idx="4">
                  <c:v>41014</c:v>
                </c:pt>
                <c:pt idx="5">
                  <c:v>41044</c:v>
                </c:pt>
                <c:pt idx="6">
                  <c:v>41075</c:v>
                </c:pt>
                <c:pt idx="7">
                  <c:v>41105</c:v>
                </c:pt>
                <c:pt idx="8">
                  <c:v>41136</c:v>
                </c:pt>
                <c:pt idx="9">
                  <c:v>41167</c:v>
                </c:pt>
                <c:pt idx="10">
                  <c:v>41197</c:v>
                </c:pt>
                <c:pt idx="11">
                  <c:v>41228</c:v>
                </c:pt>
                <c:pt idx="12">
                  <c:v>41258</c:v>
                </c:pt>
                <c:pt idx="13">
                  <c:v>41289</c:v>
                </c:pt>
                <c:pt idx="14">
                  <c:v>41320</c:v>
                </c:pt>
                <c:pt idx="15">
                  <c:v>41348</c:v>
                </c:pt>
                <c:pt idx="16">
                  <c:v>41379</c:v>
                </c:pt>
                <c:pt idx="17">
                  <c:v>41409</c:v>
                </c:pt>
                <c:pt idx="18">
                  <c:v>41440</c:v>
                </c:pt>
                <c:pt idx="19">
                  <c:v>41470</c:v>
                </c:pt>
                <c:pt idx="20">
                  <c:v>41501</c:v>
                </c:pt>
                <c:pt idx="21">
                  <c:v>41532</c:v>
                </c:pt>
                <c:pt idx="22">
                  <c:v>41562</c:v>
                </c:pt>
                <c:pt idx="23">
                  <c:v>41593</c:v>
                </c:pt>
                <c:pt idx="24">
                  <c:v>41623</c:v>
                </c:pt>
                <c:pt idx="25">
                  <c:v>41654</c:v>
                </c:pt>
                <c:pt idx="26">
                  <c:v>41685</c:v>
                </c:pt>
                <c:pt idx="27">
                  <c:v>41713</c:v>
                </c:pt>
                <c:pt idx="28">
                  <c:v>41744</c:v>
                </c:pt>
                <c:pt idx="29">
                  <c:v>41774</c:v>
                </c:pt>
                <c:pt idx="30">
                  <c:v>41805</c:v>
                </c:pt>
                <c:pt idx="31">
                  <c:v>41835</c:v>
                </c:pt>
                <c:pt idx="32">
                  <c:v>41866</c:v>
                </c:pt>
                <c:pt idx="33">
                  <c:v>41897</c:v>
                </c:pt>
                <c:pt idx="34">
                  <c:v>41927</c:v>
                </c:pt>
                <c:pt idx="35">
                  <c:v>41958</c:v>
                </c:pt>
                <c:pt idx="36">
                  <c:v>41988</c:v>
                </c:pt>
                <c:pt idx="37">
                  <c:v>42019</c:v>
                </c:pt>
                <c:pt idx="38">
                  <c:v>42050</c:v>
                </c:pt>
                <c:pt idx="39">
                  <c:v>42078</c:v>
                </c:pt>
                <c:pt idx="40">
                  <c:v>42109</c:v>
                </c:pt>
                <c:pt idx="41">
                  <c:v>42139</c:v>
                </c:pt>
                <c:pt idx="42">
                  <c:v>42170</c:v>
                </c:pt>
                <c:pt idx="43">
                  <c:v>42200</c:v>
                </c:pt>
                <c:pt idx="44">
                  <c:v>42231</c:v>
                </c:pt>
                <c:pt idx="45">
                  <c:v>42262</c:v>
                </c:pt>
                <c:pt idx="46">
                  <c:v>42292</c:v>
                </c:pt>
                <c:pt idx="47">
                  <c:v>42323</c:v>
                </c:pt>
                <c:pt idx="48">
                  <c:v>42353</c:v>
                </c:pt>
                <c:pt idx="49">
                  <c:v>42384</c:v>
                </c:pt>
                <c:pt idx="50">
                  <c:v>42415</c:v>
                </c:pt>
                <c:pt idx="51">
                  <c:v>42444</c:v>
                </c:pt>
                <c:pt idx="52">
                  <c:v>42475</c:v>
                </c:pt>
                <c:pt idx="53">
                  <c:v>42505</c:v>
                </c:pt>
                <c:pt idx="54">
                  <c:v>42536</c:v>
                </c:pt>
                <c:pt idx="55">
                  <c:v>42566</c:v>
                </c:pt>
                <c:pt idx="56">
                  <c:v>42597</c:v>
                </c:pt>
                <c:pt idx="57">
                  <c:v>42628</c:v>
                </c:pt>
                <c:pt idx="58">
                  <c:v>42658</c:v>
                </c:pt>
                <c:pt idx="59">
                  <c:v>42689</c:v>
                </c:pt>
                <c:pt idx="60">
                  <c:v>42719</c:v>
                </c:pt>
                <c:pt idx="61">
                  <c:v>42750</c:v>
                </c:pt>
                <c:pt idx="62">
                  <c:v>42781</c:v>
                </c:pt>
                <c:pt idx="63">
                  <c:v>42809</c:v>
                </c:pt>
                <c:pt idx="64">
                  <c:v>42840</c:v>
                </c:pt>
                <c:pt idx="65">
                  <c:v>42870</c:v>
                </c:pt>
                <c:pt idx="66">
                  <c:v>42901</c:v>
                </c:pt>
                <c:pt idx="67">
                  <c:v>42931</c:v>
                </c:pt>
                <c:pt idx="68">
                  <c:v>42962</c:v>
                </c:pt>
                <c:pt idx="69">
                  <c:v>42993</c:v>
                </c:pt>
                <c:pt idx="70">
                  <c:v>43023</c:v>
                </c:pt>
                <c:pt idx="71">
                  <c:v>43054</c:v>
                </c:pt>
                <c:pt idx="72">
                  <c:v>43084</c:v>
                </c:pt>
                <c:pt idx="73">
                  <c:v>43115</c:v>
                </c:pt>
                <c:pt idx="74">
                  <c:v>43146</c:v>
                </c:pt>
                <c:pt idx="75">
                  <c:v>43174</c:v>
                </c:pt>
                <c:pt idx="76">
                  <c:v>43205</c:v>
                </c:pt>
                <c:pt idx="77">
                  <c:v>43235</c:v>
                </c:pt>
                <c:pt idx="78">
                  <c:v>43266</c:v>
                </c:pt>
                <c:pt idx="79">
                  <c:v>43296</c:v>
                </c:pt>
                <c:pt idx="80">
                  <c:v>43327</c:v>
                </c:pt>
                <c:pt idx="81">
                  <c:v>43358</c:v>
                </c:pt>
                <c:pt idx="82">
                  <c:v>43388</c:v>
                </c:pt>
                <c:pt idx="83">
                  <c:v>43419</c:v>
                </c:pt>
                <c:pt idx="84">
                  <c:v>43449</c:v>
                </c:pt>
                <c:pt idx="85">
                  <c:v>43480</c:v>
                </c:pt>
                <c:pt idx="86">
                  <c:v>43511</c:v>
                </c:pt>
                <c:pt idx="87">
                  <c:v>43539</c:v>
                </c:pt>
              </c:numCache>
            </c:numRef>
          </c:cat>
          <c:val>
            <c:numRef>
              <c:f>まとめ!$U$32:$U$119</c:f>
              <c:numCache>
                <c:formatCode>0.0</c:formatCode>
                <c:ptCount val="88"/>
                <c:pt idx="4" formatCode="0">
                  <c:v>2058.9169634842506</c:v>
                </c:pt>
                <c:pt idx="5" formatCode="0">
                  <c:v>2937.4781190559966</c:v>
                </c:pt>
                <c:pt idx="6" formatCode="0">
                  <c:v>2997.9435737124286</c:v>
                </c:pt>
                <c:pt idx="7" formatCode="0">
                  <c:v>2702.4550415009103</c:v>
                </c:pt>
                <c:pt idx="8" formatCode="0">
                  <c:v>2221.3692695049617</c:v>
                </c:pt>
                <c:pt idx="9" formatCode="0">
                  <c:v>1962.4435148958266</c:v>
                </c:pt>
                <c:pt idx="10" formatCode="0">
                  <c:v>1721.836100976318</c:v>
                </c:pt>
                <c:pt idx="11" formatCode="0">
                  <c:v>1365.982022399402</c:v>
                </c:pt>
                <c:pt idx="12" formatCode="0">
                  <c:v>961.06770327142988</c:v>
                </c:pt>
                <c:pt idx="13" formatCode="0">
                  <c:v>826.29176320063868</c:v>
                </c:pt>
                <c:pt idx="14" formatCode="0">
                  <c:v>718.74324897244105</c:v>
                </c:pt>
                <c:pt idx="15" formatCode="0">
                  <c:v>639.70834968187569</c:v>
                </c:pt>
                <c:pt idx="16" formatCode="0">
                  <c:v>1044.1620777680398</c:v>
                </c:pt>
                <c:pt idx="17" formatCode="0">
                  <c:v>1502.5252914699106</c:v>
                </c:pt>
                <c:pt idx="18" formatCode="0">
                  <c:v>1547.193675495017</c:v>
                </c:pt>
                <c:pt idx="19" formatCode="0">
                  <c:v>1407.3384786343363</c:v>
                </c:pt>
                <c:pt idx="20" formatCode="0">
                  <c:v>1167.7858001924803</c:v>
                </c:pt>
                <c:pt idx="21" formatCode="0">
                  <c:v>1041.7042113491109</c:v>
                </c:pt>
                <c:pt idx="22" formatCode="0">
                  <c:v>922.97676140260842</c:v>
                </c:pt>
                <c:pt idx="23" formatCode="0">
                  <c:v>739.81235628963975</c:v>
                </c:pt>
                <c:pt idx="24" formatCode="0">
                  <c:v>525.80775692190537</c:v>
                </c:pt>
                <c:pt idx="25" formatCode="0">
                  <c:v>457.08428991945988</c:v>
                </c:pt>
                <c:pt idx="26" formatCode="0">
                  <c:v>402.03370379045469</c:v>
                </c:pt>
                <c:pt idx="27" formatCode="0">
                  <c:v>341.01842302801418</c:v>
                </c:pt>
                <c:pt idx="28" formatCode="0">
                  <c:v>597.08075703338568</c:v>
                </c:pt>
                <c:pt idx="29" formatCode="0">
                  <c:v>868.88795984862884</c:v>
                </c:pt>
                <c:pt idx="30" formatCode="0">
                  <c:v>905.5609157197232</c:v>
                </c:pt>
                <c:pt idx="31" formatCode="0">
                  <c:v>833.39074465387296</c:v>
                </c:pt>
                <c:pt idx="32" formatCode="0">
                  <c:v>700.24986706964194</c:v>
                </c:pt>
                <c:pt idx="33" formatCode="0">
                  <c:v>632.45606277529839</c:v>
                </c:pt>
                <c:pt idx="34" formatCode="0">
                  <c:v>567.26617537484549</c:v>
                </c:pt>
                <c:pt idx="35" formatCode="0">
                  <c:v>460.56825429297089</c:v>
                </c:pt>
                <c:pt idx="36" formatCode="0">
                  <c:v>331.44436245390136</c:v>
                </c:pt>
                <c:pt idx="37" formatCode="0">
                  <c:v>291.90128664228155</c:v>
                </c:pt>
                <c:pt idx="38" formatCode="0">
                  <c:v>260.10187559014832</c:v>
                </c:pt>
                <c:pt idx="39" formatCode="0">
                  <c:v>223.22383941819351</c:v>
                </c:pt>
                <c:pt idx="40" formatCode="0">
                  <c:v>395.94505287479228</c:v>
                </c:pt>
                <c:pt idx="41" formatCode="0">
                  <c:v>583.55130068549556</c:v>
                </c:pt>
                <c:pt idx="42" formatCode="0">
                  <c:v>616.13895530924412</c:v>
                </c:pt>
                <c:pt idx="43" formatCode="0">
                  <c:v>574.12752170461431</c:v>
                </c:pt>
                <c:pt idx="44" formatCode="0">
                  <c:v>488.67408694498079</c:v>
                </c:pt>
                <c:pt idx="45" formatCode="0">
                  <c:v>447.05645198732878</c:v>
                </c:pt>
                <c:pt idx="46" formatCode="0">
                  <c:v>405.85829954064894</c:v>
                </c:pt>
                <c:pt idx="47" formatCode="0">
                  <c:v>333.61880954606818</c:v>
                </c:pt>
                <c:pt idx="48" formatCode="0">
                  <c:v>242.98389439310986</c:v>
                </c:pt>
                <c:pt idx="49" formatCode="0">
                  <c:v>216.570511474916</c:v>
                </c:pt>
                <c:pt idx="50" formatCode="0">
                  <c:v>195.24175544091884</c:v>
                </c:pt>
                <c:pt idx="51" formatCode="0">
                  <c:v>169.29110767498551</c:v>
                </c:pt>
                <c:pt idx="52" formatCode="0">
                  <c:v>303.76122187962005</c:v>
                </c:pt>
                <c:pt idx="53" formatCode="0">
                  <c:v>452.54472029720483</c:v>
                </c:pt>
                <c:pt idx="54" formatCode="0">
                  <c:v>482.99449514816536</c:v>
                </c:pt>
                <c:pt idx="55" formatCode="0">
                  <c:v>454.78514079699966</c:v>
                </c:pt>
                <c:pt idx="56" formatCode="0">
                  <c:v>391.08932039934206</c:v>
                </c:pt>
                <c:pt idx="57" formatCode="0">
                  <c:v>361.46173862784741</c:v>
                </c:pt>
                <c:pt idx="58" formatCode="0">
                  <c:v>331.24864660317382</c:v>
                </c:pt>
                <c:pt idx="59" formatCode="0">
                  <c:v>274.90734260967014</c:v>
                </c:pt>
                <c:pt idx="60" formatCode="0">
                  <c:v>201.9672177766592</c:v>
                </c:pt>
                <c:pt idx="61" formatCode="0">
                  <c:v>181.61010599785527</c:v>
                </c:pt>
                <c:pt idx="62" formatCode="0">
                  <c:v>165.15666180935673</c:v>
                </c:pt>
                <c:pt idx="63" formatCode="0">
                  <c:v>144.32228555734335</c:v>
                </c:pt>
                <c:pt idx="64">
                  <c:v>261</c:v>
                </c:pt>
                <c:pt idx="65">
                  <c:v>242</c:v>
                </c:pt>
                <c:pt idx="66">
                  <c:v>211</c:v>
                </c:pt>
                <c:pt idx="67">
                  <c:v>200</c:v>
                </c:pt>
                <c:pt idx="68">
                  <c:v>134</c:v>
                </c:pt>
                <c:pt idx="69">
                  <c:v>220</c:v>
                </c:pt>
                <c:pt idx="70">
                  <c:v>150</c:v>
                </c:pt>
                <c:pt idx="71">
                  <c:v>130</c:v>
                </c:pt>
                <c:pt idx="72">
                  <c:v>110</c:v>
                </c:pt>
                <c:pt idx="73">
                  <c:v>52</c:v>
                </c:pt>
                <c:pt idx="74">
                  <c:v>43</c:v>
                </c:pt>
                <c:pt idx="75">
                  <c:v>50</c:v>
                </c:pt>
                <c:pt idx="76">
                  <c:v>150</c:v>
                </c:pt>
                <c:pt idx="77">
                  <c:v>250</c:v>
                </c:pt>
                <c:pt idx="78">
                  <c:v>294</c:v>
                </c:pt>
                <c:pt idx="79">
                  <c:v>200</c:v>
                </c:pt>
                <c:pt idx="80">
                  <c:v>160</c:v>
                </c:pt>
                <c:pt idx="81">
                  <c:v>120</c:v>
                </c:pt>
                <c:pt idx="82">
                  <c:v>190</c:v>
                </c:pt>
                <c:pt idx="83">
                  <c:v>150</c:v>
                </c:pt>
                <c:pt idx="84">
                  <c:v>140</c:v>
                </c:pt>
                <c:pt idx="85">
                  <c:v>66</c:v>
                </c:pt>
                <c:pt idx="86">
                  <c:v>93</c:v>
                </c:pt>
                <c:pt idx="87">
                  <c:v>110</c:v>
                </c:pt>
              </c:numCache>
            </c:numRef>
          </c:val>
          <c:smooth val="0"/>
        </c:ser>
        <c:ser>
          <c:idx val="11"/>
          <c:order val="1"/>
          <c:tx>
            <c:strRef>
              <c:f>まとめ!$S$30:$S$31</c:f>
              <c:strCache>
                <c:ptCount val="1"/>
                <c:pt idx="0">
                  <c:v>ぱいじん(飛灰) Cs134</c:v>
                </c:pt>
              </c:strCache>
            </c:strRef>
          </c:tx>
          <c:spPr>
            <a:ln w="12700">
              <a:solidFill>
                <a:srgbClr val="FF0000"/>
              </a:solidFill>
              <a:prstDash val="solid"/>
            </a:ln>
          </c:spPr>
          <c:marker>
            <c:symbol val="square"/>
            <c:size val="5"/>
            <c:spPr>
              <a:solidFill>
                <a:sysClr val="window" lastClr="FFFFFF"/>
              </a:solidFill>
              <a:ln>
                <a:solidFill>
                  <a:srgbClr val="FF0000"/>
                </a:solidFill>
                <a:prstDash val="solid"/>
              </a:ln>
            </c:spPr>
          </c:marker>
          <c:cat>
            <c:numRef>
              <c:f>まとめ!$R$32:$R$119</c:f>
              <c:numCache>
                <c:formatCode>[$-411]ge\.m</c:formatCode>
                <c:ptCount val="88"/>
                <c:pt idx="0">
                  <c:v>40614</c:v>
                </c:pt>
                <c:pt idx="1">
                  <c:v>40923</c:v>
                </c:pt>
                <c:pt idx="2">
                  <c:v>40954</c:v>
                </c:pt>
                <c:pt idx="3">
                  <c:v>40983</c:v>
                </c:pt>
                <c:pt idx="4">
                  <c:v>41014</c:v>
                </c:pt>
                <c:pt idx="5">
                  <c:v>41044</c:v>
                </c:pt>
                <c:pt idx="6">
                  <c:v>41075</c:v>
                </c:pt>
                <c:pt idx="7">
                  <c:v>41105</c:v>
                </c:pt>
                <c:pt idx="8">
                  <c:v>41136</c:v>
                </c:pt>
                <c:pt idx="9">
                  <c:v>41167</c:v>
                </c:pt>
                <c:pt idx="10">
                  <c:v>41197</c:v>
                </c:pt>
                <c:pt idx="11">
                  <c:v>41228</c:v>
                </c:pt>
                <c:pt idx="12">
                  <c:v>41258</c:v>
                </c:pt>
                <c:pt idx="13">
                  <c:v>41289</c:v>
                </c:pt>
                <c:pt idx="14">
                  <c:v>41320</c:v>
                </c:pt>
                <c:pt idx="15">
                  <c:v>41348</c:v>
                </c:pt>
                <c:pt idx="16">
                  <c:v>41379</c:v>
                </c:pt>
                <c:pt idx="17">
                  <c:v>41409</c:v>
                </c:pt>
                <c:pt idx="18">
                  <c:v>41440</c:v>
                </c:pt>
                <c:pt idx="19">
                  <c:v>41470</c:v>
                </c:pt>
                <c:pt idx="20">
                  <c:v>41501</c:v>
                </c:pt>
                <c:pt idx="21">
                  <c:v>41532</c:v>
                </c:pt>
                <c:pt idx="22">
                  <c:v>41562</c:v>
                </c:pt>
                <c:pt idx="23">
                  <c:v>41593</c:v>
                </c:pt>
                <c:pt idx="24">
                  <c:v>41623</c:v>
                </c:pt>
                <c:pt idx="25">
                  <c:v>41654</c:v>
                </c:pt>
                <c:pt idx="26">
                  <c:v>41685</c:v>
                </c:pt>
                <c:pt idx="27">
                  <c:v>41713</c:v>
                </c:pt>
                <c:pt idx="28">
                  <c:v>41744</c:v>
                </c:pt>
                <c:pt idx="29">
                  <c:v>41774</c:v>
                </c:pt>
                <c:pt idx="30">
                  <c:v>41805</c:v>
                </c:pt>
                <c:pt idx="31">
                  <c:v>41835</c:v>
                </c:pt>
                <c:pt idx="32">
                  <c:v>41866</c:v>
                </c:pt>
                <c:pt idx="33">
                  <c:v>41897</c:v>
                </c:pt>
                <c:pt idx="34">
                  <c:v>41927</c:v>
                </c:pt>
                <c:pt idx="35">
                  <c:v>41958</c:v>
                </c:pt>
                <c:pt idx="36">
                  <c:v>41988</c:v>
                </c:pt>
                <c:pt idx="37">
                  <c:v>42019</c:v>
                </c:pt>
                <c:pt idx="38">
                  <c:v>42050</c:v>
                </c:pt>
                <c:pt idx="39">
                  <c:v>42078</c:v>
                </c:pt>
                <c:pt idx="40">
                  <c:v>42109</c:v>
                </c:pt>
                <c:pt idx="41">
                  <c:v>42139</c:v>
                </c:pt>
                <c:pt idx="42">
                  <c:v>42170</c:v>
                </c:pt>
                <c:pt idx="43">
                  <c:v>42200</c:v>
                </c:pt>
                <c:pt idx="44">
                  <c:v>42231</c:v>
                </c:pt>
                <c:pt idx="45">
                  <c:v>42262</c:v>
                </c:pt>
                <c:pt idx="46">
                  <c:v>42292</c:v>
                </c:pt>
                <c:pt idx="47">
                  <c:v>42323</c:v>
                </c:pt>
                <c:pt idx="48">
                  <c:v>42353</c:v>
                </c:pt>
                <c:pt idx="49">
                  <c:v>42384</c:v>
                </c:pt>
                <c:pt idx="50">
                  <c:v>42415</c:v>
                </c:pt>
                <c:pt idx="51">
                  <c:v>42444</c:v>
                </c:pt>
                <c:pt idx="52">
                  <c:v>42475</c:v>
                </c:pt>
                <c:pt idx="53">
                  <c:v>42505</c:v>
                </c:pt>
                <c:pt idx="54">
                  <c:v>42536</c:v>
                </c:pt>
                <c:pt idx="55">
                  <c:v>42566</c:v>
                </c:pt>
                <c:pt idx="56">
                  <c:v>42597</c:v>
                </c:pt>
                <c:pt idx="57">
                  <c:v>42628</c:v>
                </c:pt>
                <c:pt idx="58">
                  <c:v>42658</c:v>
                </c:pt>
                <c:pt idx="59">
                  <c:v>42689</c:v>
                </c:pt>
                <c:pt idx="60">
                  <c:v>42719</c:v>
                </c:pt>
                <c:pt idx="61">
                  <c:v>42750</c:v>
                </c:pt>
                <c:pt idx="62">
                  <c:v>42781</c:v>
                </c:pt>
                <c:pt idx="63">
                  <c:v>42809</c:v>
                </c:pt>
                <c:pt idx="64">
                  <c:v>42840</c:v>
                </c:pt>
                <c:pt idx="65">
                  <c:v>42870</c:v>
                </c:pt>
                <c:pt idx="66">
                  <c:v>42901</c:v>
                </c:pt>
                <c:pt idx="67">
                  <c:v>42931</c:v>
                </c:pt>
                <c:pt idx="68">
                  <c:v>42962</c:v>
                </c:pt>
                <c:pt idx="69">
                  <c:v>42993</c:v>
                </c:pt>
                <c:pt idx="70">
                  <c:v>43023</c:v>
                </c:pt>
                <c:pt idx="71">
                  <c:v>43054</c:v>
                </c:pt>
                <c:pt idx="72">
                  <c:v>43084</c:v>
                </c:pt>
                <c:pt idx="73">
                  <c:v>43115</c:v>
                </c:pt>
                <c:pt idx="74">
                  <c:v>43146</c:v>
                </c:pt>
                <c:pt idx="75">
                  <c:v>43174</c:v>
                </c:pt>
                <c:pt idx="76">
                  <c:v>43205</c:v>
                </c:pt>
                <c:pt idx="77">
                  <c:v>43235</c:v>
                </c:pt>
                <c:pt idx="78">
                  <c:v>43266</c:v>
                </c:pt>
                <c:pt idx="79">
                  <c:v>43296</c:v>
                </c:pt>
                <c:pt idx="80">
                  <c:v>43327</c:v>
                </c:pt>
                <c:pt idx="81">
                  <c:v>43358</c:v>
                </c:pt>
                <c:pt idx="82">
                  <c:v>43388</c:v>
                </c:pt>
                <c:pt idx="83">
                  <c:v>43419</c:v>
                </c:pt>
                <c:pt idx="84">
                  <c:v>43449</c:v>
                </c:pt>
                <c:pt idx="85">
                  <c:v>43480</c:v>
                </c:pt>
                <c:pt idx="86">
                  <c:v>43511</c:v>
                </c:pt>
                <c:pt idx="87">
                  <c:v>43539</c:v>
                </c:pt>
              </c:numCache>
            </c:numRef>
          </c:cat>
          <c:val>
            <c:numRef>
              <c:f>まとめ!$S$32:$S$119</c:f>
              <c:numCache>
                <c:formatCode>0.0</c:formatCode>
                <c:ptCount val="88"/>
                <c:pt idx="4" formatCode="0">
                  <c:v>820.11743767305529</c:v>
                </c:pt>
                <c:pt idx="5" formatCode="0">
                  <c:v>1150.405431522483</c:v>
                </c:pt>
                <c:pt idx="6" formatCode="0">
                  <c:v>1153.3028887868618</c:v>
                </c:pt>
                <c:pt idx="7" formatCode="0">
                  <c:v>1021.4815306538138</c:v>
                </c:pt>
                <c:pt idx="8" formatCode="0">
                  <c:v>824.27826229361176</c:v>
                </c:pt>
                <c:pt idx="9" formatCode="0">
                  <c:v>714.6626690515709</c:v>
                </c:pt>
                <c:pt idx="10" formatCode="0">
                  <c:v>615.61690290138267</c:v>
                </c:pt>
                <c:pt idx="11" formatCode="0">
                  <c:v>479.08365569773616</c:v>
                </c:pt>
                <c:pt idx="12" formatCode="0">
                  <c:v>330.75921325914021</c:v>
                </c:pt>
                <c:pt idx="13" formatCode="0">
                  <c:v>278.81727771692078</c:v>
                </c:pt>
                <c:pt idx="14" formatCode="0">
                  <c:v>237.72254171187575</c:v>
                </c:pt>
                <c:pt idx="15" formatCode="0">
                  <c:v>207.77747493928135</c:v>
                </c:pt>
                <c:pt idx="16" formatCode="0">
                  <c:v>332.33477303635777</c:v>
                </c:pt>
                <c:pt idx="17" formatCode="0">
                  <c:v>468.8355863829587</c:v>
                </c:pt>
                <c:pt idx="18" formatCode="0">
                  <c:v>472.88769550522716</c:v>
                </c:pt>
                <c:pt idx="19" formatCode="0">
                  <c:v>421.52984438315957</c:v>
                </c:pt>
                <c:pt idx="20" formatCode="0">
                  <c:v>342.51330498594962</c:v>
                </c:pt>
                <c:pt idx="21" formatCode="0">
                  <c:v>299.19023918832409</c:v>
                </c:pt>
                <c:pt idx="22" formatCode="0">
                  <c:v>259.71723958982136</c:v>
                </c:pt>
                <c:pt idx="23" formatCode="0">
                  <c:v>203.83660271954565</c:v>
                </c:pt>
                <c:pt idx="24" formatCode="0">
                  <c:v>141.94293380611049</c:v>
                </c:pt>
                <c:pt idx="25" formatCode="0">
                  <c:v>120.81155638249923</c:v>
                </c:pt>
                <c:pt idx="26" formatCode="0">
                  <c:v>104.05132524684083</c:v>
                </c:pt>
                <c:pt idx="27" formatCode="0">
                  <c:v>86.612495619028877</c:v>
                </c:pt>
                <c:pt idx="28" formatCode="0">
                  <c:v>148.54876915809166</c:v>
                </c:pt>
                <c:pt idx="29" formatCode="0">
                  <c:v>211.92985210281537</c:v>
                </c:pt>
                <c:pt idx="30" formatCode="0">
                  <c:v>216.45475508255231</c:v>
                </c:pt>
                <c:pt idx="31" formatCode="0">
                  <c:v>195.38380977236613</c:v>
                </c:pt>
                <c:pt idx="32" formatCode="0">
                  <c:v>160.9546326861703</c:v>
                </c:pt>
                <c:pt idx="33" formatCode="0">
                  <c:v>142.59607099913592</c:v>
                </c:pt>
                <c:pt idx="34" formatCode="0">
                  <c:v>125.57446176196216</c:v>
                </c:pt>
                <c:pt idx="35" formatCode="0">
                  <c:v>100.08767330354843</c:v>
                </c:pt>
                <c:pt idx="36">
                  <c:v>70.781485073135187</c:v>
                </c:pt>
                <c:pt idx="37">
                  <c:v>61.255653288392807</c:v>
                </c:pt>
                <c:pt idx="38">
                  <c:v>53.665360745183939</c:v>
                </c:pt>
                <c:pt idx="39">
                  <c:v>45.382872399120323</c:v>
                </c:pt>
                <c:pt idx="40">
                  <c:v>79.242054856872386</c:v>
                </c:pt>
                <c:pt idx="41">
                  <c:v>115.09048391633715</c:v>
                </c:pt>
                <c:pt idx="42">
                  <c:v>119.78130670989609</c:v>
                </c:pt>
                <c:pt idx="43">
                  <c:v>110.1256094643276</c:v>
                </c:pt>
                <c:pt idx="44">
                  <c:v>92.502200064553179</c:v>
                </c:pt>
                <c:pt idx="45">
                  <c:v>83.574173399147043</c:v>
                </c:pt>
                <c:pt idx="46">
                  <c:v>75.011173973049964</c:v>
                </c:pt>
                <c:pt idx="47">
                  <c:v>60.976320297337431</c:v>
                </c:pt>
                <c:pt idx="48">
                  <c:v>43.961513294141838</c:v>
                </c:pt>
                <c:pt idx="49">
                  <c:v>38.80124732541654</c:v>
                </c:pt>
                <c:pt idx="50">
                  <c:v>34.663732337602291</c:v>
                </c:pt>
                <c:pt idx="51">
                  <c:v>29.815737974936184</c:v>
                </c:pt>
                <c:pt idx="52">
                  <c:v>53.08702648664643</c:v>
                </c:pt>
                <c:pt idx="53">
                  <c:v>78.54561281141217</c:v>
                </c:pt>
                <c:pt idx="54">
                  <c:v>83.274354020429556</c:v>
                </c:pt>
                <c:pt idx="55">
                  <c:v>77.94819268383911</c:v>
                </c:pt>
                <c:pt idx="56">
                  <c:v>66.658469701450215</c:v>
                </c:pt>
                <c:pt idx="57">
                  <c:v>61.291326491158962</c:v>
                </c:pt>
                <c:pt idx="58">
                  <c:v>55.921942057316329</c:v>
                </c:pt>
                <c:pt idx="59">
                  <c:v>46.218006295847474</c:v>
                </c:pt>
                <c:pt idx="60">
                  <c:v>33.83820348049607</c:v>
                </c:pt>
                <c:pt idx="61">
                  <c:v>30.325614868536796</c:v>
                </c:pt>
                <c:pt idx="62">
                  <c:v>27.497389151420442</c:v>
                </c:pt>
                <c:pt idx="63">
                  <c:v>23.973358517577946</c:v>
                </c:pt>
                <c:pt idx="64">
                  <c:v>43.265636515232146</c:v>
                </c:pt>
                <c:pt idx="65">
                  <c:v>40.046641137499208</c:v>
                </c:pt>
                <c:pt idx="66">
                  <c:v>34.857453572874874</c:v>
                </c:pt>
                <c:pt idx="67">
                  <c:v>32.99528119126186</c:v>
                </c:pt>
                <c:pt idx="68">
                  <c:v>22.081310671377384</c:v>
                </c:pt>
                <c:pt idx="69">
                  <c:v>36.220272263249825</c:v>
                </c:pt>
                <c:pt idx="70">
                  <c:v>24.676462884444419</c:v>
                </c:pt>
                <c:pt idx="71">
                  <c:v>21.374468666793014</c:v>
                </c:pt>
                <c:pt idx="72">
                  <c:v>18.07919789878007</c:v>
                </c:pt>
                <c:pt idx="73">
                  <c:v>8.542618790942079</c:v>
                </c:pt>
                <c:pt idx="74">
                  <c:v>7.0624597773644151</c:v>
                </c:pt>
                <c:pt idx="75">
                  <c:v>8.2120466627521918</c:v>
                </c:pt>
                <c:pt idx="76">
                  <c:v>24.641952989991758</c:v>
                </c:pt>
                <c:pt idx="77">
                  <c:v>41.08060963591327</c:v>
                </c:pt>
                <c:pt idx="78">
                  <c:v>48.331135379398233</c:v>
                </c:pt>
                <c:pt idx="79">
                  <c:v>32.882435282396905</c:v>
                </c:pt>
                <c:pt idx="80">
                  <c:v>26.314605248634724</c:v>
                </c:pt>
                <c:pt idx="81">
                  <c:v>19.742654547315738</c:v>
                </c:pt>
                <c:pt idx="82">
                  <c:v>31.270652521998649</c:v>
                </c:pt>
                <c:pt idx="83">
                  <c:v>24.698891053380031</c:v>
                </c:pt>
                <c:pt idx="84">
                  <c:v>23.07018447733083</c:v>
                </c:pt>
                <c:pt idx="85">
                  <c:v>10.882976823032784</c:v>
                </c:pt>
                <c:pt idx="86">
                  <c:v>15.343452169711846</c:v>
                </c:pt>
                <c:pt idx="87">
                  <c:v>18.159812965674551</c:v>
                </c:pt>
              </c:numCache>
            </c:numRef>
          </c:val>
          <c:smooth val="0"/>
        </c:ser>
        <c:ser>
          <c:idx val="1"/>
          <c:order val="2"/>
          <c:tx>
            <c:strRef>
              <c:f>まとめ!$T$30:$T$31</c:f>
              <c:strCache>
                <c:ptCount val="1"/>
                <c:pt idx="0">
                  <c:v>ぱいじん(飛灰) Cs137</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numRef>
              <c:f>まとめ!$R$32:$R$119</c:f>
              <c:numCache>
                <c:formatCode>[$-411]ge\.m</c:formatCode>
                <c:ptCount val="88"/>
                <c:pt idx="0">
                  <c:v>40614</c:v>
                </c:pt>
                <c:pt idx="1">
                  <c:v>40923</c:v>
                </c:pt>
                <c:pt idx="2">
                  <c:v>40954</c:v>
                </c:pt>
                <c:pt idx="3">
                  <c:v>40983</c:v>
                </c:pt>
                <c:pt idx="4">
                  <c:v>41014</c:v>
                </c:pt>
                <c:pt idx="5">
                  <c:v>41044</c:v>
                </c:pt>
                <c:pt idx="6">
                  <c:v>41075</c:v>
                </c:pt>
                <c:pt idx="7">
                  <c:v>41105</c:v>
                </c:pt>
                <c:pt idx="8">
                  <c:v>41136</c:v>
                </c:pt>
                <c:pt idx="9">
                  <c:v>41167</c:v>
                </c:pt>
                <c:pt idx="10">
                  <c:v>41197</c:v>
                </c:pt>
                <c:pt idx="11">
                  <c:v>41228</c:v>
                </c:pt>
                <c:pt idx="12">
                  <c:v>41258</c:v>
                </c:pt>
                <c:pt idx="13">
                  <c:v>41289</c:v>
                </c:pt>
                <c:pt idx="14">
                  <c:v>41320</c:v>
                </c:pt>
                <c:pt idx="15">
                  <c:v>41348</c:v>
                </c:pt>
                <c:pt idx="16">
                  <c:v>41379</c:v>
                </c:pt>
                <c:pt idx="17">
                  <c:v>41409</c:v>
                </c:pt>
                <c:pt idx="18">
                  <c:v>41440</c:v>
                </c:pt>
                <c:pt idx="19">
                  <c:v>41470</c:v>
                </c:pt>
                <c:pt idx="20">
                  <c:v>41501</c:v>
                </c:pt>
                <c:pt idx="21">
                  <c:v>41532</c:v>
                </c:pt>
                <c:pt idx="22">
                  <c:v>41562</c:v>
                </c:pt>
                <c:pt idx="23">
                  <c:v>41593</c:v>
                </c:pt>
                <c:pt idx="24">
                  <c:v>41623</c:v>
                </c:pt>
                <c:pt idx="25">
                  <c:v>41654</c:v>
                </c:pt>
                <c:pt idx="26">
                  <c:v>41685</c:v>
                </c:pt>
                <c:pt idx="27">
                  <c:v>41713</c:v>
                </c:pt>
                <c:pt idx="28">
                  <c:v>41744</c:v>
                </c:pt>
                <c:pt idx="29">
                  <c:v>41774</c:v>
                </c:pt>
                <c:pt idx="30">
                  <c:v>41805</c:v>
                </c:pt>
                <c:pt idx="31">
                  <c:v>41835</c:v>
                </c:pt>
                <c:pt idx="32">
                  <c:v>41866</c:v>
                </c:pt>
                <c:pt idx="33">
                  <c:v>41897</c:v>
                </c:pt>
                <c:pt idx="34">
                  <c:v>41927</c:v>
                </c:pt>
                <c:pt idx="35">
                  <c:v>41958</c:v>
                </c:pt>
                <c:pt idx="36">
                  <c:v>41988</c:v>
                </c:pt>
                <c:pt idx="37">
                  <c:v>42019</c:v>
                </c:pt>
                <c:pt idx="38">
                  <c:v>42050</c:v>
                </c:pt>
                <c:pt idx="39">
                  <c:v>42078</c:v>
                </c:pt>
                <c:pt idx="40">
                  <c:v>42109</c:v>
                </c:pt>
                <c:pt idx="41">
                  <c:v>42139</c:v>
                </c:pt>
                <c:pt idx="42">
                  <c:v>42170</c:v>
                </c:pt>
                <c:pt idx="43">
                  <c:v>42200</c:v>
                </c:pt>
                <c:pt idx="44">
                  <c:v>42231</c:v>
                </c:pt>
                <c:pt idx="45">
                  <c:v>42262</c:v>
                </c:pt>
                <c:pt idx="46">
                  <c:v>42292</c:v>
                </c:pt>
                <c:pt idx="47">
                  <c:v>42323</c:v>
                </c:pt>
                <c:pt idx="48">
                  <c:v>42353</c:v>
                </c:pt>
                <c:pt idx="49">
                  <c:v>42384</c:v>
                </c:pt>
                <c:pt idx="50">
                  <c:v>42415</c:v>
                </c:pt>
                <c:pt idx="51">
                  <c:v>42444</c:v>
                </c:pt>
                <c:pt idx="52">
                  <c:v>42475</c:v>
                </c:pt>
                <c:pt idx="53">
                  <c:v>42505</c:v>
                </c:pt>
                <c:pt idx="54">
                  <c:v>42536</c:v>
                </c:pt>
                <c:pt idx="55">
                  <c:v>42566</c:v>
                </c:pt>
                <c:pt idx="56">
                  <c:v>42597</c:v>
                </c:pt>
                <c:pt idx="57">
                  <c:v>42628</c:v>
                </c:pt>
                <c:pt idx="58">
                  <c:v>42658</c:v>
                </c:pt>
                <c:pt idx="59">
                  <c:v>42689</c:v>
                </c:pt>
                <c:pt idx="60">
                  <c:v>42719</c:v>
                </c:pt>
                <c:pt idx="61">
                  <c:v>42750</c:v>
                </c:pt>
                <c:pt idx="62">
                  <c:v>42781</c:v>
                </c:pt>
                <c:pt idx="63">
                  <c:v>42809</c:v>
                </c:pt>
                <c:pt idx="64">
                  <c:v>42840</c:v>
                </c:pt>
                <c:pt idx="65">
                  <c:v>42870</c:v>
                </c:pt>
                <c:pt idx="66">
                  <c:v>42901</c:v>
                </c:pt>
                <c:pt idx="67">
                  <c:v>42931</c:v>
                </c:pt>
                <c:pt idx="68">
                  <c:v>42962</c:v>
                </c:pt>
                <c:pt idx="69">
                  <c:v>42993</c:v>
                </c:pt>
                <c:pt idx="70">
                  <c:v>43023</c:v>
                </c:pt>
                <c:pt idx="71">
                  <c:v>43054</c:v>
                </c:pt>
                <c:pt idx="72">
                  <c:v>43084</c:v>
                </c:pt>
                <c:pt idx="73">
                  <c:v>43115</c:v>
                </c:pt>
                <c:pt idx="74">
                  <c:v>43146</c:v>
                </c:pt>
                <c:pt idx="75">
                  <c:v>43174</c:v>
                </c:pt>
                <c:pt idx="76">
                  <c:v>43205</c:v>
                </c:pt>
                <c:pt idx="77">
                  <c:v>43235</c:v>
                </c:pt>
                <c:pt idx="78">
                  <c:v>43266</c:v>
                </c:pt>
                <c:pt idx="79">
                  <c:v>43296</c:v>
                </c:pt>
                <c:pt idx="80">
                  <c:v>43327</c:v>
                </c:pt>
                <c:pt idx="81">
                  <c:v>43358</c:v>
                </c:pt>
                <c:pt idx="82">
                  <c:v>43388</c:v>
                </c:pt>
                <c:pt idx="83">
                  <c:v>43419</c:v>
                </c:pt>
                <c:pt idx="84">
                  <c:v>43449</c:v>
                </c:pt>
                <c:pt idx="85">
                  <c:v>43480</c:v>
                </c:pt>
                <c:pt idx="86">
                  <c:v>43511</c:v>
                </c:pt>
                <c:pt idx="87">
                  <c:v>43539</c:v>
                </c:pt>
              </c:numCache>
            </c:numRef>
          </c:cat>
          <c:val>
            <c:numRef>
              <c:f>まとめ!$T$32:$T$119</c:f>
              <c:numCache>
                <c:formatCode>0.0</c:formatCode>
                <c:ptCount val="88"/>
                <c:pt idx="4" formatCode="0">
                  <c:v>1238.7995258111951</c:v>
                </c:pt>
                <c:pt idx="5" formatCode="0">
                  <c:v>1787.072687533514</c:v>
                </c:pt>
                <c:pt idx="6" formatCode="0">
                  <c:v>1844.6406849255666</c:v>
                </c:pt>
                <c:pt idx="7" formatCode="0">
                  <c:v>1680.9735108470966</c:v>
                </c:pt>
                <c:pt idx="8" formatCode="0">
                  <c:v>1397.0910072113497</c:v>
                </c:pt>
                <c:pt idx="9" formatCode="0">
                  <c:v>1247.780845844256</c:v>
                </c:pt>
                <c:pt idx="10" formatCode="0">
                  <c:v>1106.2191980749353</c:v>
                </c:pt>
                <c:pt idx="11" formatCode="0">
                  <c:v>886.89836670166596</c:v>
                </c:pt>
                <c:pt idx="12" formatCode="0">
                  <c:v>630.30849001228967</c:v>
                </c:pt>
                <c:pt idx="13" formatCode="0">
                  <c:v>547.47448548371779</c:v>
                </c:pt>
                <c:pt idx="14" formatCode="0">
                  <c:v>481.02070726056525</c:v>
                </c:pt>
                <c:pt idx="15" formatCode="0">
                  <c:v>431.93087474259437</c:v>
                </c:pt>
                <c:pt idx="16" formatCode="0">
                  <c:v>711.82730473168215</c:v>
                </c:pt>
                <c:pt idx="17" formatCode="0">
                  <c:v>1033.689705086952</c:v>
                </c:pt>
                <c:pt idx="18" formatCode="0">
                  <c:v>1074.3059799897899</c:v>
                </c:pt>
                <c:pt idx="19" formatCode="0">
                  <c:v>985.80863425117695</c:v>
                </c:pt>
                <c:pt idx="20" formatCode="0">
                  <c:v>825.27249520653072</c:v>
                </c:pt>
                <c:pt idx="21" formatCode="0">
                  <c:v>742.51397216078681</c:v>
                </c:pt>
                <c:pt idx="22" formatCode="0">
                  <c:v>663.25952181278706</c:v>
                </c:pt>
                <c:pt idx="23" formatCode="0">
                  <c:v>535.97575357009407</c:v>
                </c:pt>
                <c:pt idx="24" formatCode="0">
                  <c:v>383.86482311579488</c:v>
                </c:pt>
                <c:pt idx="25" formatCode="0">
                  <c:v>336.27273353696063</c:v>
                </c:pt>
                <c:pt idx="26" formatCode="0">
                  <c:v>297.98237854361383</c:v>
                </c:pt>
                <c:pt idx="27" formatCode="0">
                  <c:v>254.40592740898529</c:v>
                </c:pt>
                <c:pt idx="28" formatCode="0">
                  <c:v>448.53198787529402</c:v>
                </c:pt>
                <c:pt idx="29" formatCode="0">
                  <c:v>656.95810774581344</c:v>
                </c:pt>
                <c:pt idx="30" formatCode="0">
                  <c:v>689.10616063717089</c:v>
                </c:pt>
                <c:pt idx="31" formatCode="0">
                  <c:v>638.00693488150682</c:v>
                </c:pt>
                <c:pt idx="32" formatCode="0">
                  <c:v>539.29523438347167</c:v>
                </c:pt>
                <c:pt idx="33" formatCode="0">
                  <c:v>489.85999177616247</c:v>
                </c:pt>
                <c:pt idx="34" formatCode="0">
                  <c:v>441.69171361288335</c:v>
                </c:pt>
                <c:pt idx="35" formatCode="0">
                  <c:v>360.48058098942249</c:v>
                </c:pt>
                <c:pt idx="36" formatCode="0">
                  <c:v>260.66287738076613</c:v>
                </c:pt>
                <c:pt idx="37" formatCode="0">
                  <c:v>230.64563335388874</c:v>
                </c:pt>
                <c:pt idx="38" formatCode="0">
                  <c:v>206.43651484496436</c:v>
                </c:pt>
                <c:pt idx="39" formatCode="0">
                  <c:v>177.84096701907319</c:v>
                </c:pt>
                <c:pt idx="40" formatCode="0">
                  <c:v>316.70299801791992</c:v>
                </c:pt>
                <c:pt idx="41" formatCode="0">
                  <c:v>468.46081676915838</c:v>
                </c:pt>
                <c:pt idx="42" formatCode="0">
                  <c:v>496.35764859934801</c:v>
                </c:pt>
                <c:pt idx="43" formatCode="0">
                  <c:v>464.00191224028669</c:v>
                </c:pt>
                <c:pt idx="44" formatCode="0">
                  <c:v>396.17188688042756</c:v>
                </c:pt>
                <c:pt idx="45" formatCode="0">
                  <c:v>363.48227858818177</c:v>
                </c:pt>
                <c:pt idx="46" formatCode="0">
                  <c:v>330.84712556759894</c:v>
                </c:pt>
                <c:pt idx="47" formatCode="0">
                  <c:v>272.64248924873073</c:v>
                </c:pt>
                <c:pt idx="48" formatCode="0">
                  <c:v>199.02238109896805</c:v>
                </c:pt>
                <c:pt idx="49" formatCode="0">
                  <c:v>177.76926414949946</c:v>
                </c:pt>
                <c:pt idx="50" formatCode="0">
                  <c:v>160.57802310331655</c:v>
                </c:pt>
                <c:pt idx="51" formatCode="0">
                  <c:v>139.47536970004933</c:v>
                </c:pt>
                <c:pt idx="52" formatCode="0">
                  <c:v>250.67419539297364</c:v>
                </c:pt>
                <c:pt idx="53" formatCode="0">
                  <c:v>373.99910748579265</c:v>
                </c:pt>
                <c:pt idx="54" formatCode="0">
                  <c:v>399.72014112773581</c:v>
                </c:pt>
                <c:pt idx="55" formatCode="0">
                  <c:v>376.83694811316053</c:v>
                </c:pt>
                <c:pt idx="56" formatCode="0">
                  <c:v>324.4308506978918</c:v>
                </c:pt>
                <c:pt idx="57" formatCode="0">
                  <c:v>300.17041213668847</c:v>
                </c:pt>
                <c:pt idx="58" formatCode="0">
                  <c:v>275.32670454585752</c:v>
                </c:pt>
                <c:pt idx="59" formatCode="0">
                  <c:v>228.68933631382268</c:v>
                </c:pt>
                <c:pt idx="60" formatCode="0">
                  <c:v>168.12901429616312</c:v>
                </c:pt>
                <c:pt idx="61" formatCode="0">
                  <c:v>151.2844911293185</c:v>
                </c:pt>
                <c:pt idx="62" formatCode="0">
                  <c:v>137.6592726579363</c:v>
                </c:pt>
                <c:pt idx="63" formatCode="0">
                  <c:v>120.3489270397654</c:v>
                </c:pt>
                <c:pt idx="64">
                  <c:v>217.73436348476784</c:v>
                </c:pt>
                <c:pt idx="65">
                  <c:v>201.95335886250078</c:v>
                </c:pt>
                <c:pt idx="66">
                  <c:v>176.14254642712513</c:v>
                </c:pt>
                <c:pt idx="67">
                  <c:v>167.00471880873812</c:v>
                </c:pt>
                <c:pt idx="68">
                  <c:v>111.91868932862263</c:v>
                </c:pt>
                <c:pt idx="69">
                  <c:v>183.77972773675017</c:v>
                </c:pt>
                <c:pt idx="70">
                  <c:v>125.32353711555557</c:v>
                </c:pt>
                <c:pt idx="71">
                  <c:v>108.62553133320699</c:v>
                </c:pt>
                <c:pt idx="72">
                  <c:v>91.920802101219948</c:v>
                </c:pt>
                <c:pt idx="73">
                  <c:v>43.457381209057921</c:v>
                </c:pt>
                <c:pt idx="74">
                  <c:v>35.93754022263559</c:v>
                </c:pt>
                <c:pt idx="75">
                  <c:v>41.787953337247814</c:v>
                </c:pt>
                <c:pt idx="76">
                  <c:v>125.35804701000824</c:v>
                </c:pt>
                <c:pt idx="77">
                  <c:v>208.91939036408675</c:v>
                </c:pt>
                <c:pt idx="78">
                  <c:v>245.66886462060177</c:v>
                </c:pt>
                <c:pt idx="79">
                  <c:v>167.1175647176031</c:v>
                </c:pt>
                <c:pt idx="80">
                  <c:v>133.68539475136527</c:v>
                </c:pt>
                <c:pt idx="81">
                  <c:v>100.25734545268426</c:v>
                </c:pt>
                <c:pt idx="82">
                  <c:v>158.72934747800136</c:v>
                </c:pt>
                <c:pt idx="83">
                  <c:v>125.30110894661996</c:v>
                </c:pt>
                <c:pt idx="84">
                  <c:v>116.92981552266916</c:v>
                </c:pt>
                <c:pt idx="85">
                  <c:v>55.117023176967209</c:v>
                </c:pt>
                <c:pt idx="86">
                  <c:v>77.656547830288162</c:v>
                </c:pt>
                <c:pt idx="87">
                  <c:v>91.840187034325453</c:v>
                </c:pt>
              </c:numCache>
            </c:numRef>
          </c:val>
          <c:smooth val="0"/>
        </c:ser>
        <c:dLbls>
          <c:showLegendKey val="0"/>
          <c:showVal val="0"/>
          <c:showCatName val="0"/>
          <c:showSerName val="0"/>
          <c:showPercent val="0"/>
          <c:showBubbleSize val="0"/>
        </c:dLbls>
        <c:marker val="1"/>
        <c:smooth val="0"/>
        <c:axId val="269952128"/>
        <c:axId val="269959168"/>
      </c:lineChart>
      <c:dateAx>
        <c:axId val="269952128"/>
        <c:scaling>
          <c:orientation val="minMax"/>
        </c:scaling>
        <c:delete val="0"/>
        <c:axPos val="b"/>
        <c:majorGridlines>
          <c:spPr>
            <a:ln w="3175">
              <a:solidFill>
                <a:sysClr val="window" lastClr="FFFFFF">
                  <a:lumMod val="85000"/>
                </a:sysClr>
              </a:solid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69959168"/>
        <c:crossesAt val="1E-3"/>
        <c:auto val="0"/>
        <c:lblOffset val="100"/>
        <c:baseTimeUnit val="days"/>
        <c:majorUnit val="6"/>
        <c:majorTimeUnit val="months"/>
        <c:minorUnit val="2"/>
      </c:dateAx>
      <c:valAx>
        <c:axId val="269959168"/>
        <c:scaling>
          <c:orientation val="minMax"/>
        </c:scaling>
        <c:delete val="0"/>
        <c:axPos val="l"/>
        <c:majorGridlines>
          <c:spPr>
            <a:ln w="3175">
              <a:solidFill>
                <a:sysClr val="window" lastClr="FFFFFF">
                  <a:lumMod val="85000"/>
                </a:sysClr>
              </a:solidFill>
              <a:prstDash val="solid"/>
            </a:ln>
          </c:spPr>
        </c:majorGridlines>
        <c:title>
          <c:tx>
            <c:rich>
              <a:bodyPr rot="0" vert="horz"/>
              <a:lstStyle/>
              <a:p>
                <a:pPr>
                  <a:defRPr sz="900"/>
                </a:pPr>
                <a:r>
                  <a:rPr lang="en-US" altLang="ja-JP" sz="900">
                    <a:latin typeface="Meiryo UI" panose="020B0604030504040204" pitchFamily="50" charset="-128"/>
                    <a:ea typeface="Meiryo UI" panose="020B0604030504040204" pitchFamily="50" charset="-128"/>
                  </a:rPr>
                  <a:t>Bq/kg</a:t>
                </a:r>
                <a:endParaRPr lang="ja-JP" altLang="en-US" sz="900">
                  <a:latin typeface="Meiryo UI" panose="020B0604030504040204" pitchFamily="50" charset="-128"/>
                  <a:ea typeface="Meiryo UI" panose="020B0604030504040204" pitchFamily="50" charset="-128"/>
                </a:endParaRPr>
              </a:p>
            </c:rich>
          </c:tx>
          <c:layout>
            <c:manualLayout>
              <c:xMode val="edge"/>
              <c:yMode val="edge"/>
              <c:x val="1.0081913563071301E-2"/>
              <c:y val="0.455167362883311"/>
            </c:manualLayout>
          </c:layout>
          <c:overlay val="0"/>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69952128"/>
        <c:crosses val="autoZero"/>
        <c:crossBetween val="midCat"/>
      </c:valAx>
      <c:spPr>
        <a:solidFill>
          <a:srgbClr val="FFFFFF"/>
        </a:solidFill>
        <a:ln w="12700">
          <a:solidFill>
            <a:srgbClr val="808080"/>
          </a:solidFill>
          <a:prstDash val="solid"/>
        </a:ln>
      </c:spPr>
    </c:plotArea>
    <c:legend>
      <c:legendPos val="r"/>
      <c:layout>
        <c:manualLayout>
          <c:xMode val="edge"/>
          <c:yMode val="edge"/>
          <c:x val="0.40936746308773259"/>
          <c:y val="0.16817275747508306"/>
          <c:w val="0.50412840147558879"/>
          <c:h val="0.1660407565333403"/>
        </c:manualLayout>
      </c:layout>
      <c:overlay val="0"/>
      <c:spPr>
        <a:noFill/>
      </c:spPr>
      <c:txPr>
        <a:bodyPr/>
        <a:lstStyle/>
        <a:p>
          <a:pPr>
            <a:defRPr sz="1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sz="1200"/>
              <a:t>焼却灰</a:t>
            </a:r>
            <a:r>
              <a:rPr lang="en-US" altLang="ja-JP" sz="1200"/>
              <a:t>(</a:t>
            </a:r>
            <a:r>
              <a:rPr lang="ja-JP" altLang="en-US" sz="1200"/>
              <a:t>主灰</a:t>
            </a:r>
            <a:r>
              <a:rPr lang="en-US" altLang="ja-JP" sz="1200"/>
              <a:t>)</a:t>
            </a:r>
            <a:r>
              <a:rPr lang="ja-JP" altLang="en-US" sz="1200"/>
              <a:t>中の</a:t>
            </a:r>
            <a:r>
              <a:rPr lang="en-US" altLang="ja-JP" sz="1200"/>
              <a:t>Cs</a:t>
            </a:r>
            <a:r>
              <a:rPr lang="ja-JP" altLang="en-US" sz="1200"/>
              <a:t>濃度の推移</a:t>
            </a:r>
          </a:p>
        </c:rich>
      </c:tx>
      <c:layout>
        <c:manualLayout>
          <c:xMode val="edge"/>
          <c:yMode val="edge"/>
          <c:x val="0.38475456202759467"/>
          <c:y val="2.8939330214148868E-2"/>
        </c:manualLayout>
      </c:layout>
      <c:overlay val="0"/>
      <c:spPr>
        <a:solidFill>
          <a:srgbClr val="FFFFFF"/>
        </a:solidFill>
        <a:ln w="25400">
          <a:noFill/>
        </a:ln>
      </c:spPr>
    </c:title>
    <c:autoTitleDeleted val="0"/>
    <c:plotArea>
      <c:layout>
        <c:manualLayout>
          <c:layoutTarget val="inner"/>
          <c:xMode val="edge"/>
          <c:yMode val="edge"/>
          <c:x val="8.5115133804150769E-2"/>
          <c:y val="5.189028696994271E-2"/>
          <c:w val="0.88368121510584374"/>
          <c:h val="0.82916263374054988"/>
        </c:manualLayout>
      </c:layout>
      <c:lineChart>
        <c:grouping val="standard"/>
        <c:varyColors val="0"/>
        <c:ser>
          <c:idx val="3"/>
          <c:order val="0"/>
          <c:tx>
            <c:strRef>
              <c:f>まとめ!$X$30:$X$31</c:f>
              <c:strCache>
                <c:ptCount val="1"/>
                <c:pt idx="0">
                  <c:v>焼却灰(主灰) 両Cs濃度 (Bq/kg)</c:v>
                </c:pt>
              </c:strCache>
            </c:strRef>
          </c:tx>
          <c:spPr>
            <a:ln w="3175">
              <a:solidFill>
                <a:srgbClr val="0070C0"/>
              </a:solidFill>
              <a:prstDash val="solid"/>
            </a:ln>
          </c:spPr>
          <c:marker>
            <c:symbol val="square"/>
            <c:size val="5"/>
            <c:spPr>
              <a:solidFill>
                <a:sysClr val="window" lastClr="FFFFFF"/>
              </a:solidFill>
              <a:ln>
                <a:solidFill>
                  <a:srgbClr val="0070C0"/>
                </a:solidFill>
              </a:ln>
            </c:spPr>
          </c:marker>
          <c:cat>
            <c:numRef>
              <c:f>まとめ!$R$32:$R$119</c:f>
              <c:numCache>
                <c:formatCode>[$-411]ge\.m</c:formatCode>
                <c:ptCount val="88"/>
                <c:pt idx="0">
                  <c:v>40614</c:v>
                </c:pt>
                <c:pt idx="1">
                  <c:v>40923</c:v>
                </c:pt>
                <c:pt idx="2">
                  <c:v>40954</c:v>
                </c:pt>
                <c:pt idx="3">
                  <c:v>40983</c:v>
                </c:pt>
                <c:pt idx="4">
                  <c:v>41014</c:v>
                </c:pt>
                <c:pt idx="5">
                  <c:v>41044</c:v>
                </c:pt>
                <c:pt idx="6">
                  <c:v>41075</c:v>
                </c:pt>
                <c:pt idx="7">
                  <c:v>41105</c:v>
                </c:pt>
                <c:pt idx="8">
                  <c:v>41136</c:v>
                </c:pt>
                <c:pt idx="9">
                  <c:v>41167</c:v>
                </c:pt>
                <c:pt idx="10">
                  <c:v>41197</c:v>
                </c:pt>
                <c:pt idx="11">
                  <c:v>41228</c:v>
                </c:pt>
                <c:pt idx="12">
                  <c:v>41258</c:v>
                </c:pt>
                <c:pt idx="13">
                  <c:v>41289</c:v>
                </c:pt>
                <c:pt idx="14">
                  <c:v>41320</c:v>
                </c:pt>
                <c:pt idx="15">
                  <c:v>41348</c:v>
                </c:pt>
                <c:pt idx="16">
                  <c:v>41379</c:v>
                </c:pt>
                <c:pt idx="17">
                  <c:v>41409</c:v>
                </c:pt>
                <c:pt idx="18">
                  <c:v>41440</c:v>
                </c:pt>
                <c:pt idx="19">
                  <c:v>41470</c:v>
                </c:pt>
                <c:pt idx="20">
                  <c:v>41501</c:v>
                </c:pt>
                <c:pt idx="21">
                  <c:v>41532</c:v>
                </c:pt>
                <c:pt idx="22">
                  <c:v>41562</c:v>
                </c:pt>
                <c:pt idx="23">
                  <c:v>41593</c:v>
                </c:pt>
                <c:pt idx="24">
                  <c:v>41623</c:v>
                </c:pt>
                <c:pt idx="25">
                  <c:v>41654</c:v>
                </c:pt>
                <c:pt idx="26">
                  <c:v>41685</c:v>
                </c:pt>
                <c:pt idx="27">
                  <c:v>41713</c:v>
                </c:pt>
                <c:pt idx="28">
                  <c:v>41744</c:v>
                </c:pt>
                <c:pt idx="29">
                  <c:v>41774</c:v>
                </c:pt>
                <c:pt idx="30">
                  <c:v>41805</c:v>
                </c:pt>
                <c:pt idx="31">
                  <c:v>41835</c:v>
                </c:pt>
                <c:pt idx="32">
                  <c:v>41866</c:v>
                </c:pt>
                <c:pt idx="33">
                  <c:v>41897</c:v>
                </c:pt>
                <c:pt idx="34">
                  <c:v>41927</c:v>
                </c:pt>
                <c:pt idx="35">
                  <c:v>41958</c:v>
                </c:pt>
                <c:pt idx="36">
                  <c:v>41988</c:v>
                </c:pt>
                <c:pt idx="37">
                  <c:v>42019</c:v>
                </c:pt>
                <c:pt idx="38">
                  <c:v>42050</c:v>
                </c:pt>
                <c:pt idx="39">
                  <c:v>42078</c:v>
                </c:pt>
                <c:pt idx="40">
                  <c:v>42109</c:v>
                </c:pt>
                <c:pt idx="41">
                  <c:v>42139</c:v>
                </c:pt>
                <c:pt idx="42">
                  <c:v>42170</c:v>
                </c:pt>
                <c:pt idx="43">
                  <c:v>42200</c:v>
                </c:pt>
                <c:pt idx="44">
                  <c:v>42231</c:v>
                </c:pt>
                <c:pt idx="45">
                  <c:v>42262</c:v>
                </c:pt>
                <c:pt idx="46">
                  <c:v>42292</c:v>
                </c:pt>
                <c:pt idx="47">
                  <c:v>42323</c:v>
                </c:pt>
                <c:pt idx="48">
                  <c:v>42353</c:v>
                </c:pt>
                <c:pt idx="49">
                  <c:v>42384</c:v>
                </c:pt>
                <c:pt idx="50">
                  <c:v>42415</c:v>
                </c:pt>
                <c:pt idx="51">
                  <c:v>42444</c:v>
                </c:pt>
                <c:pt idx="52">
                  <c:v>42475</c:v>
                </c:pt>
                <c:pt idx="53">
                  <c:v>42505</c:v>
                </c:pt>
                <c:pt idx="54">
                  <c:v>42536</c:v>
                </c:pt>
                <c:pt idx="55">
                  <c:v>42566</c:v>
                </c:pt>
                <c:pt idx="56">
                  <c:v>42597</c:v>
                </c:pt>
                <c:pt idx="57">
                  <c:v>42628</c:v>
                </c:pt>
                <c:pt idx="58">
                  <c:v>42658</c:v>
                </c:pt>
                <c:pt idx="59">
                  <c:v>42689</c:v>
                </c:pt>
                <c:pt idx="60">
                  <c:v>42719</c:v>
                </c:pt>
                <c:pt idx="61">
                  <c:v>42750</c:v>
                </c:pt>
                <c:pt idx="62">
                  <c:v>42781</c:v>
                </c:pt>
                <c:pt idx="63">
                  <c:v>42809</c:v>
                </c:pt>
                <c:pt idx="64">
                  <c:v>42840</c:v>
                </c:pt>
                <c:pt idx="65">
                  <c:v>42870</c:v>
                </c:pt>
                <c:pt idx="66">
                  <c:v>42901</c:v>
                </c:pt>
                <c:pt idx="67">
                  <c:v>42931</c:v>
                </c:pt>
                <c:pt idx="68">
                  <c:v>42962</c:v>
                </c:pt>
                <c:pt idx="69">
                  <c:v>42993</c:v>
                </c:pt>
                <c:pt idx="70">
                  <c:v>43023</c:v>
                </c:pt>
                <c:pt idx="71">
                  <c:v>43054</c:v>
                </c:pt>
                <c:pt idx="72">
                  <c:v>43084</c:v>
                </c:pt>
                <c:pt idx="73">
                  <c:v>43115</c:v>
                </c:pt>
                <c:pt idx="74">
                  <c:v>43146</c:v>
                </c:pt>
                <c:pt idx="75">
                  <c:v>43174</c:v>
                </c:pt>
                <c:pt idx="76">
                  <c:v>43205</c:v>
                </c:pt>
                <c:pt idx="77">
                  <c:v>43235</c:v>
                </c:pt>
                <c:pt idx="78">
                  <c:v>43266</c:v>
                </c:pt>
                <c:pt idx="79">
                  <c:v>43296</c:v>
                </c:pt>
                <c:pt idx="80">
                  <c:v>43327</c:v>
                </c:pt>
                <c:pt idx="81">
                  <c:v>43358</c:v>
                </c:pt>
                <c:pt idx="82">
                  <c:v>43388</c:v>
                </c:pt>
                <c:pt idx="83">
                  <c:v>43419</c:v>
                </c:pt>
                <c:pt idx="84">
                  <c:v>43449</c:v>
                </c:pt>
                <c:pt idx="85">
                  <c:v>43480</c:v>
                </c:pt>
                <c:pt idx="86">
                  <c:v>43511</c:v>
                </c:pt>
                <c:pt idx="87">
                  <c:v>43539</c:v>
                </c:pt>
              </c:numCache>
            </c:numRef>
          </c:cat>
          <c:val>
            <c:numRef>
              <c:f>まとめ!$X$32:$X$119</c:f>
              <c:numCache>
                <c:formatCode>0.0</c:formatCode>
                <c:ptCount val="88"/>
                <c:pt idx="4">
                  <c:v>383.38453802810153</c:v>
                </c:pt>
                <c:pt idx="5">
                  <c:v>546.97868423801265</c:v>
                </c:pt>
                <c:pt idx="6">
                  <c:v>558.23776889817577</c:v>
                </c:pt>
                <c:pt idx="7">
                  <c:v>503.21576634844479</c:v>
                </c:pt>
                <c:pt idx="8">
                  <c:v>413.63427776988891</c:v>
                </c:pt>
                <c:pt idx="9">
                  <c:v>365.42051656680866</c:v>
                </c:pt>
                <c:pt idx="10">
                  <c:v>320.61775673352093</c:v>
                </c:pt>
                <c:pt idx="11">
                  <c:v>254.3552731364401</c:v>
                </c:pt>
                <c:pt idx="12">
                  <c:v>178.95743440226607</c:v>
                </c:pt>
                <c:pt idx="13">
                  <c:v>153.86122487184292</c:v>
                </c:pt>
                <c:pt idx="14">
                  <c:v>133.83494980866132</c:v>
                </c:pt>
                <c:pt idx="15">
                  <c:v>119.1181064924871</c:v>
                </c:pt>
                <c:pt idx="16">
                  <c:v>194.43017999818659</c:v>
                </c:pt>
                <c:pt idx="17">
                  <c:v>279.78057151508665</c:v>
                </c:pt>
                <c:pt idx="18">
                  <c:v>288.09813267838234</c:v>
                </c:pt>
                <c:pt idx="19">
                  <c:v>262.05613050432453</c:v>
                </c:pt>
                <c:pt idx="20">
                  <c:v>217.44976969101342</c:v>
                </c:pt>
                <c:pt idx="21">
                  <c:v>193.97250832017914</c:v>
                </c:pt>
                <c:pt idx="22">
                  <c:v>171.86463833014079</c:v>
                </c:pt>
                <c:pt idx="23">
                  <c:v>137.75816289531215</c:v>
                </c:pt>
                <c:pt idx="24">
                  <c:v>97.909030599251281</c:v>
                </c:pt>
                <c:pt idx="25">
                  <c:v>85.112247088451085</c:v>
                </c:pt>
                <c:pt idx="26">
                  <c:v>74.861448292015638</c:v>
                </c:pt>
                <c:pt idx="27">
                  <c:v>63.499982219009482</c:v>
                </c:pt>
                <c:pt idx="28">
                  <c:v>111.18055475794068</c:v>
                </c:pt>
                <c:pt idx="29">
                  <c:v>161.79293045457212</c:v>
                </c:pt>
                <c:pt idx="30">
                  <c:v>168.62168775470693</c:v>
                </c:pt>
                <c:pt idx="31">
                  <c:v>155.18310417692794</c:v>
                </c:pt>
                <c:pt idx="32">
                  <c:v>130.3913545577953</c:v>
                </c:pt>
                <c:pt idx="33">
                  <c:v>117.76768065471066</c:v>
                </c:pt>
                <c:pt idx="34">
                  <c:v>105.62887403531599</c:v>
                </c:pt>
                <c:pt idx="35">
                  <c:v>85.760985282139345</c:v>
                </c:pt>
                <c:pt idx="36">
                  <c:v>61.717226112105728</c:v>
                </c:pt>
                <c:pt idx="37">
                  <c:v>54.354032685114454</c:v>
                </c:pt>
                <c:pt idx="38">
                  <c:v>48.432763040924129</c:v>
                </c:pt>
                <c:pt idx="39">
                  <c:v>41.565818374422207</c:v>
                </c:pt>
                <c:pt idx="40">
                  <c:v>73.72769950082332</c:v>
                </c:pt>
                <c:pt idx="41">
                  <c:v>108.66127667936803</c:v>
                </c:pt>
                <c:pt idx="42">
                  <c:v>114.72932271275569</c:v>
                </c:pt>
                <c:pt idx="43">
                  <c:v>106.90650404154877</c:v>
                </c:pt>
                <c:pt idx="44">
                  <c:v>90.994485155272187</c:v>
                </c:pt>
                <c:pt idx="45">
                  <c:v>83.244994507985282</c:v>
                </c:pt>
                <c:pt idx="46">
                  <c:v>75.573614397224219</c:v>
                </c:pt>
                <c:pt idx="47">
                  <c:v>62.122123156854009</c:v>
                </c:pt>
                <c:pt idx="48">
                  <c:v>45.245276886992819</c:v>
                </c:pt>
                <c:pt idx="49">
                  <c:v>40.326922826363628</c:v>
                </c:pt>
                <c:pt idx="50">
                  <c:v>36.355361357964156</c:v>
                </c:pt>
                <c:pt idx="51">
                  <c:v>31.523171773962787</c:v>
                </c:pt>
                <c:pt idx="52">
                  <c:v>56.562434418963676</c:v>
                </c:pt>
                <c:pt idx="53">
                  <c:v>84.266947917410477</c:v>
                </c:pt>
                <c:pt idx="54">
                  <c:v>89.936905993106564</c:v>
                </c:pt>
                <c:pt idx="55">
                  <c:v>84.684129665648129</c:v>
                </c:pt>
                <c:pt idx="56">
                  <c:v>72.823528626084325</c:v>
                </c:pt>
                <c:pt idx="57">
                  <c:v>67.306668572081875</c:v>
                </c:pt>
                <c:pt idx="58">
                  <c:v>61.680782470935767</c:v>
                </c:pt>
                <c:pt idx="59">
                  <c:v>51.189643106628196</c:v>
                </c:pt>
                <c:pt idx="60">
                  <c:v>37.607688827377892</c:v>
                </c:pt>
                <c:pt idx="61">
                  <c:v>33.817054220290274</c:v>
                </c:pt>
                <c:pt idx="62">
                  <c:v>30.753309440362969</c:v>
                </c:pt>
                <c:pt idx="63">
                  <c:v>26.873804896884618</c:v>
                </c:pt>
                <c:pt idx="64">
                  <c:v>48.6</c:v>
                </c:pt>
                <c:pt idx="65">
                  <c:v>26</c:v>
                </c:pt>
                <c:pt idx="66">
                  <c:v>17</c:v>
                </c:pt>
                <c:pt idx="67">
                  <c:v>49</c:v>
                </c:pt>
                <c:pt idx="68">
                  <c:v>36</c:v>
                </c:pt>
                <c:pt idx="69">
                  <c:v>36</c:v>
                </c:pt>
                <c:pt idx="70">
                  <c:v>20</c:v>
                </c:pt>
                <c:pt idx="71">
                  <c:v>13</c:v>
                </c:pt>
                <c:pt idx="72">
                  <c:v>11</c:v>
                </c:pt>
                <c:pt idx="73">
                  <c:v>5.5</c:v>
                </c:pt>
                <c:pt idx="74">
                  <c:v>9.4</c:v>
                </c:pt>
                <c:pt idx="75">
                  <c:v>4.7</c:v>
                </c:pt>
                <c:pt idx="76">
                  <c:v>32</c:v>
                </c:pt>
                <c:pt idx="77">
                  <c:v>190</c:v>
                </c:pt>
                <c:pt idx="78">
                  <c:v>58</c:v>
                </c:pt>
                <c:pt idx="79">
                  <c:v>42</c:v>
                </c:pt>
                <c:pt idx="80">
                  <c:v>38</c:v>
                </c:pt>
                <c:pt idx="81">
                  <c:v>24</c:v>
                </c:pt>
                <c:pt idx="82">
                  <c:v>25</c:v>
                </c:pt>
                <c:pt idx="83">
                  <c:v>21</c:v>
                </c:pt>
                <c:pt idx="84">
                  <c:v>12</c:v>
                </c:pt>
                <c:pt idx="85">
                  <c:v>4.7</c:v>
                </c:pt>
                <c:pt idx="86">
                  <c:v>4.7</c:v>
                </c:pt>
                <c:pt idx="87">
                  <c:v>12</c:v>
                </c:pt>
              </c:numCache>
            </c:numRef>
          </c:val>
          <c:smooth val="0"/>
        </c:ser>
        <c:ser>
          <c:idx val="11"/>
          <c:order val="1"/>
          <c:tx>
            <c:strRef>
              <c:f>まとめ!$V$30:$V$31</c:f>
              <c:strCache>
                <c:ptCount val="1"/>
                <c:pt idx="0">
                  <c:v>焼却灰(主灰) Cs134</c:v>
                </c:pt>
              </c:strCache>
            </c:strRef>
          </c:tx>
          <c:spPr>
            <a:ln w="12700">
              <a:solidFill>
                <a:srgbClr val="FF0000"/>
              </a:solidFill>
              <a:prstDash val="solid"/>
            </a:ln>
          </c:spPr>
          <c:marker>
            <c:symbol val="square"/>
            <c:size val="5"/>
            <c:spPr>
              <a:solidFill>
                <a:sysClr val="window" lastClr="FFFFFF"/>
              </a:solidFill>
              <a:ln>
                <a:solidFill>
                  <a:srgbClr val="FF0000"/>
                </a:solidFill>
                <a:prstDash val="solid"/>
              </a:ln>
            </c:spPr>
          </c:marker>
          <c:cat>
            <c:numRef>
              <c:f>まとめ!$R$32:$R$119</c:f>
              <c:numCache>
                <c:formatCode>[$-411]ge\.m</c:formatCode>
                <c:ptCount val="88"/>
                <c:pt idx="0">
                  <c:v>40614</c:v>
                </c:pt>
                <c:pt idx="1">
                  <c:v>40923</c:v>
                </c:pt>
                <c:pt idx="2">
                  <c:v>40954</c:v>
                </c:pt>
                <c:pt idx="3">
                  <c:v>40983</c:v>
                </c:pt>
                <c:pt idx="4">
                  <c:v>41014</c:v>
                </c:pt>
                <c:pt idx="5">
                  <c:v>41044</c:v>
                </c:pt>
                <c:pt idx="6">
                  <c:v>41075</c:v>
                </c:pt>
                <c:pt idx="7">
                  <c:v>41105</c:v>
                </c:pt>
                <c:pt idx="8">
                  <c:v>41136</c:v>
                </c:pt>
                <c:pt idx="9">
                  <c:v>41167</c:v>
                </c:pt>
                <c:pt idx="10">
                  <c:v>41197</c:v>
                </c:pt>
                <c:pt idx="11">
                  <c:v>41228</c:v>
                </c:pt>
                <c:pt idx="12">
                  <c:v>41258</c:v>
                </c:pt>
                <c:pt idx="13">
                  <c:v>41289</c:v>
                </c:pt>
                <c:pt idx="14">
                  <c:v>41320</c:v>
                </c:pt>
                <c:pt idx="15">
                  <c:v>41348</c:v>
                </c:pt>
                <c:pt idx="16">
                  <c:v>41379</c:v>
                </c:pt>
                <c:pt idx="17">
                  <c:v>41409</c:v>
                </c:pt>
                <c:pt idx="18">
                  <c:v>41440</c:v>
                </c:pt>
                <c:pt idx="19">
                  <c:v>41470</c:v>
                </c:pt>
                <c:pt idx="20">
                  <c:v>41501</c:v>
                </c:pt>
                <c:pt idx="21">
                  <c:v>41532</c:v>
                </c:pt>
                <c:pt idx="22">
                  <c:v>41562</c:v>
                </c:pt>
                <c:pt idx="23">
                  <c:v>41593</c:v>
                </c:pt>
                <c:pt idx="24">
                  <c:v>41623</c:v>
                </c:pt>
                <c:pt idx="25">
                  <c:v>41654</c:v>
                </c:pt>
                <c:pt idx="26">
                  <c:v>41685</c:v>
                </c:pt>
                <c:pt idx="27">
                  <c:v>41713</c:v>
                </c:pt>
                <c:pt idx="28">
                  <c:v>41744</c:v>
                </c:pt>
                <c:pt idx="29">
                  <c:v>41774</c:v>
                </c:pt>
                <c:pt idx="30">
                  <c:v>41805</c:v>
                </c:pt>
                <c:pt idx="31">
                  <c:v>41835</c:v>
                </c:pt>
                <c:pt idx="32">
                  <c:v>41866</c:v>
                </c:pt>
                <c:pt idx="33">
                  <c:v>41897</c:v>
                </c:pt>
                <c:pt idx="34">
                  <c:v>41927</c:v>
                </c:pt>
                <c:pt idx="35">
                  <c:v>41958</c:v>
                </c:pt>
                <c:pt idx="36">
                  <c:v>41988</c:v>
                </c:pt>
                <c:pt idx="37">
                  <c:v>42019</c:v>
                </c:pt>
                <c:pt idx="38">
                  <c:v>42050</c:v>
                </c:pt>
                <c:pt idx="39">
                  <c:v>42078</c:v>
                </c:pt>
                <c:pt idx="40">
                  <c:v>42109</c:v>
                </c:pt>
                <c:pt idx="41">
                  <c:v>42139</c:v>
                </c:pt>
                <c:pt idx="42">
                  <c:v>42170</c:v>
                </c:pt>
                <c:pt idx="43">
                  <c:v>42200</c:v>
                </c:pt>
                <c:pt idx="44">
                  <c:v>42231</c:v>
                </c:pt>
                <c:pt idx="45">
                  <c:v>42262</c:v>
                </c:pt>
                <c:pt idx="46">
                  <c:v>42292</c:v>
                </c:pt>
                <c:pt idx="47">
                  <c:v>42323</c:v>
                </c:pt>
                <c:pt idx="48">
                  <c:v>42353</c:v>
                </c:pt>
                <c:pt idx="49">
                  <c:v>42384</c:v>
                </c:pt>
                <c:pt idx="50">
                  <c:v>42415</c:v>
                </c:pt>
                <c:pt idx="51">
                  <c:v>42444</c:v>
                </c:pt>
                <c:pt idx="52">
                  <c:v>42475</c:v>
                </c:pt>
                <c:pt idx="53">
                  <c:v>42505</c:v>
                </c:pt>
                <c:pt idx="54">
                  <c:v>42536</c:v>
                </c:pt>
                <c:pt idx="55">
                  <c:v>42566</c:v>
                </c:pt>
                <c:pt idx="56">
                  <c:v>42597</c:v>
                </c:pt>
                <c:pt idx="57">
                  <c:v>42628</c:v>
                </c:pt>
                <c:pt idx="58">
                  <c:v>42658</c:v>
                </c:pt>
                <c:pt idx="59">
                  <c:v>42689</c:v>
                </c:pt>
                <c:pt idx="60">
                  <c:v>42719</c:v>
                </c:pt>
                <c:pt idx="61">
                  <c:v>42750</c:v>
                </c:pt>
                <c:pt idx="62">
                  <c:v>42781</c:v>
                </c:pt>
                <c:pt idx="63">
                  <c:v>42809</c:v>
                </c:pt>
                <c:pt idx="64">
                  <c:v>42840</c:v>
                </c:pt>
                <c:pt idx="65">
                  <c:v>42870</c:v>
                </c:pt>
                <c:pt idx="66">
                  <c:v>42901</c:v>
                </c:pt>
                <c:pt idx="67">
                  <c:v>42931</c:v>
                </c:pt>
                <c:pt idx="68">
                  <c:v>42962</c:v>
                </c:pt>
                <c:pt idx="69">
                  <c:v>42993</c:v>
                </c:pt>
                <c:pt idx="70">
                  <c:v>43023</c:v>
                </c:pt>
                <c:pt idx="71">
                  <c:v>43054</c:v>
                </c:pt>
                <c:pt idx="72">
                  <c:v>43084</c:v>
                </c:pt>
                <c:pt idx="73">
                  <c:v>43115</c:v>
                </c:pt>
                <c:pt idx="74">
                  <c:v>43146</c:v>
                </c:pt>
                <c:pt idx="75">
                  <c:v>43174</c:v>
                </c:pt>
                <c:pt idx="76">
                  <c:v>43205</c:v>
                </c:pt>
                <c:pt idx="77">
                  <c:v>43235</c:v>
                </c:pt>
                <c:pt idx="78">
                  <c:v>43266</c:v>
                </c:pt>
                <c:pt idx="79">
                  <c:v>43296</c:v>
                </c:pt>
                <c:pt idx="80">
                  <c:v>43327</c:v>
                </c:pt>
                <c:pt idx="81">
                  <c:v>43358</c:v>
                </c:pt>
                <c:pt idx="82">
                  <c:v>43388</c:v>
                </c:pt>
                <c:pt idx="83">
                  <c:v>43419</c:v>
                </c:pt>
                <c:pt idx="84">
                  <c:v>43449</c:v>
                </c:pt>
                <c:pt idx="85">
                  <c:v>43480</c:v>
                </c:pt>
                <c:pt idx="86">
                  <c:v>43511</c:v>
                </c:pt>
                <c:pt idx="87">
                  <c:v>43539</c:v>
                </c:pt>
              </c:numCache>
            </c:numRef>
          </c:cat>
          <c:val>
            <c:numRef>
              <c:f>まとめ!$V$32:$V$119</c:f>
              <c:numCache>
                <c:formatCode>0.0</c:formatCode>
                <c:ptCount val="88"/>
                <c:pt idx="4">
                  <c:v>152.71152287705158</c:v>
                </c:pt>
                <c:pt idx="5">
                  <c:v>214.21342518004838</c:v>
                </c:pt>
                <c:pt idx="6">
                  <c:v>214.75295170513959</c:v>
                </c:pt>
                <c:pt idx="7">
                  <c:v>190.20690570795131</c:v>
                </c:pt>
                <c:pt idx="8">
                  <c:v>153.48629711674133</c:v>
                </c:pt>
                <c:pt idx="9">
                  <c:v>133.07511768546476</c:v>
                </c:pt>
                <c:pt idx="10">
                  <c:v>114.63211295405043</c:v>
                </c:pt>
                <c:pt idx="11">
                  <c:v>89.208680716130075</c:v>
                </c:pt>
                <c:pt idx="12">
                  <c:v>61.589646606874325</c:v>
                </c:pt>
                <c:pt idx="13">
                  <c:v>51.91769998866797</c:v>
                </c:pt>
                <c:pt idx="14">
                  <c:v>44.265576732556127</c:v>
                </c:pt>
                <c:pt idx="15">
                  <c:v>38.68959878179718</c:v>
                </c:pt>
                <c:pt idx="16">
                  <c:v>61.883026703321747</c:v>
                </c:pt>
                <c:pt idx="17">
                  <c:v>87.300419533378474</c:v>
                </c:pt>
                <c:pt idx="18">
                  <c:v>88.054950197525017</c:v>
                </c:pt>
                <c:pt idx="19">
                  <c:v>78.491764126519314</c:v>
                </c:pt>
                <c:pt idx="20">
                  <c:v>63.778339549107812</c:v>
                </c:pt>
                <c:pt idx="21">
                  <c:v>55.711285917825826</c:v>
                </c:pt>
                <c:pt idx="22">
                  <c:v>48.361141165001193</c:v>
                </c:pt>
                <c:pt idx="23">
                  <c:v>37.955781196053309</c:v>
                </c:pt>
                <c:pt idx="24">
                  <c:v>26.430753191482623</c:v>
                </c:pt>
                <c:pt idx="25">
                  <c:v>22.495944981568805</c:v>
                </c:pt>
                <c:pt idx="26">
                  <c:v>19.375074356308279</c:v>
                </c:pt>
                <c:pt idx="27">
                  <c:v>16.127844011819157</c:v>
                </c:pt>
                <c:pt idx="28">
                  <c:v>27.660805291506701</c:v>
                </c:pt>
                <c:pt idx="29">
                  <c:v>39.462800046731104</c:v>
                </c:pt>
                <c:pt idx="30">
                  <c:v>40.305368187785568</c:v>
                </c:pt>
                <c:pt idx="31">
                  <c:v>36.3818128541647</c:v>
                </c:pt>
                <c:pt idx="32">
                  <c:v>29.970862638114443</c:v>
                </c:pt>
                <c:pt idx="33">
                  <c:v>26.552371841218392</c:v>
                </c:pt>
                <c:pt idx="34">
                  <c:v>23.382830810848109</c:v>
                </c:pt>
                <c:pt idx="35">
                  <c:v>18.637015028936592</c:v>
                </c:pt>
                <c:pt idx="36">
                  <c:v>13.180000668790681</c:v>
                </c:pt>
                <c:pt idx="37">
                  <c:v>11.406225095080032</c:v>
                </c:pt>
                <c:pt idx="38">
                  <c:v>9.9928602766894148</c:v>
                </c:pt>
                <c:pt idx="39">
                  <c:v>8.4506038260430891</c:v>
                </c:pt>
                <c:pt idx="40">
                  <c:v>14.755417111279671</c:v>
                </c:pt>
                <c:pt idx="41">
                  <c:v>21.430641832697241</c:v>
                </c:pt>
                <c:pt idx="42">
                  <c:v>22.30410538735994</c:v>
                </c:pt>
                <c:pt idx="43">
                  <c:v>20.506147969219604</c:v>
                </c:pt>
                <c:pt idx="44">
                  <c:v>17.224547598227122</c:v>
                </c:pt>
                <c:pt idx="45">
                  <c:v>15.562087460530813</c:v>
                </c:pt>
                <c:pt idx="46">
                  <c:v>13.967597912223086</c:v>
                </c:pt>
                <c:pt idx="47">
                  <c:v>11.354211365711095</c:v>
                </c:pt>
                <c:pt idx="48">
                  <c:v>8.1859369582195036</c:v>
                </c:pt>
                <c:pt idx="49">
                  <c:v>7.2250598468016944</c:v>
                </c:pt>
                <c:pt idx="50">
                  <c:v>6.4546260214845574</c:v>
                </c:pt>
                <c:pt idx="51">
                  <c:v>5.5518960367122494</c:v>
                </c:pt>
                <c:pt idx="52">
                  <c:v>9.8851704492376005</c:v>
                </c:pt>
                <c:pt idx="53">
                  <c:v>14.625734799366393</c:v>
                </c:pt>
                <c:pt idx="54">
                  <c:v>15.506259024493763</c:v>
                </c:pt>
                <c:pt idx="55">
                  <c:v>14.514491051473476</c:v>
                </c:pt>
                <c:pt idx="56">
                  <c:v>12.412266771994167</c:v>
                </c:pt>
                <c:pt idx="57">
                  <c:v>11.412867691457176</c:v>
                </c:pt>
                <c:pt idx="58">
                  <c:v>10.413051279638204</c:v>
                </c:pt>
                <c:pt idx="59">
                  <c:v>8.6061115171577978</c:v>
                </c:pt>
                <c:pt idx="60">
                  <c:v>6.3009068549889191</c:v>
                </c:pt>
                <c:pt idx="61">
                  <c:v>5.6468386306930549</c:v>
                </c:pt>
                <c:pt idx="62">
                  <c:v>5.1202034971610457</c:v>
                </c:pt>
                <c:pt idx="63">
                  <c:v>4.4640046894800305</c:v>
                </c:pt>
                <c:pt idx="64">
                  <c:v>8.0563599028363324</c:v>
                </c:pt>
                <c:pt idx="65">
                  <c:v>4.3025316924585919</c:v>
                </c:pt>
                <c:pt idx="66">
                  <c:v>2.8084204300420517</c:v>
                </c:pt>
                <c:pt idx="67">
                  <c:v>8.0838438918591553</c:v>
                </c:pt>
                <c:pt idx="68">
                  <c:v>5.9322924191760142</c:v>
                </c:pt>
                <c:pt idx="69">
                  <c:v>5.926953643077244</c:v>
                </c:pt>
                <c:pt idx="70">
                  <c:v>3.2901950512592562</c:v>
                </c:pt>
                <c:pt idx="71">
                  <c:v>2.1374468666793014</c:v>
                </c:pt>
                <c:pt idx="72">
                  <c:v>1.8079197898780068</c:v>
                </c:pt>
                <c:pt idx="73">
                  <c:v>0.90354621827271986</c:v>
                </c:pt>
                <c:pt idx="74">
                  <c:v>1.5438865559819883</c:v>
                </c:pt>
                <c:pt idx="75">
                  <c:v>0.7719323862987062</c:v>
                </c:pt>
                <c:pt idx="76">
                  <c:v>5.2569499711982424</c:v>
                </c:pt>
                <c:pt idx="77">
                  <c:v>31.221263323294089</c:v>
                </c:pt>
                <c:pt idx="78">
                  <c:v>9.5347137823302628</c:v>
                </c:pt>
                <c:pt idx="79">
                  <c:v>6.9053114093033487</c:v>
                </c:pt>
                <c:pt idx="80">
                  <c:v>6.2497187465507462</c:v>
                </c:pt>
                <c:pt idx="81">
                  <c:v>3.9485309094631473</c:v>
                </c:pt>
                <c:pt idx="82">
                  <c:v>4.1145595423682435</c:v>
                </c:pt>
                <c:pt idx="83">
                  <c:v>3.4578447474732044</c:v>
                </c:pt>
                <c:pt idx="84">
                  <c:v>1.9774443837712137</c:v>
                </c:pt>
                <c:pt idx="85">
                  <c:v>0.77499986467051651</c:v>
                </c:pt>
                <c:pt idx="86">
                  <c:v>0.77542177631877085</c:v>
                </c:pt>
                <c:pt idx="87">
                  <c:v>1.9810705053463147</c:v>
                </c:pt>
              </c:numCache>
            </c:numRef>
          </c:val>
          <c:smooth val="0"/>
        </c:ser>
        <c:ser>
          <c:idx val="1"/>
          <c:order val="2"/>
          <c:tx>
            <c:strRef>
              <c:f>まとめ!$W$30:$W$31</c:f>
              <c:strCache>
                <c:ptCount val="1"/>
                <c:pt idx="0">
                  <c:v>焼却灰(主灰) Cs137</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numRef>
              <c:f>まとめ!$R$32:$R$119</c:f>
              <c:numCache>
                <c:formatCode>[$-411]ge\.m</c:formatCode>
                <c:ptCount val="88"/>
                <c:pt idx="0">
                  <c:v>40614</c:v>
                </c:pt>
                <c:pt idx="1">
                  <c:v>40923</c:v>
                </c:pt>
                <c:pt idx="2">
                  <c:v>40954</c:v>
                </c:pt>
                <c:pt idx="3">
                  <c:v>40983</c:v>
                </c:pt>
                <c:pt idx="4">
                  <c:v>41014</c:v>
                </c:pt>
                <c:pt idx="5">
                  <c:v>41044</c:v>
                </c:pt>
                <c:pt idx="6">
                  <c:v>41075</c:v>
                </c:pt>
                <c:pt idx="7">
                  <c:v>41105</c:v>
                </c:pt>
                <c:pt idx="8">
                  <c:v>41136</c:v>
                </c:pt>
                <c:pt idx="9">
                  <c:v>41167</c:v>
                </c:pt>
                <c:pt idx="10">
                  <c:v>41197</c:v>
                </c:pt>
                <c:pt idx="11">
                  <c:v>41228</c:v>
                </c:pt>
                <c:pt idx="12">
                  <c:v>41258</c:v>
                </c:pt>
                <c:pt idx="13">
                  <c:v>41289</c:v>
                </c:pt>
                <c:pt idx="14">
                  <c:v>41320</c:v>
                </c:pt>
                <c:pt idx="15">
                  <c:v>41348</c:v>
                </c:pt>
                <c:pt idx="16">
                  <c:v>41379</c:v>
                </c:pt>
                <c:pt idx="17">
                  <c:v>41409</c:v>
                </c:pt>
                <c:pt idx="18">
                  <c:v>41440</c:v>
                </c:pt>
                <c:pt idx="19">
                  <c:v>41470</c:v>
                </c:pt>
                <c:pt idx="20">
                  <c:v>41501</c:v>
                </c:pt>
                <c:pt idx="21">
                  <c:v>41532</c:v>
                </c:pt>
                <c:pt idx="22">
                  <c:v>41562</c:v>
                </c:pt>
                <c:pt idx="23">
                  <c:v>41593</c:v>
                </c:pt>
                <c:pt idx="24">
                  <c:v>41623</c:v>
                </c:pt>
                <c:pt idx="25">
                  <c:v>41654</c:v>
                </c:pt>
                <c:pt idx="26">
                  <c:v>41685</c:v>
                </c:pt>
                <c:pt idx="27">
                  <c:v>41713</c:v>
                </c:pt>
                <c:pt idx="28">
                  <c:v>41744</c:v>
                </c:pt>
                <c:pt idx="29">
                  <c:v>41774</c:v>
                </c:pt>
                <c:pt idx="30">
                  <c:v>41805</c:v>
                </c:pt>
                <c:pt idx="31">
                  <c:v>41835</c:v>
                </c:pt>
                <c:pt idx="32">
                  <c:v>41866</c:v>
                </c:pt>
                <c:pt idx="33">
                  <c:v>41897</c:v>
                </c:pt>
                <c:pt idx="34">
                  <c:v>41927</c:v>
                </c:pt>
                <c:pt idx="35">
                  <c:v>41958</c:v>
                </c:pt>
                <c:pt idx="36">
                  <c:v>41988</c:v>
                </c:pt>
                <c:pt idx="37">
                  <c:v>42019</c:v>
                </c:pt>
                <c:pt idx="38">
                  <c:v>42050</c:v>
                </c:pt>
                <c:pt idx="39">
                  <c:v>42078</c:v>
                </c:pt>
                <c:pt idx="40">
                  <c:v>42109</c:v>
                </c:pt>
                <c:pt idx="41">
                  <c:v>42139</c:v>
                </c:pt>
                <c:pt idx="42">
                  <c:v>42170</c:v>
                </c:pt>
                <c:pt idx="43">
                  <c:v>42200</c:v>
                </c:pt>
                <c:pt idx="44">
                  <c:v>42231</c:v>
                </c:pt>
                <c:pt idx="45">
                  <c:v>42262</c:v>
                </c:pt>
                <c:pt idx="46">
                  <c:v>42292</c:v>
                </c:pt>
                <c:pt idx="47">
                  <c:v>42323</c:v>
                </c:pt>
                <c:pt idx="48">
                  <c:v>42353</c:v>
                </c:pt>
                <c:pt idx="49">
                  <c:v>42384</c:v>
                </c:pt>
                <c:pt idx="50">
                  <c:v>42415</c:v>
                </c:pt>
                <c:pt idx="51">
                  <c:v>42444</c:v>
                </c:pt>
                <c:pt idx="52">
                  <c:v>42475</c:v>
                </c:pt>
                <c:pt idx="53">
                  <c:v>42505</c:v>
                </c:pt>
                <c:pt idx="54">
                  <c:v>42536</c:v>
                </c:pt>
                <c:pt idx="55">
                  <c:v>42566</c:v>
                </c:pt>
                <c:pt idx="56">
                  <c:v>42597</c:v>
                </c:pt>
                <c:pt idx="57">
                  <c:v>42628</c:v>
                </c:pt>
                <c:pt idx="58">
                  <c:v>42658</c:v>
                </c:pt>
                <c:pt idx="59">
                  <c:v>42689</c:v>
                </c:pt>
                <c:pt idx="60">
                  <c:v>42719</c:v>
                </c:pt>
                <c:pt idx="61">
                  <c:v>42750</c:v>
                </c:pt>
                <c:pt idx="62">
                  <c:v>42781</c:v>
                </c:pt>
                <c:pt idx="63">
                  <c:v>42809</c:v>
                </c:pt>
                <c:pt idx="64">
                  <c:v>42840</c:v>
                </c:pt>
                <c:pt idx="65">
                  <c:v>42870</c:v>
                </c:pt>
                <c:pt idx="66">
                  <c:v>42901</c:v>
                </c:pt>
                <c:pt idx="67">
                  <c:v>42931</c:v>
                </c:pt>
                <c:pt idx="68">
                  <c:v>42962</c:v>
                </c:pt>
                <c:pt idx="69">
                  <c:v>42993</c:v>
                </c:pt>
                <c:pt idx="70">
                  <c:v>43023</c:v>
                </c:pt>
                <c:pt idx="71">
                  <c:v>43054</c:v>
                </c:pt>
                <c:pt idx="72">
                  <c:v>43084</c:v>
                </c:pt>
                <c:pt idx="73">
                  <c:v>43115</c:v>
                </c:pt>
                <c:pt idx="74">
                  <c:v>43146</c:v>
                </c:pt>
                <c:pt idx="75">
                  <c:v>43174</c:v>
                </c:pt>
                <c:pt idx="76">
                  <c:v>43205</c:v>
                </c:pt>
                <c:pt idx="77">
                  <c:v>43235</c:v>
                </c:pt>
                <c:pt idx="78">
                  <c:v>43266</c:v>
                </c:pt>
                <c:pt idx="79">
                  <c:v>43296</c:v>
                </c:pt>
                <c:pt idx="80">
                  <c:v>43327</c:v>
                </c:pt>
                <c:pt idx="81">
                  <c:v>43358</c:v>
                </c:pt>
                <c:pt idx="82">
                  <c:v>43388</c:v>
                </c:pt>
                <c:pt idx="83">
                  <c:v>43419</c:v>
                </c:pt>
                <c:pt idx="84">
                  <c:v>43449</c:v>
                </c:pt>
                <c:pt idx="85">
                  <c:v>43480</c:v>
                </c:pt>
                <c:pt idx="86">
                  <c:v>43511</c:v>
                </c:pt>
                <c:pt idx="87">
                  <c:v>43539</c:v>
                </c:pt>
              </c:numCache>
            </c:numRef>
          </c:cat>
          <c:val>
            <c:numRef>
              <c:f>まとめ!$W$32:$W$119</c:f>
              <c:numCache>
                <c:formatCode>0.0</c:formatCode>
                <c:ptCount val="88"/>
                <c:pt idx="4">
                  <c:v>230.67301515104995</c:v>
                </c:pt>
                <c:pt idx="5">
                  <c:v>332.76525905796433</c:v>
                </c:pt>
                <c:pt idx="6">
                  <c:v>343.48481719303618</c:v>
                </c:pt>
                <c:pt idx="7">
                  <c:v>313.00886064049354</c:v>
                </c:pt>
                <c:pt idx="8">
                  <c:v>260.14798065314756</c:v>
                </c:pt>
                <c:pt idx="9">
                  <c:v>232.34539888134393</c:v>
                </c:pt>
                <c:pt idx="10">
                  <c:v>205.98564377947051</c:v>
                </c:pt>
                <c:pt idx="11">
                  <c:v>165.14659242031001</c:v>
                </c:pt>
                <c:pt idx="12">
                  <c:v>117.36778779539175</c:v>
                </c:pt>
                <c:pt idx="13">
                  <c:v>101.94352488317494</c:v>
                </c:pt>
                <c:pt idx="14">
                  <c:v>89.56937307610518</c:v>
                </c:pt>
                <c:pt idx="15">
                  <c:v>80.428507710689914</c:v>
                </c:pt>
                <c:pt idx="16">
                  <c:v>132.54715329486487</c:v>
                </c:pt>
                <c:pt idx="17">
                  <c:v>192.48015198170819</c:v>
                </c:pt>
                <c:pt idx="18">
                  <c:v>200.04318248085733</c:v>
                </c:pt>
                <c:pt idx="19">
                  <c:v>183.56436637780521</c:v>
                </c:pt>
                <c:pt idx="20">
                  <c:v>153.6714301419056</c:v>
                </c:pt>
                <c:pt idx="21">
                  <c:v>138.2612224023533</c:v>
                </c:pt>
                <c:pt idx="22">
                  <c:v>123.50349716513961</c:v>
                </c:pt>
                <c:pt idx="23">
                  <c:v>99.802381699258845</c:v>
                </c:pt>
                <c:pt idx="24">
                  <c:v>71.478277407768644</c:v>
                </c:pt>
                <c:pt idx="25">
                  <c:v>62.616302106882273</c:v>
                </c:pt>
                <c:pt idx="26">
                  <c:v>55.486373935707356</c:v>
                </c:pt>
                <c:pt idx="27">
                  <c:v>47.372138207190318</c:v>
                </c:pt>
                <c:pt idx="28">
                  <c:v>83.519749466433979</c:v>
                </c:pt>
                <c:pt idx="29">
                  <c:v>122.33013040784101</c:v>
                </c:pt>
                <c:pt idx="30">
                  <c:v>128.31631956692135</c:v>
                </c:pt>
                <c:pt idx="31">
                  <c:v>118.80129132276323</c:v>
                </c:pt>
                <c:pt idx="32">
                  <c:v>100.42049191968084</c:v>
                </c:pt>
                <c:pt idx="33">
                  <c:v>91.215308813492271</c:v>
                </c:pt>
                <c:pt idx="34">
                  <c:v>82.246043224467883</c:v>
                </c:pt>
                <c:pt idx="35">
                  <c:v>67.123970253202756</c:v>
                </c:pt>
                <c:pt idx="36">
                  <c:v>48.537225443315045</c:v>
                </c:pt>
                <c:pt idx="37">
                  <c:v>42.947807590034415</c:v>
                </c:pt>
                <c:pt idx="38">
                  <c:v>38.439902764234709</c:v>
                </c:pt>
                <c:pt idx="39">
                  <c:v>33.115214548379122</c:v>
                </c:pt>
                <c:pt idx="40">
                  <c:v>58.972282389543651</c:v>
                </c:pt>
                <c:pt idx="41">
                  <c:v>87.230634846670782</c:v>
                </c:pt>
                <c:pt idx="42">
                  <c:v>92.425217325395735</c:v>
                </c:pt>
                <c:pt idx="43">
                  <c:v>86.400356072329174</c:v>
                </c:pt>
                <c:pt idx="44">
                  <c:v>73.769937557045054</c:v>
                </c:pt>
                <c:pt idx="45">
                  <c:v>67.682907047454464</c:v>
                </c:pt>
                <c:pt idx="46">
                  <c:v>61.606016485001135</c:v>
                </c:pt>
                <c:pt idx="47">
                  <c:v>50.767911791142915</c:v>
                </c:pt>
                <c:pt idx="48">
                  <c:v>37.059339928773312</c:v>
                </c:pt>
                <c:pt idx="49">
                  <c:v>33.101862979561929</c:v>
                </c:pt>
                <c:pt idx="50">
                  <c:v>29.900735336479599</c:v>
                </c:pt>
                <c:pt idx="51">
                  <c:v>25.97127573725054</c:v>
                </c:pt>
                <c:pt idx="52">
                  <c:v>46.677263969726077</c:v>
                </c:pt>
                <c:pt idx="53">
                  <c:v>69.641213118044092</c:v>
                </c:pt>
                <c:pt idx="54">
                  <c:v>74.430646968612805</c:v>
                </c:pt>
                <c:pt idx="55">
                  <c:v>70.169638614174644</c:v>
                </c:pt>
                <c:pt idx="56">
                  <c:v>60.411261854090156</c:v>
                </c:pt>
                <c:pt idx="57">
                  <c:v>55.893800880624696</c:v>
                </c:pt>
                <c:pt idx="58">
                  <c:v>51.267731191297564</c:v>
                </c:pt>
                <c:pt idx="59">
                  <c:v>42.583531589470397</c:v>
                </c:pt>
                <c:pt idx="60">
                  <c:v>31.306781972388972</c:v>
                </c:pt>
                <c:pt idx="61">
                  <c:v>28.170215589597223</c:v>
                </c:pt>
                <c:pt idx="62">
                  <c:v>25.633105943201919</c:v>
                </c:pt>
                <c:pt idx="63">
                  <c:v>22.409800207404587</c:v>
                </c:pt>
                <c:pt idx="64">
                  <c:v>40.543640097163667</c:v>
                </c:pt>
                <c:pt idx="65">
                  <c:v>21.697468307541406</c:v>
                </c:pt>
                <c:pt idx="66">
                  <c:v>14.191579569957948</c:v>
                </c:pt>
                <c:pt idx="67">
                  <c:v>40.916156108140839</c:v>
                </c:pt>
                <c:pt idx="68">
                  <c:v>30.067707580823988</c:v>
                </c:pt>
                <c:pt idx="69">
                  <c:v>30.073046356922756</c:v>
                </c:pt>
                <c:pt idx="70">
                  <c:v>16.709804948740743</c:v>
                </c:pt>
                <c:pt idx="71">
                  <c:v>10.862553133320699</c:v>
                </c:pt>
                <c:pt idx="72">
                  <c:v>9.1920802101219934</c:v>
                </c:pt>
                <c:pt idx="73">
                  <c:v>4.5964537817272806</c:v>
                </c:pt>
                <c:pt idx="74">
                  <c:v>7.8561134440180123</c:v>
                </c:pt>
                <c:pt idx="75">
                  <c:v>3.9280676137012942</c:v>
                </c:pt>
                <c:pt idx="76">
                  <c:v>26.743050028801758</c:v>
                </c:pt>
                <c:pt idx="77">
                  <c:v>158.7787366767059</c:v>
                </c:pt>
                <c:pt idx="78">
                  <c:v>48.465286217669735</c:v>
                </c:pt>
                <c:pt idx="79">
                  <c:v>35.094688590696656</c:v>
                </c:pt>
                <c:pt idx="80">
                  <c:v>31.750281253449248</c:v>
                </c:pt>
                <c:pt idx="81">
                  <c:v>20.051469090536852</c:v>
                </c:pt>
                <c:pt idx="82">
                  <c:v>20.885440457631756</c:v>
                </c:pt>
                <c:pt idx="83">
                  <c:v>17.542155252526797</c:v>
                </c:pt>
                <c:pt idx="84">
                  <c:v>10.022555616228786</c:v>
                </c:pt>
                <c:pt idx="85">
                  <c:v>3.9250001353294834</c:v>
                </c:pt>
                <c:pt idx="86">
                  <c:v>3.924578223681229</c:v>
                </c:pt>
                <c:pt idx="87">
                  <c:v>10.018929494653685</c:v>
                </c:pt>
              </c:numCache>
            </c:numRef>
          </c:val>
          <c:smooth val="0"/>
        </c:ser>
        <c:dLbls>
          <c:showLegendKey val="0"/>
          <c:showVal val="0"/>
          <c:showCatName val="0"/>
          <c:showSerName val="0"/>
          <c:showPercent val="0"/>
          <c:showBubbleSize val="0"/>
        </c:dLbls>
        <c:marker val="1"/>
        <c:smooth val="0"/>
        <c:axId val="270007296"/>
        <c:axId val="270022528"/>
      </c:lineChart>
      <c:dateAx>
        <c:axId val="270007296"/>
        <c:scaling>
          <c:orientation val="minMax"/>
        </c:scaling>
        <c:delete val="0"/>
        <c:axPos val="b"/>
        <c:majorGridlines>
          <c:spPr>
            <a:ln w="3175">
              <a:solidFill>
                <a:sysClr val="window" lastClr="FFFFFF">
                  <a:lumMod val="85000"/>
                </a:sysClr>
              </a:solid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70022528"/>
        <c:crossesAt val="1E-3"/>
        <c:auto val="0"/>
        <c:lblOffset val="100"/>
        <c:baseTimeUnit val="days"/>
        <c:majorUnit val="6"/>
        <c:majorTimeUnit val="months"/>
        <c:minorUnit val="2"/>
      </c:dateAx>
      <c:valAx>
        <c:axId val="270022528"/>
        <c:scaling>
          <c:orientation val="minMax"/>
        </c:scaling>
        <c:delete val="0"/>
        <c:axPos val="l"/>
        <c:majorGridlines>
          <c:spPr>
            <a:ln w="3175">
              <a:solidFill>
                <a:sysClr val="window" lastClr="FFFFFF">
                  <a:lumMod val="85000"/>
                </a:sysClr>
              </a:solidFill>
              <a:prstDash val="solid"/>
            </a:ln>
          </c:spPr>
        </c:majorGridlines>
        <c:title>
          <c:tx>
            <c:rich>
              <a:bodyPr rot="0" vert="horz"/>
              <a:lstStyle/>
              <a:p>
                <a:pPr>
                  <a:defRPr sz="900"/>
                </a:pPr>
                <a:r>
                  <a:rPr lang="en-US" altLang="ja-JP" sz="900">
                    <a:latin typeface="Meiryo UI" panose="020B0604030504040204" pitchFamily="50" charset="-128"/>
                    <a:ea typeface="Meiryo UI" panose="020B0604030504040204" pitchFamily="50" charset="-128"/>
                  </a:rPr>
                  <a:t>Bq/kg</a:t>
                </a:r>
                <a:endParaRPr lang="ja-JP" altLang="en-US" sz="900">
                  <a:latin typeface="Meiryo UI" panose="020B0604030504040204" pitchFamily="50" charset="-128"/>
                  <a:ea typeface="Meiryo UI" panose="020B0604030504040204" pitchFamily="50" charset="-128"/>
                </a:endParaRPr>
              </a:p>
            </c:rich>
          </c:tx>
          <c:layout>
            <c:manualLayout>
              <c:xMode val="edge"/>
              <c:yMode val="edge"/>
              <c:x val="1.0081913563071301E-2"/>
              <c:y val="0.455167362883311"/>
            </c:manualLayout>
          </c:layout>
          <c:overlay val="0"/>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0007296"/>
        <c:crosses val="autoZero"/>
        <c:crossBetween val="midCat"/>
      </c:valAx>
      <c:spPr>
        <a:solidFill>
          <a:srgbClr val="FFFFFF"/>
        </a:solidFill>
        <a:ln w="12700">
          <a:solidFill>
            <a:srgbClr val="808080"/>
          </a:solidFill>
          <a:prstDash val="solid"/>
        </a:ln>
      </c:spPr>
    </c:plotArea>
    <c:legend>
      <c:legendPos val="r"/>
      <c:layout>
        <c:manualLayout>
          <c:xMode val="edge"/>
          <c:yMode val="edge"/>
          <c:x val="0.44602267500067644"/>
          <c:y val="0.1083720930232558"/>
          <c:w val="0.43998178062793697"/>
          <c:h val="0.1560296587926509"/>
        </c:manualLayout>
      </c:layout>
      <c:overlay val="0"/>
      <c:spPr>
        <a:noFill/>
      </c:spPr>
      <c:txPr>
        <a:bodyPr/>
        <a:lstStyle/>
        <a:p>
          <a:pPr>
            <a:defRPr sz="1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3.6195255004889092E-2"/>
          <c:y val="0.12360257784678323"/>
          <c:w val="0.8595291182661573"/>
          <c:h val="0.75979534816212491"/>
        </c:manualLayout>
      </c:layout>
      <c:lineChart>
        <c:grouping val="standard"/>
        <c:varyColors val="0"/>
        <c:ser>
          <c:idx val="0"/>
          <c:order val="0"/>
          <c:tx>
            <c:strRef>
              <c:f>月間量回帰式!$C$3:$C$4</c:f>
              <c:strCache>
                <c:ptCount val="1"/>
                <c:pt idx="0">
                  <c:v>石巻広域クリセ 230(115tx2炉〉</c:v>
                </c:pt>
              </c:strCache>
            </c:strRef>
          </c:tx>
          <c:spPr>
            <a:ln w="0">
              <a:solidFill>
                <a:srgbClr val="0000FF"/>
              </a:solidFill>
              <a:prstDash val="solid"/>
            </a:ln>
          </c:spPr>
          <c:marker>
            <c:symbol val="diamond"/>
            <c:size val="4"/>
            <c:spPr>
              <a:noFill/>
              <a:ln>
                <a:solidFill>
                  <a:srgbClr val="0000FF"/>
                </a:solidFill>
                <a:prstDash val="solid"/>
              </a:ln>
            </c:spPr>
          </c:marker>
          <c:cat>
            <c:numRef>
              <c:f>月間量回帰式!$B$20:$B$103</c:f>
              <c:numCache>
                <c:formatCode>[$-411]ge\.m</c:formatCode>
                <c:ptCount val="84"/>
                <c:pt idx="0">
                  <c:v>41012</c:v>
                </c:pt>
                <c:pt idx="1">
                  <c:v>41045</c:v>
                </c:pt>
                <c:pt idx="2">
                  <c:v>41073</c:v>
                </c:pt>
                <c:pt idx="3">
                  <c:v>41101</c:v>
                </c:pt>
                <c:pt idx="4">
                  <c:v>41129</c:v>
                </c:pt>
                <c:pt idx="5">
                  <c:v>41164</c:v>
                </c:pt>
                <c:pt idx="6">
                  <c:v>41199</c:v>
                </c:pt>
                <c:pt idx="7">
                  <c:v>41234</c:v>
                </c:pt>
                <c:pt idx="8">
                  <c:v>41262</c:v>
                </c:pt>
                <c:pt idx="9">
                  <c:v>41290</c:v>
                </c:pt>
                <c:pt idx="10">
                  <c:v>41318</c:v>
                </c:pt>
                <c:pt idx="11">
                  <c:v>41346</c:v>
                </c:pt>
                <c:pt idx="12">
                  <c:v>41376</c:v>
                </c:pt>
                <c:pt idx="13">
                  <c:v>41410</c:v>
                </c:pt>
                <c:pt idx="14">
                  <c:v>41437</c:v>
                </c:pt>
                <c:pt idx="15">
                  <c:v>41465</c:v>
                </c:pt>
                <c:pt idx="16">
                  <c:v>41493</c:v>
                </c:pt>
                <c:pt idx="17">
                  <c:v>41521</c:v>
                </c:pt>
                <c:pt idx="18">
                  <c:v>41557</c:v>
                </c:pt>
                <c:pt idx="19">
                  <c:v>41591</c:v>
                </c:pt>
                <c:pt idx="20">
                  <c:v>41619</c:v>
                </c:pt>
                <c:pt idx="21">
                  <c:v>41647</c:v>
                </c:pt>
                <c:pt idx="22">
                  <c:v>41675</c:v>
                </c:pt>
                <c:pt idx="23">
                  <c:v>41703</c:v>
                </c:pt>
                <c:pt idx="24">
                  <c:v>41739</c:v>
                </c:pt>
                <c:pt idx="25">
                  <c:v>41773</c:v>
                </c:pt>
                <c:pt idx="26">
                  <c:v>41801</c:v>
                </c:pt>
                <c:pt idx="27">
                  <c:v>41829</c:v>
                </c:pt>
                <c:pt idx="28">
                  <c:v>41857</c:v>
                </c:pt>
                <c:pt idx="29">
                  <c:v>41892</c:v>
                </c:pt>
                <c:pt idx="30">
                  <c:v>41920</c:v>
                </c:pt>
                <c:pt idx="31">
                  <c:v>41948</c:v>
                </c:pt>
                <c:pt idx="32">
                  <c:v>41984</c:v>
                </c:pt>
                <c:pt idx="33">
                  <c:v>42012</c:v>
                </c:pt>
                <c:pt idx="34">
                  <c:v>42039</c:v>
                </c:pt>
                <c:pt idx="35">
                  <c:v>42067</c:v>
                </c:pt>
                <c:pt idx="36">
                  <c:v>42095</c:v>
                </c:pt>
                <c:pt idx="37">
                  <c:v>42131</c:v>
                </c:pt>
                <c:pt idx="38">
                  <c:v>42158</c:v>
                </c:pt>
                <c:pt idx="39">
                  <c:v>42193</c:v>
                </c:pt>
                <c:pt idx="40">
                  <c:v>42221</c:v>
                </c:pt>
                <c:pt idx="41">
                  <c:v>42249</c:v>
                </c:pt>
                <c:pt idx="42">
                  <c:v>42284</c:v>
                </c:pt>
                <c:pt idx="43">
                  <c:v>42312</c:v>
                </c:pt>
                <c:pt idx="44">
                  <c:v>42340</c:v>
                </c:pt>
                <c:pt idx="45">
                  <c:v>42375</c:v>
                </c:pt>
                <c:pt idx="46">
                  <c:v>42403</c:v>
                </c:pt>
                <c:pt idx="47">
                  <c:v>42431</c:v>
                </c:pt>
                <c:pt idx="48">
                  <c:v>42461</c:v>
                </c:pt>
                <c:pt idx="49">
                  <c:v>42492</c:v>
                </c:pt>
                <c:pt idx="50">
                  <c:v>42522</c:v>
                </c:pt>
                <c:pt idx="51">
                  <c:v>42552</c:v>
                </c:pt>
                <c:pt idx="52">
                  <c:v>42585</c:v>
                </c:pt>
                <c:pt idx="53">
                  <c:v>42614</c:v>
                </c:pt>
                <c:pt idx="54">
                  <c:v>42647</c:v>
                </c:pt>
                <c:pt idx="55">
                  <c:v>42678</c:v>
                </c:pt>
                <c:pt idx="56">
                  <c:v>42705</c:v>
                </c:pt>
                <c:pt idx="57">
                  <c:v>42741</c:v>
                </c:pt>
                <c:pt idx="58">
                  <c:v>42767</c:v>
                </c:pt>
                <c:pt idx="59">
                  <c:v>42797</c:v>
                </c:pt>
                <c:pt idx="60">
                  <c:v>42828</c:v>
                </c:pt>
                <c:pt idx="61">
                  <c:v>42857</c:v>
                </c:pt>
                <c:pt idx="62">
                  <c:v>42887</c:v>
                </c:pt>
                <c:pt idx="63">
                  <c:v>42919</c:v>
                </c:pt>
                <c:pt idx="64">
                  <c:v>42948</c:v>
                </c:pt>
                <c:pt idx="65">
                  <c:v>42979</c:v>
                </c:pt>
                <c:pt idx="66">
                  <c:v>43010</c:v>
                </c:pt>
                <c:pt idx="67">
                  <c:v>43055</c:v>
                </c:pt>
                <c:pt idx="68">
                  <c:v>43070</c:v>
                </c:pt>
                <c:pt idx="69">
                  <c:v>43105</c:v>
                </c:pt>
                <c:pt idx="70">
                  <c:v>43132</c:v>
                </c:pt>
                <c:pt idx="71">
                  <c:v>43160</c:v>
                </c:pt>
                <c:pt idx="72">
                  <c:v>43192</c:v>
                </c:pt>
                <c:pt idx="73">
                  <c:v>43221</c:v>
                </c:pt>
                <c:pt idx="74">
                  <c:v>43252</c:v>
                </c:pt>
                <c:pt idx="75">
                  <c:v>43283</c:v>
                </c:pt>
                <c:pt idx="76">
                  <c:v>43313</c:v>
                </c:pt>
                <c:pt idx="77">
                  <c:v>43346</c:v>
                </c:pt>
                <c:pt idx="78">
                  <c:v>43374</c:v>
                </c:pt>
                <c:pt idx="79">
                  <c:v>43405</c:v>
                </c:pt>
                <c:pt idx="80">
                  <c:v>43437</c:v>
                </c:pt>
                <c:pt idx="81">
                  <c:v>43472</c:v>
                </c:pt>
                <c:pt idx="82">
                  <c:v>43504</c:v>
                </c:pt>
                <c:pt idx="83">
                  <c:v>43525</c:v>
                </c:pt>
              </c:numCache>
            </c:numRef>
          </c:cat>
          <c:val>
            <c:numRef>
              <c:f>月間量回帰式!$C$20:$C$103</c:f>
              <c:numCache>
                <c:formatCode>0</c:formatCode>
                <c:ptCount val="84"/>
                <c:pt idx="0">
                  <c:v>5693.7099343496038</c:v>
                </c:pt>
                <c:pt idx="1">
                  <c:v>6461.0235251811728</c:v>
                </c:pt>
                <c:pt idx="2">
                  <c:v>6179.5927881937196</c:v>
                </c:pt>
                <c:pt idx="3">
                  <c:v>6411.8394300434275</c:v>
                </c:pt>
                <c:pt idx="4">
                  <c:v>6767.281654590066</c:v>
                </c:pt>
                <c:pt idx="5">
                  <c:v>6054.9434296986519</c:v>
                </c:pt>
                <c:pt idx="6">
                  <c:v>6164.2626032404287</c:v>
                </c:pt>
                <c:pt idx="7">
                  <c:v>5754.4110320193013</c:v>
                </c:pt>
                <c:pt idx="8">
                  <c:v>5830.9070462498912</c:v>
                </c:pt>
                <c:pt idx="9">
                  <c:v>5508.7884612072394</c:v>
                </c:pt>
                <c:pt idx="10">
                  <c:v>4728.3759929486159</c:v>
                </c:pt>
                <c:pt idx="11">
                  <c:v>5774.2107831388548</c:v>
                </c:pt>
                <c:pt idx="12">
                  <c:v>5482.3589469097042</c:v>
                </c:pt>
                <c:pt idx="13">
                  <c:v>6221.1897932797165</c:v>
                </c:pt>
                <c:pt idx="14">
                  <c:v>5950.2057887117353</c:v>
                </c:pt>
                <c:pt idx="15">
                  <c:v>6173.8314158538951</c:v>
                </c:pt>
                <c:pt idx="16">
                  <c:v>6516.079595392629</c:v>
                </c:pt>
                <c:pt idx="17">
                  <c:v>5830.1834247958523</c:v>
                </c:pt>
                <c:pt idx="18">
                  <c:v>5935.444661501966</c:v>
                </c:pt>
                <c:pt idx="19">
                  <c:v>5540.8068147733347</c:v>
                </c:pt>
                <c:pt idx="20">
                  <c:v>5614.4632905783164</c:v>
                </c:pt>
                <c:pt idx="21">
                  <c:v>5304.3017742670354</c:v>
                </c:pt>
                <c:pt idx="22">
                  <c:v>4552.8582818920968</c:v>
                </c:pt>
                <c:pt idx="23">
                  <c:v>5559.8715974806528</c:v>
                </c:pt>
                <c:pt idx="24">
                  <c:v>5397.9493997803338</c:v>
                </c:pt>
                <c:pt idx="25">
                  <c:v>6125.4047820935002</c:v>
                </c:pt>
                <c:pt idx="26">
                  <c:v>5858.5930028990097</c:v>
                </c:pt>
                <c:pt idx="27">
                  <c:v>6078.7755614467223</c:v>
                </c:pt>
                <c:pt idx="28">
                  <c:v>6415.7542914436672</c:v>
                </c:pt>
                <c:pt idx="29">
                  <c:v>5740.4185722325992</c:v>
                </c:pt>
                <c:pt idx="30">
                  <c:v>5844.0591464817899</c:v>
                </c:pt>
                <c:pt idx="31">
                  <c:v>5455.4973707009112</c:v>
                </c:pt>
                <c:pt idx="32">
                  <c:v>5528.019789099938</c:v>
                </c:pt>
                <c:pt idx="33">
                  <c:v>5222.633697634481</c:v>
                </c:pt>
                <c:pt idx="34">
                  <c:v>4482.7598608583294</c:v>
                </c:pt>
                <c:pt idx="35">
                  <c:v>5474.268621063844</c:v>
                </c:pt>
                <c:pt idx="36">
                  <c:v>4911.22</c:v>
                </c:pt>
                <c:pt idx="37">
                  <c:v>5017.6899999999996</c:v>
                </c:pt>
                <c:pt idx="38">
                  <c:v>5245.7</c:v>
                </c:pt>
                <c:pt idx="39">
                  <c:v>5444.63</c:v>
                </c:pt>
                <c:pt idx="40">
                  <c:v>5507.05</c:v>
                </c:pt>
                <c:pt idx="41">
                  <c:v>5124.37</c:v>
                </c:pt>
                <c:pt idx="42">
                  <c:v>5005.3</c:v>
                </c:pt>
                <c:pt idx="43">
                  <c:v>4810.2299999999996</c:v>
                </c:pt>
                <c:pt idx="44">
                  <c:v>5090.9399999999996</c:v>
                </c:pt>
                <c:pt idx="45">
                  <c:v>4515.71</c:v>
                </c:pt>
                <c:pt idx="46">
                  <c:v>4193.24</c:v>
                </c:pt>
                <c:pt idx="47">
                  <c:v>4900.29</c:v>
                </c:pt>
                <c:pt idx="48">
                  <c:v>4802.12</c:v>
                </c:pt>
                <c:pt idx="49">
                  <c:v>5502.55</c:v>
                </c:pt>
                <c:pt idx="50">
                  <c:v>4991.43</c:v>
                </c:pt>
                <c:pt idx="51">
                  <c:v>5226.55</c:v>
                </c:pt>
                <c:pt idx="52">
                  <c:v>5805.25</c:v>
                </c:pt>
                <c:pt idx="53">
                  <c:v>5310.79</c:v>
                </c:pt>
                <c:pt idx="54">
                  <c:v>4948.62</c:v>
                </c:pt>
                <c:pt idx="55">
                  <c:v>4702.2700000000004</c:v>
                </c:pt>
                <c:pt idx="56">
                  <c:v>5076.05</c:v>
                </c:pt>
                <c:pt idx="57">
                  <c:v>4597.87</c:v>
                </c:pt>
                <c:pt idx="58">
                  <c:v>3936.52</c:v>
                </c:pt>
                <c:pt idx="59">
                  <c:v>4818.8599999999997</c:v>
                </c:pt>
                <c:pt idx="60">
                  <c:v>4574.25</c:v>
                </c:pt>
                <c:pt idx="61">
                  <c:v>5535.09</c:v>
                </c:pt>
                <c:pt idx="62">
                  <c:v>5442.01</c:v>
                </c:pt>
                <c:pt idx="63">
                  <c:v>5365.97</c:v>
                </c:pt>
                <c:pt idx="64">
                  <c:v>5947.22</c:v>
                </c:pt>
                <c:pt idx="65">
                  <c:v>5135.9799999999996</c:v>
                </c:pt>
                <c:pt idx="66">
                  <c:v>5397.84</c:v>
                </c:pt>
                <c:pt idx="67">
                  <c:v>4808.5200000000004</c:v>
                </c:pt>
                <c:pt idx="68">
                  <c:v>4770.28</c:v>
                </c:pt>
                <c:pt idx="69">
                  <c:v>4593.75</c:v>
                </c:pt>
                <c:pt idx="70">
                  <c:v>3827.41</c:v>
                </c:pt>
                <c:pt idx="71">
                  <c:v>4817.8999999999996</c:v>
                </c:pt>
                <c:pt idx="72">
                  <c:v>4824.92</c:v>
                </c:pt>
                <c:pt idx="73">
                  <c:v>5632.88</c:v>
                </c:pt>
                <c:pt idx="74">
                  <c:v>5064.37</c:v>
                </c:pt>
                <c:pt idx="75">
                  <c:v>5485.96</c:v>
                </c:pt>
                <c:pt idx="76">
                  <c:v>5456.73</c:v>
                </c:pt>
                <c:pt idx="77">
                  <c:v>4753.95</c:v>
                </c:pt>
                <c:pt idx="78">
                  <c:v>5340.29</c:v>
                </c:pt>
                <c:pt idx="79">
                  <c:v>4995.25</c:v>
                </c:pt>
                <c:pt idx="80">
                  <c:v>4635.78</c:v>
                </c:pt>
                <c:pt idx="81">
                  <c:v>4784.4399999999996</c:v>
                </c:pt>
                <c:pt idx="82">
                  <c:v>3914.93</c:v>
                </c:pt>
                <c:pt idx="83">
                  <c:v>4000</c:v>
                </c:pt>
              </c:numCache>
            </c:numRef>
          </c:val>
          <c:smooth val="0"/>
        </c:ser>
        <c:ser>
          <c:idx val="1"/>
          <c:order val="1"/>
          <c:tx>
            <c:strRef>
              <c:f>月間量回帰式!$M$3:$M$4</c:f>
              <c:strCache>
                <c:ptCount val="1"/>
                <c:pt idx="0">
                  <c:v>今泉 600(200tx3炉)</c:v>
                </c:pt>
              </c:strCache>
            </c:strRef>
          </c:tx>
          <c:spPr>
            <a:ln w="0">
              <a:solidFill>
                <a:srgbClr val="FF0000"/>
              </a:solidFill>
              <a:prstDash val="solid"/>
            </a:ln>
          </c:spPr>
          <c:marker>
            <c:symbol val="square"/>
            <c:size val="4"/>
            <c:spPr>
              <a:noFill/>
              <a:ln>
                <a:solidFill>
                  <a:srgbClr val="FF0000"/>
                </a:solidFill>
                <a:prstDash val="solid"/>
              </a:ln>
            </c:spPr>
          </c:marker>
          <c:cat>
            <c:numRef>
              <c:f>月間量回帰式!$B$20:$B$103</c:f>
              <c:numCache>
                <c:formatCode>[$-411]ge\.m</c:formatCode>
                <c:ptCount val="84"/>
                <c:pt idx="0">
                  <c:v>41012</c:v>
                </c:pt>
                <c:pt idx="1">
                  <c:v>41045</c:v>
                </c:pt>
                <c:pt idx="2">
                  <c:v>41073</c:v>
                </c:pt>
                <c:pt idx="3">
                  <c:v>41101</c:v>
                </c:pt>
                <c:pt idx="4">
                  <c:v>41129</c:v>
                </c:pt>
                <c:pt idx="5">
                  <c:v>41164</c:v>
                </c:pt>
                <c:pt idx="6">
                  <c:v>41199</c:v>
                </c:pt>
                <c:pt idx="7">
                  <c:v>41234</c:v>
                </c:pt>
                <c:pt idx="8">
                  <c:v>41262</c:v>
                </c:pt>
                <c:pt idx="9">
                  <c:v>41290</c:v>
                </c:pt>
                <c:pt idx="10">
                  <c:v>41318</c:v>
                </c:pt>
                <c:pt idx="11">
                  <c:v>41346</c:v>
                </c:pt>
                <c:pt idx="12">
                  <c:v>41376</c:v>
                </c:pt>
                <c:pt idx="13">
                  <c:v>41410</c:v>
                </c:pt>
                <c:pt idx="14">
                  <c:v>41437</c:v>
                </c:pt>
                <c:pt idx="15">
                  <c:v>41465</c:v>
                </c:pt>
                <c:pt idx="16">
                  <c:v>41493</c:v>
                </c:pt>
                <c:pt idx="17">
                  <c:v>41521</c:v>
                </c:pt>
                <c:pt idx="18">
                  <c:v>41557</c:v>
                </c:pt>
                <c:pt idx="19">
                  <c:v>41591</c:v>
                </c:pt>
                <c:pt idx="20">
                  <c:v>41619</c:v>
                </c:pt>
                <c:pt idx="21">
                  <c:v>41647</c:v>
                </c:pt>
                <c:pt idx="22">
                  <c:v>41675</c:v>
                </c:pt>
                <c:pt idx="23">
                  <c:v>41703</c:v>
                </c:pt>
                <c:pt idx="24">
                  <c:v>41739</c:v>
                </c:pt>
                <c:pt idx="25">
                  <c:v>41773</c:v>
                </c:pt>
                <c:pt idx="26">
                  <c:v>41801</c:v>
                </c:pt>
                <c:pt idx="27">
                  <c:v>41829</c:v>
                </c:pt>
                <c:pt idx="28">
                  <c:v>41857</c:v>
                </c:pt>
                <c:pt idx="29">
                  <c:v>41892</c:v>
                </c:pt>
                <c:pt idx="30">
                  <c:v>41920</c:v>
                </c:pt>
                <c:pt idx="31">
                  <c:v>41948</c:v>
                </c:pt>
                <c:pt idx="32">
                  <c:v>41984</c:v>
                </c:pt>
                <c:pt idx="33">
                  <c:v>42012</c:v>
                </c:pt>
                <c:pt idx="34">
                  <c:v>42039</c:v>
                </c:pt>
                <c:pt idx="35">
                  <c:v>42067</c:v>
                </c:pt>
                <c:pt idx="36">
                  <c:v>42095</c:v>
                </c:pt>
                <c:pt idx="37">
                  <c:v>42131</c:v>
                </c:pt>
                <c:pt idx="38">
                  <c:v>42158</c:v>
                </c:pt>
                <c:pt idx="39">
                  <c:v>42193</c:v>
                </c:pt>
                <c:pt idx="40">
                  <c:v>42221</c:v>
                </c:pt>
                <c:pt idx="41">
                  <c:v>42249</c:v>
                </c:pt>
                <c:pt idx="42">
                  <c:v>42284</c:v>
                </c:pt>
                <c:pt idx="43">
                  <c:v>42312</c:v>
                </c:pt>
                <c:pt idx="44">
                  <c:v>42340</c:v>
                </c:pt>
                <c:pt idx="45">
                  <c:v>42375</c:v>
                </c:pt>
                <c:pt idx="46">
                  <c:v>42403</c:v>
                </c:pt>
                <c:pt idx="47">
                  <c:v>42431</c:v>
                </c:pt>
                <c:pt idx="48">
                  <c:v>42461</c:v>
                </c:pt>
                <c:pt idx="49">
                  <c:v>42492</c:v>
                </c:pt>
                <c:pt idx="50">
                  <c:v>42522</c:v>
                </c:pt>
                <c:pt idx="51">
                  <c:v>42552</c:v>
                </c:pt>
                <c:pt idx="52">
                  <c:v>42585</c:v>
                </c:pt>
                <c:pt idx="53">
                  <c:v>42614</c:v>
                </c:pt>
                <c:pt idx="54">
                  <c:v>42647</c:v>
                </c:pt>
                <c:pt idx="55">
                  <c:v>42678</c:v>
                </c:pt>
                <c:pt idx="56">
                  <c:v>42705</c:v>
                </c:pt>
                <c:pt idx="57">
                  <c:v>42741</c:v>
                </c:pt>
                <c:pt idx="58">
                  <c:v>42767</c:v>
                </c:pt>
                <c:pt idx="59">
                  <c:v>42797</c:v>
                </c:pt>
                <c:pt idx="60">
                  <c:v>42828</c:v>
                </c:pt>
                <c:pt idx="61">
                  <c:v>42857</c:v>
                </c:pt>
                <c:pt idx="62">
                  <c:v>42887</c:v>
                </c:pt>
                <c:pt idx="63">
                  <c:v>42919</c:v>
                </c:pt>
                <c:pt idx="64">
                  <c:v>42948</c:v>
                </c:pt>
                <c:pt idx="65">
                  <c:v>42979</c:v>
                </c:pt>
                <c:pt idx="66">
                  <c:v>43010</c:v>
                </c:pt>
                <c:pt idx="67">
                  <c:v>43055</c:v>
                </c:pt>
                <c:pt idx="68">
                  <c:v>43070</c:v>
                </c:pt>
                <c:pt idx="69">
                  <c:v>43105</c:v>
                </c:pt>
                <c:pt idx="70">
                  <c:v>43132</c:v>
                </c:pt>
                <c:pt idx="71">
                  <c:v>43160</c:v>
                </c:pt>
                <c:pt idx="72">
                  <c:v>43192</c:v>
                </c:pt>
                <c:pt idx="73">
                  <c:v>43221</c:v>
                </c:pt>
                <c:pt idx="74">
                  <c:v>43252</c:v>
                </c:pt>
                <c:pt idx="75">
                  <c:v>43283</c:v>
                </c:pt>
                <c:pt idx="76">
                  <c:v>43313</c:v>
                </c:pt>
                <c:pt idx="77">
                  <c:v>43346</c:v>
                </c:pt>
                <c:pt idx="78">
                  <c:v>43374</c:v>
                </c:pt>
                <c:pt idx="79">
                  <c:v>43405</c:v>
                </c:pt>
                <c:pt idx="80">
                  <c:v>43437</c:v>
                </c:pt>
                <c:pt idx="81">
                  <c:v>43472</c:v>
                </c:pt>
                <c:pt idx="82">
                  <c:v>43504</c:v>
                </c:pt>
                <c:pt idx="83">
                  <c:v>43525</c:v>
                </c:pt>
              </c:numCache>
            </c:numRef>
          </c:cat>
          <c:val>
            <c:numRef>
              <c:f>月間量回帰式!$M$20:$M$103</c:f>
              <c:numCache>
                <c:formatCode>General</c:formatCode>
                <c:ptCount val="84"/>
                <c:pt idx="5" formatCode="0">
                  <c:v>8409.4314775882813</c:v>
                </c:pt>
                <c:pt idx="6" formatCode="0">
                  <c:v>9585.8354394091002</c:v>
                </c:pt>
                <c:pt idx="7" formatCode="0">
                  <c:v>8357.6193886384335</c:v>
                </c:pt>
                <c:pt idx="8" formatCode="0">
                  <c:v>8213.8633036908795</c:v>
                </c:pt>
                <c:pt idx="9" formatCode="0">
                  <c:v>7647.8237192098841</c:v>
                </c:pt>
                <c:pt idx="10" formatCode="0">
                  <c:v>6563.3637533867723</c:v>
                </c:pt>
                <c:pt idx="11" formatCode="0">
                  <c:v>8125.8127016605022</c:v>
                </c:pt>
                <c:pt idx="12" formatCode="0">
                  <c:v>7499.9095391172968</c:v>
                </c:pt>
                <c:pt idx="13" formatCode="0">
                  <c:v>7905.3246838054365</c:v>
                </c:pt>
                <c:pt idx="14" formatCode="0">
                  <c:v>7716.419629738466</c:v>
                </c:pt>
                <c:pt idx="15" formatCode="0">
                  <c:v>8796.5343443248239</c:v>
                </c:pt>
                <c:pt idx="16" formatCode="0">
                  <c:v>8420.8893370970945</c:v>
                </c:pt>
                <c:pt idx="17" formatCode="0">
                  <c:v>7801.9411155338275</c:v>
                </c:pt>
                <c:pt idx="18" formatCode="0">
                  <c:v>8108.5735313760588</c:v>
                </c:pt>
                <c:pt idx="19" formatCode="0">
                  <c:v>7360.2605306666428</c:v>
                </c:pt>
                <c:pt idx="20" formatCode="0">
                  <c:v>7594.903341377335</c:v>
                </c:pt>
                <c:pt idx="21" formatCode="0">
                  <c:v>6974.6019317476857</c:v>
                </c:pt>
                <c:pt idx="22" formatCode="0">
                  <c:v>5756.1913967770561</c:v>
                </c:pt>
                <c:pt idx="23" formatCode="0">
                  <c:v>7241.4506184382763</c:v>
                </c:pt>
                <c:pt idx="24" formatCode="0">
                  <c:v>7833.835950621431</c:v>
                </c:pt>
                <c:pt idx="25" formatCode="0">
                  <c:v>8075.534268678919</c:v>
                </c:pt>
                <c:pt idx="26" formatCode="0">
                  <c:v>7912.5284262680552</c:v>
                </c:pt>
                <c:pt idx="27" formatCode="0">
                  <c:v>8763.2502969192374</c:v>
                </c:pt>
                <c:pt idx="28" formatCode="0">
                  <c:v>8350.9579334421032</c:v>
                </c:pt>
                <c:pt idx="29" formatCode="0">
                  <c:v>8393.957750491867</c:v>
                </c:pt>
                <c:pt idx="30" formatCode="0">
                  <c:v>8218.5859476222467</c:v>
                </c:pt>
                <c:pt idx="31" formatCode="0">
                  <c:v>7370.6745225298719</c:v>
                </c:pt>
                <c:pt idx="32" formatCode="0">
                  <c:v>8057.547417102548</c:v>
                </c:pt>
                <c:pt idx="33" formatCode="0">
                  <c:v>7003.9113771054272</c:v>
                </c:pt>
                <c:pt idx="34" formatCode="0">
                  <c:v>6073.9349416958585</c:v>
                </c:pt>
                <c:pt idx="35" formatCode="0">
                  <c:v>7652.2811675224339</c:v>
                </c:pt>
                <c:pt idx="36" formatCode="0">
                  <c:v>8009.8359520671502</c:v>
                </c:pt>
                <c:pt idx="37" formatCode="0">
                  <c:v>8153.4174020783857</c:v>
                </c:pt>
                <c:pt idx="38" formatCode="0">
                  <c:v>8347.8136862499778</c:v>
                </c:pt>
                <c:pt idx="39" formatCode="0">
                  <c:v>8943.4108122225116</c:v>
                </c:pt>
                <c:pt idx="40" formatCode="0">
                  <c:v>8601.2969868870987</c:v>
                </c:pt>
                <c:pt idx="41" formatCode="0">
                  <c:v>8687.8594660090985</c:v>
                </c:pt>
                <c:pt idx="42" formatCode="0">
                  <c:v>8333.3373672159232</c:v>
                </c:pt>
                <c:pt idx="43" formatCode="0">
                  <c:v>7892.8436594654013</c:v>
                </c:pt>
                <c:pt idx="44" formatCode="0">
                  <c:v>8564.3676015961428</c:v>
                </c:pt>
                <c:pt idx="45" formatCode="0">
                  <c:v>7034.0138751389331</c:v>
                </c:pt>
                <c:pt idx="46" formatCode="0">
                  <c:v>6707.5581091668846</c:v>
                </c:pt>
                <c:pt idx="47" formatCode="0">
                  <c:v>8009.2450819024943</c:v>
                </c:pt>
                <c:pt idx="48" formatCode="0">
                  <c:v>7538.2372178224805</c:v>
                </c:pt>
                <c:pt idx="49" formatCode="0">
                  <c:v>8314.6120901004288</c:v>
                </c:pt>
                <c:pt idx="50" formatCode="0">
                  <c:v>8225.2201421895479</c:v>
                </c:pt>
                <c:pt idx="51" formatCode="0">
                  <c:v>8460.889823045507</c:v>
                </c:pt>
                <c:pt idx="52" formatCode="0">
                  <c:v>8870.9898957665318</c:v>
                </c:pt>
                <c:pt idx="53" formatCode="0">
                  <c:v>8382.8169854220432</c:v>
                </c:pt>
                <c:pt idx="54" formatCode="0">
                  <c:v>8154.1129108968007</c:v>
                </c:pt>
                <c:pt idx="55" formatCode="0">
                  <c:v>7741.400735801757</c:v>
                </c:pt>
                <c:pt idx="56" formatCode="0">
                  <c:v>7960.2368680251484</c:v>
                </c:pt>
                <c:pt idx="57" formatCode="0">
                  <c:v>7017.5581446013075</c:v>
                </c:pt>
                <c:pt idx="58" formatCode="0">
                  <c:v>6293.135086206632</c:v>
                </c:pt>
                <c:pt idx="59" formatCode="0">
                  <c:v>7628.7901001218152</c:v>
                </c:pt>
                <c:pt idx="60" formatCode="0">
                  <c:v>6586.8765184825643</c:v>
                </c:pt>
                <c:pt idx="61" formatCode="0">
                  <c:v>8127.2404467861415</c:v>
                </c:pt>
                <c:pt idx="62" formatCode="0">
                  <c:v>8128.9561098090298</c:v>
                </c:pt>
                <c:pt idx="63" formatCode="0">
                  <c:v>8198.1312915328872</c:v>
                </c:pt>
                <c:pt idx="64" formatCode="0">
                  <c:v>9044.2260410248309</c:v>
                </c:pt>
                <c:pt idx="65" formatCode="0">
                  <c:v>7784.280018694195</c:v>
                </c:pt>
                <c:pt idx="66" formatCode="0">
                  <c:v>8020.1829728712382</c:v>
                </c:pt>
                <c:pt idx="67" formatCode="0">
                  <c:v>7189.3567011107125</c:v>
                </c:pt>
                <c:pt idx="68" formatCode="0">
                  <c:v>6895.7601202333353</c:v>
                </c:pt>
                <c:pt idx="69" formatCode="0">
                  <c:v>6555.1002270469198</c:v>
                </c:pt>
                <c:pt idx="70" formatCode="0">
                  <c:v>5446.2173286946254</c:v>
                </c:pt>
                <c:pt idx="71" formatCode="0">
                  <c:v>6909.5182998407727</c:v>
                </c:pt>
                <c:pt idx="72" formatCode="0">
                  <c:v>8260</c:v>
                </c:pt>
                <c:pt idx="73" formatCode="0">
                  <c:v>5792</c:v>
                </c:pt>
                <c:pt idx="74" formatCode="0">
                  <c:v>9199</c:v>
                </c:pt>
                <c:pt idx="75" formatCode="0">
                  <c:v>5673</c:v>
                </c:pt>
                <c:pt idx="76" formatCode="0">
                  <c:v>9118</c:v>
                </c:pt>
                <c:pt idx="77" formatCode="0">
                  <c:v>5957</c:v>
                </c:pt>
                <c:pt idx="78" formatCode="0">
                  <c:v>7116</c:v>
                </c:pt>
                <c:pt idx="79" formatCode="0">
                  <c:v>562</c:v>
                </c:pt>
                <c:pt idx="80" formatCode="0">
                  <c:v>4125</c:v>
                </c:pt>
                <c:pt idx="81" formatCode="0">
                  <c:v>2719</c:v>
                </c:pt>
                <c:pt idx="82" formatCode="0">
                  <c:v>4970</c:v>
                </c:pt>
                <c:pt idx="83" formatCode="0">
                  <c:v>6717</c:v>
                </c:pt>
              </c:numCache>
            </c:numRef>
          </c:val>
          <c:smooth val="0"/>
        </c:ser>
        <c:ser>
          <c:idx val="2"/>
          <c:order val="2"/>
          <c:tx>
            <c:strRef>
              <c:f>月間量回帰式!$R$3:$R$4</c:f>
              <c:strCache>
                <c:ptCount val="1"/>
                <c:pt idx="0">
                  <c:v>葛岡 600(300tx2炉〉</c:v>
                </c:pt>
              </c:strCache>
            </c:strRef>
          </c:tx>
          <c:spPr>
            <a:ln w="0">
              <a:solidFill>
                <a:srgbClr val="008000"/>
              </a:solidFill>
              <a:prstDash val="solid"/>
            </a:ln>
          </c:spPr>
          <c:marker>
            <c:symbol val="triangle"/>
            <c:size val="4"/>
            <c:spPr>
              <a:noFill/>
              <a:ln>
                <a:solidFill>
                  <a:srgbClr val="008000"/>
                </a:solidFill>
                <a:prstDash val="solid"/>
              </a:ln>
            </c:spPr>
          </c:marker>
          <c:cat>
            <c:numRef>
              <c:f>月間量回帰式!$B$20:$B$103</c:f>
              <c:numCache>
                <c:formatCode>[$-411]ge\.m</c:formatCode>
                <c:ptCount val="84"/>
                <c:pt idx="0">
                  <c:v>41012</c:v>
                </c:pt>
                <c:pt idx="1">
                  <c:v>41045</c:v>
                </c:pt>
                <c:pt idx="2">
                  <c:v>41073</c:v>
                </c:pt>
                <c:pt idx="3">
                  <c:v>41101</c:v>
                </c:pt>
                <c:pt idx="4">
                  <c:v>41129</c:v>
                </c:pt>
                <c:pt idx="5">
                  <c:v>41164</c:v>
                </c:pt>
                <c:pt idx="6">
                  <c:v>41199</c:v>
                </c:pt>
                <c:pt idx="7">
                  <c:v>41234</c:v>
                </c:pt>
                <c:pt idx="8">
                  <c:v>41262</c:v>
                </c:pt>
                <c:pt idx="9">
                  <c:v>41290</c:v>
                </c:pt>
                <c:pt idx="10">
                  <c:v>41318</c:v>
                </c:pt>
                <c:pt idx="11">
                  <c:v>41346</c:v>
                </c:pt>
                <c:pt idx="12">
                  <c:v>41376</c:v>
                </c:pt>
                <c:pt idx="13">
                  <c:v>41410</c:v>
                </c:pt>
                <c:pt idx="14">
                  <c:v>41437</c:v>
                </c:pt>
                <c:pt idx="15">
                  <c:v>41465</c:v>
                </c:pt>
                <c:pt idx="16">
                  <c:v>41493</c:v>
                </c:pt>
                <c:pt idx="17">
                  <c:v>41521</c:v>
                </c:pt>
                <c:pt idx="18">
                  <c:v>41557</c:v>
                </c:pt>
                <c:pt idx="19">
                  <c:v>41591</c:v>
                </c:pt>
                <c:pt idx="20">
                  <c:v>41619</c:v>
                </c:pt>
                <c:pt idx="21">
                  <c:v>41647</c:v>
                </c:pt>
                <c:pt idx="22">
                  <c:v>41675</c:v>
                </c:pt>
                <c:pt idx="23">
                  <c:v>41703</c:v>
                </c:pt>
                <c:pt idx="24">
                  <c:v>41739</c:v>
                </c:pt>
                <c:pt idx="25">
                  <c:v>41773</c:v>
                </c:pt>
                <c:pt idx="26">
                  <c:v>41801</c:v>
                </c:pt>
                <c:pt idx="27">
                  <c:v>41829</c:v>
                </c:pt>
                <c:pt idx="28">
                  <c:v>41857</c:v>
                </c:pt>
                <c:pt idx="29">
                  <c:v>41892</c:v>
                </c:pt>
                <c:pt idx="30">
                  <c:v>41920</c:v>
                </c:pt>
                <c:pt idx="31">
                  <c:v>41948</c:v>
                </c:pt>
                <c:pt idx="32">
                  <c:v>41984</c:v>
                </c:pt>
                <c:pt idx="33">
                  <c:v>42012</c:v>
                </c:pt>
                <c:pt idx="34">
                  <c:v>42039</c:v>
                </c:pt>
                <c:pt idx="35">
                  <c:v>42067</c:v>
                </c:pt>
                <c:pt idx="36">
                  <c:v>42095</c:v>
                </c:pt>
                <c:pt idx="37">
                  <c:v>42131</c:v>
                </c:pt>
                <c:pt idx="38">
                  <c:v>42158</c:v>
                </c:pt>
                <c:pt idx="39">
                  <c:v>42193</c:v>
                </c:pt>
                <c:pt idx="40">
                  <c:v>42221</c:v>
                </c:pt>
                <c:pt idx="41">
                  <c:v>42249</c:v>
                </c:pt>
                <c:pt idx="42">
                  <c:v>42284</c:v>
                </c:pt>
                <c:pt idx="43">
                  <c:v>42312</c:v>
                </c:pt>
                <c:pt idx="44">
                  <c:v>42340</c:v>
                </c:pt>
                <c:pt idx="45">
                  <c:v>42375</c:v>
                </c:pt>
                <c:pt idx="46">
                  <c:v>42403</c:v>
                </c:pt>
                <c:pt idx="47">
                  <c:v>42431</c:v>
                </c:pt>
                <c:pt idx="48">
                  <c:v>42461</c:v>
                </c:pt>
                <c:pt idx="49">
                  <c:v>42492</c:v>
                </c:pt>
                <c:pt idx="50">
                  <c:v>42522</c:v>
                </c:pt>
                <c:pt idx="51">
                  <c:v>42552</c:v>
                </c:pt>
                <c:pt idx="52">
                  <c:v>42585</c:v>
                </c:pt>
                <c:pt idx="53">
                  <c:v>42614</c:v>
                </c:pt>
                <c:pt idx="54">
                  <c:v>42647</c:v>
                </c:pt>
                <c:pt idx="55">
                  <c:v>42678</c:v>
                </c:pt>
                <c:pt idx="56">
                  <c:v>42705</c:v>
                </c:pt>
                <c:pt idx="57">
                  <c:v>42741</c:v>
                </c:pt>
                <c:pt idx="58">
                  <c:v>42767</c:v>
                </c:pt>
                <c:pt idx="59">
                  <c:v>42797</c:v>
                </c:pt>
                <c:pt idx="60">
                  <c:v>42828</c:v>
                </c:pt>
                <c:pt idx="61">
                  <c:v>42857</c:v>
                </c:pt>
                <c:pt idx="62">
                  <c:v>42887</c:v>
                </c:pt>
                <c:pt idx="63">
                  <c:v>42919</c:v>
                </c:pt>
                <c:pt idx="64">
                  <c:v>42948</c:v>
                </c:pt>
                <c:pt idx="65">
                  <c:v>42979</c:v>
                </c:pt>
                <c:pt idx="66">
                  <c:v>43010</c:v>
                </c:pt>
                <c:pt idx="67">
                  <c:v>43055</c:v>
                </c:pt>
                <c:pt idx="68">
                  <c:v>43070</c:v>
                </c:pt>
                <c:pt idx="69">
                  <c:v>43105</c:v>
                </c:pt>
                <c:pt idx="70">
                  <c:v>43132</c:v>
                </c:pt>
                <c:pt idx="71">
                  <c:v>43160</c:v>
                </c:pt>
                <c:pt idx="72">
                  <c:v>43192</c:v>
                </c:pt>
                <c:pt idx="73">
                  <c:v>43221</c:v>
                </c:pt>
                <c:pt idx="74">
                  <c:v>43252</c:v>
                </c:pt>
                <c:pt idx="75">
                  <c:v>43283</c:v>
                </c:pt>
                <c:pt idx="76">
                  <c:v>43313</c:v>
                </c:pt>
                <c:pt idx="77">
                  <c:v>43346</c:v>
                </c:pt>
                <c:pt idx="78">
                  <c:v>43374</c:v>
                </c:pt>
                <c:pt idx="79">
                  <c:v>43405</c:v>
                </c:pt>
                <c:pt idx="80">
                  <c:v>43437</c:v>
                </c:pt>
                <c:pt idx="81">
                  <c:v>43472</c:v>
                </c:pt>
                <c:pt idx="82">
                  <c:v>43504</c:v>
                </c:pt>
                <c:pt idx="83">
                  <c:v>43525</c:v>
                </c:pt>
              </c:numCache>
            </c:numRef>
          </c:cat>
          <c:val>
            <c:numRef>
              <c:f>月間量回帰式!$R$20:$R$103</c:f>
              <c:numCache>
                <c:formatCode>General</c:formatCode>
                <c:ptCount val="84"/>
                <c:pt idx="5" formatCode="0">
                  <c:v>9981.4154262554948</c:v>
                </c:pt>
                <c:pt idx="6" formatCode="0">
                  <c:v>11377.725828845743</c:v>
                </c:pt>
                <c:pt idx="7" formatCode="0">
                  <c:v>9919.9180485446723</c:v>
                </c:pt>
                <c:pt idx="8" formatCode="0">
                  <c:v>9749.2894861100176</c:v>
                </c:pt>
                <c:pt idx="9" formatCode="0">
                  <c:v>9077.4395215235691</c:v>
                </c:pt>
                <c:pt idx="10" formatCode="0">
                  <c:v>7790.2603036571518</c:v>
                </c:pt>
                <c:pt idx="11" formatCode="0">
                  <c:v>9644.7794916187922</c:v>
                </c:pt>
                <c:pt idx="12" formatCode="0">
                  <c:v>9834.7629809704449</c:v>
                </c:pt>
                <c:pt idx="13" formatCode="0">
                  <c:v>10366.390974095941</c:v>
                </c:pt>
                <c:pt idx="14" formatCode="0">
                  <c:v>10118.676461945342</c:v>
                </c:pt>
                <c:pt idx="15" formatCode="0">
                  <c:v>11535.049840158861</c:v>
                </c:pt>
                <c:pt idx="16" formatCode="0">
                  <c:v>11042.459950667415</c:v>
                </c:pt>
                <c:pt idx="17" formatCode="0">
                  <c:v>10230.822286930426</c:v>
                </c:pt>
                <c:pt idx="18" formatCode="0">
                  <c:v>10632.914754361125</c:v>
                </c:pt>
                <c:pt idx="19" formatCode="0">
                  <c:v>9651.6387857416357</c:v>
                </c:pt>
                <c:pt idx="20" formatCode="0">
                  <c:v>9959.3300207481807</c:v>
                </c:pt>
                <c:pt idx="21" formatCode="0">
                  <c:v>9145.9178977551001</c:v>
                </c:pt>
                <c:pt idx="22" formatCode="0">
                  <c:v>7548.1947835688652</c:v>
                </c:pt>
                <c:pt idx="23" formatCode="0">
                  <c:v>9495.8412630566618</c:v>
                </c:pt>
                <c:pt idx="24" formatCode="0">
                  <c:v>9919.4703140745714</c:v>
                </c:pt>
                <c:pt idx="25" formatCode="0">
                  <c:v>10225.516969384327</c:v>
                </c:pt>
                <c:pt idx="26" formatCode="0">
                  <c:v>10019.113411152166</c:v>
                </c:pt>
                <c:pt idx="27" formatCode="0">
                  <c:v>11096.326464201737</c:v>
                </c:pt>
                <c:pt idx="28" formatCode="0">
                  <c:v>10574.26780915591</c:v>
                </c:pt>
                <c:pt idx="29" formatCode="0">
                  <c:v>10628.715644344738</c:v>
                </c:pt>
                <c:pt idx="30" formatCode="0">
                  <c:v>10406.653885143241</c:v>
                </c:pt>
                <c:pt idx="31" formatCode="0">
                  <c:v>9332.999514132156</c:v>
                </c:pt>
                <c:pt idx="32" formatCode="0">
                  <c:v>10202.741404338019</c:v>
                </c:pt>
                <c:pt idx="33" formatCode="0">
                  <c:v>8868.5915081097937</c:v>
                </c:pt>
                <c:pt idx="34" formatCode="0">
                  <c:v>7691.0236215749319</c:v>
                </c:pt>
                <c:pt idx="35" formatCode="0">
                  <c:v>9689.5794543884058</c:v>
                </c:pt>
                <c:pt idx="36" formatCode="0">
                  <c:v>8939.3013173638155</c:v>
                </c:pt>
                <c:pt idx="37" formatCode="0">
                  <c:v>9099.5440305623542</c:v>
                </c:pt>
                <c:pt idx="38" formatCode="0">
                  <c:v>9316.4981566624356</c:v>
                </c:pt>
                <c:pt idx="39" formatCode="0">
                  <c:v>9981.2086706711943</c:v>
                </c:pt>
                <c:pt idx="40" formatCode="0">
                  <c:v>9599.3957861364015</c:v>
                </c:pt>
                <c:pt idx="41" formatCode="0">
                  <c:v>9696.003018579142</c:v>
                </c:pt>
                <c:pt idx="42" formatCode="0">
                  <c:v>9300.3419983358344</c:v>
                </c:pt>
                <c:pt idx="43" formatCode="0">
                  <c:v>8808.7331806835227</c:v>
                </c:pt>
                <c:pt idx="44" formatCode="0">
                  <c:v>9558.1810965277236</c:v>
                </c:pt>
                <c:pt idx="45" formatCode="0">
                  <c:v>7850.2443591441079</c:v>
                </c:pt>
                <c:pt idx="46" formatCode="0">
                  <c:v>7485.9065030033953</c:v>
                </c:pt>
                <c:pt idx="47" formatCode="0">
                  <c:v>8938.6418823300755</c:v>
                </c:pt>
                <c:pt idx="48" formatCode="0">
                  <c:v>7880.8481388634045</c:v>
                </c:pt>
                <c:pt idx="49" formatCode="0">
                  <c:v>8692.5090471704771</c:v>
                </c:pt>
                <c:pt idx="50" formatCode="0">
                  <c:v>8599.0542584756822</c:v>
                </c:pt>
                <c:pt idx="51" formatCode="0">
                  <c:v>8845.4350650346878</c:v>
                </c:pt>
                <c:pt idx="52" formatCode="0">
                  <c:v>9274.1740794039943</c:v>
                </c:pt>
                <c:pt idx="53" formatCode="0">
                  <c:v>8763.8138372460526</c:v>
                </c:pt>
                <c:pt idx="54" formatCode="0">
                  <c:v>8524.7152220139124</c:v>
                </c:pt>
                <c:pt idx="55" formatCode="0">
                  <c:v>8093.2453858970312</c:v>
                </c:pt>
                <c:pt idx="56" formatCode="0">
                  <c:v>8322.027563416108</c:v>
                </c:pt>
                <c:pt idx="57" formatCode="0">
                  <c:v>7336.5043371800812</c:v>
                </c:pt>
                <c:pt idx="58" formatCode="0">
                  <c:v>6579.1564391858929</c:v>
                </c:pt>
                <c:pt idx="59" formatCode="0">
                  <c:v>7975.5166261126778</c:v>
                </c:pt>
                <c:pt idx="60" formatCode="0">
                  <c:v>8597.7094317537703</c:v>
                </c:pt>
                <c:pt idx="61" formatCode="0">
                  <c:v>10608.313613803917</c:v>
                </c:pt>
                <c:pt idx="62" formatCode="0">
                  <c:v>10610.553032155271</c:v>
                </c:pt>
                <c:pt idx="63" formatCode="0">
                  <c:v>10700.84592146049</c:v>
                </c:pt>
                <c:pt idx="64" formatCode="0">
                  <c:v>11805.235352088539</c:v>
                </c:pt>
                <c:pt idx="65" formatCode="0">
                  <c:v>10160.6546818275</c:v>
                </c:pt>
                <c:pt idx="66" formatCode="0">
                  <c:v>10468.573776472042</c:v>
                </c:pt>
                <c:pt idx="67" formatCode="0">
                  <c:v>9384.1139641739519</c:v>
                </c:pt>
                <c:pt idx="68" formatCode="0">
                  <c:v>9000.8886091127042</c:v>
                </c:pt>
                <c:pt idx="69" formatCode="0">
                  <c:v>8556.2325162816487</c:v>
                </c:pt>
                <c:pt idx="70" formatCode="0">
                  <c:v>7108.8313198082842</c:v>
                </c:pt>
                <c:pt idx="71" formatCode="0">
                  <c:v>9018.8468675137392</c:v>
                </c:pt>
                <c:pt idx="72" formatCode="0">
                  <c:v>7180</c:v>
                </c:pt>
                <c:pt idx="73" formatCode="0">
                  <c:v>8158</c:v>
                </c:pt>
                <c:pt idx="74" formatCode="0">
                  <c:v>2246</c:v>
                </c:pt>
                <c:pt idx="75" formatCode="0">
                  <c:v>8431</c:v>
                </c:pt>
                <c:pt idx="76" formatCode="0">
                  <c:v>9175</c:v>
                </c:pt>
                <c:pt idx="77" formatCode="0">
                  <c:v>16153</c:v>
                </c:pt>
                <c:pt idx="78" formatCode="0">
                  <c:v>14477</c:v>
                </c:pt>
                <c:pt idx="79" formatCode="0">
                  <c:v>14199</c:v>
                </c:pt>
                <c:pt idx="80" formatCode="0">
                  <c:v>10566</c:v>
                </c:pt>
                <c:pt idx="81" formatCode="0">
                  <c:v>10461</c:v>
                </c:pt>
                <c:pt idx="82" formatCode="0">
                  <c:v>10958</c:v>
                </c:pt>
                <c:pt idx="83" formatCode="0">
                  <c:v>12260</c:v>
                </c:pt>
              </c:numCache>
            </c:numRef>
          </c:val>
          <c:smooth val="0"/>
        </c:ser>
        <c:ser>
          <c:idx val="3"/>
          <c:order val="3"/>
          <c:tx>
            <c:strRef>
              <c:f>月間量回帰式!$V$3:$V$4</c:f>
              <c:strCache>
                <c:ptCount val="1"/>
                <c:pt idx="0">
                  <c:v>松森 600(200tx3炉〉</c:v>
                </c:pt>
              </c:strCache>
            </c:strRef>
          </c:tx>
          <c:spPr>
            <a:ln w="0">
              <a:solidFill>
                <a:srgbClr val="66FFFF"/>
              </a:solidFill>
              <a:prstDash val="solid"/>
            </a:ln>
          </c:spPr>
          <c:marker>
            <c:symbol val="circle"/>
            <c:size val="4"/>
            <c:spPr>
              <a:noFill/>
              <a:ln>
                <a:solidFill>
                  <a:srgbClr val="66FFFF"/>
                </a:solidFill>
              </a:ln>
            </c:spPr>
          </c:marker>
          <c:cat>
            <c:numRef>
              <c:f>月間量回帰式!$B$20:$B$103</c:f>
              <c:numCache>
                <c:formatCode>[$-411]ge\.m</c:formatCode>
                <c:ptCount val="84"/>
                <c:pt idx="0">
                  <c:v>41012</c:v>
                </c:pt>
                <c:pt idx="1">
                  <c:v>41045</c:v>
                </c:pt>
                <c:pt idx="2">
                  <c:v>41073</c:v>
                </c:pt>
                <c:pt idx="3">
                  <c:v>41101</c:v>
                </c:pt>
                <c:pt idx="4">
                  <c:v>41129</c:v>
                </c:pt>
                <c:pt idx="5">
                  <c:v>41164</c:v>
                </c:pt>
                <c:pt idx="6">
                  <c:v>41199</c:v>
                </c:pt>
                <c:pt idx="7">
                  <c:v>41234</c:v>
                </c:pt>
                <c:pt idx="8">
                  <c:v>41262</c:v>
                </c:pt>
                <c:pt idx="9">
                  <c:v>41290</c:v>
                </c:pt>
                <c:pt idx="10">
                  <c:v>41318</c:v>
                </c:pt>
                <c:pt idx="11">
                  <c:v>41346</c:v>
                </c:pt>
                <c:pt idx="12">
                  <c:v>41376</c:v>
                </c:pt>
                <c:pt idx="13">
                  <c:v>41410</c:v>
                </c:pt>
                <c:pt idx="14">
                  <c:v>41437</c:v>
                </c:pt>
                <c:pt idx="15">
                  <c:v>41465</c:v>
                </c:pt>
                <c:pt idx="16">
                  <c:v>41493</c:v>
                </c:pt>
                <c:pt idx="17">
                  <c:v>41521</c:v>
                </c:pt>
                <c:pt idx="18">
                  <c:v>41557</c:v>
                </c:pt>
                <c:pt idx="19">
                  <c:v>41591</c:v>
                </c:pt>
                <c:pt idx="20">
                  <c:v>41619</c:v>
                </c:pt>
                <c:pt idx="21">
                  <c:v>41647</c:v>
                </c:pt>
                <c:pt idx="22">
                  <c:v>41675</c:v>
                </c:pt>
                <c:pt idx="23">
                  <c:v>41703</c:v>
                </c:pt>
                <c:pt idx="24">
                  <c:v>41739</c:v>
                </c:pt>
                <c:pt idx="25">
                  <c:v>41773</c:v>
                </c:pt>
                <c:pt idx="26">
                  <c:v>41801</c:v>
                </c:pt>
                <c:pt idx="27">
                  <c:v>41829</c:v>
                </c:pt>
                <c:pt idx="28">
                  <c:v>41857</c:v>
                </c:pt>
                <c:pt idx="29">
                  <c:v>41892</c:v>
                </c:pt>
                <c:pt idx="30">
                  <c:v>41920</c:v>
                </c:pt>
                <c:pt idx="31">
                  <c:v>41948</c:v>
                </c:pt>
                <c:pt idx="32">
                  <c:v>41984</c:v>
                </c:pt>
                <c:pt idx="33">
                  <c:v>42012</c:v>
                </c:pt>
                <c:pt idx="34">
                  <c:v>42039</c:v>
                </c:pt>
                <c:pt idx="35">
                  <c:v>42067</c:v>
                </c:pt>
                <c:pt idx="36">
                  <c:v>42095</c:v>
                </c:pt>
                <c:pt idx="37">
                  <c:v>42131</c:v>
                </c:pt>
                <c:pt idx="38">
                  <c:v>42158</c:v>
                </c:pt>
                <c:pt idx="39">
                  <c:v>42193</c:v>
                </c:pt>
                <c:pt idx="40">
                  <c:v>42221</c:v>
                </c:pt>
                <c:pt idx="41">
                  <c:v>42249</c:v>
                </c:pt>
                <c:pt idx="42">
                  <c:v>42284</c:v>
                </c:pt>
                <c:pt idx="43">
                  <c:v>42312</c:v>
                </c:pt>
                <c:pt idx="44">
                  <c:v>42340</c:v>
                </c:pt>
                <c:pt idx="45">
                  <c:v>42375</c:v>
                </c:pt>
                <c:pt idx="46">
                  <c:v>42403</c:v>
                </c:pt>
                <c:pt idx="47">
                  <c:v>42431</c:v>
                </c:pt>
                <c:pt idx="48">
                  <c:v>42461</c:v>
                </c:pt>
                <c:pt idx="49">
                  <c:v>42492</c:v>
                </c:pt>
                <c:pt idx="50">
                  <c:v>42522</c:v>
                </c:pt>
                <c:pt idx="51">
                  <c:v>42552</c:v>
                </c:pt>
                <c:pt idx="52">
                  <c:v>42585</c:v>
                </c:pt>
                <c:pt idx="53">
                  <c:v>42614</c:v>
                </c:pt>
                <c:pt idx="54">
                  <c:v>42647</c:v>
                </c:pt>
                <c:pt idx="55">
                  <c:v>42678</c:v>
                </c:pt>
                <c:pt idx="56">
                  <c:v>42705</c:v>
                </c:pt>
                <c:pt idx="57">
                  <c:v>42741</c:v>
                </c:pt>
                <c:pt idx="58">
                  <c:v>42767</c:v>
                </c:pt>
                <c:pt idx="59">
                  <c:v>42797</c:v>
                </c:pt>
                <c:pt idx="60">
                  <c:v>42828</c:v>
                </c:pt>
                <c:pt idx="61">
                  <c:v>42857</c:v>
                </c:pt>
                <c:pt idx="62">
                  <c:v>42887</c:v>
                </c:pt>
                <c:pt idx="63">
                  <c:v>42919</c:v>
                </c:pt>
                <c:pt idx="64">
                  <c:v>42948</c:v>
                </c:pt>
                <c:pt idx="65">
                  <c:v>42979</c:v>
                </c:pt>
                <c:pt idx="66">
                  <c:v>43010</c:v>
                </c:pt>
                <c:pt idx="67">
                  <c:v>43055</c:v>
                </c:pt>
                <c:pt idx="68">
                  <c:v>43070</c:v>
                </c:pt>
                <c:pt idx="69">
                  <c:v>43105</c:v>
                </c:pt>
                <c:pt idx="70">
                  <c:v>43132</c:v>
                </c:pt>
                <c:pt idx="71">
                  <c:v>43160</c:v>
                </c:pt>
                <c:pt idx="72">
                  <c:v>43192</c:v>
                </c:pt>
                <c:pt idx="73">
                  <c:v>43221</c:v>
                </c:pt>
                <c:pt idx="74">
                  <c:v>43252</c:v>
                </c:pt>
                <c:pt idx="75">
                  <c:v>43283</c:v>
                </c:pt>
                <c:pt idx="76">
                  <c:v>43313</c:v>
                </c:pt>
                <c:pt idx="77">
                  <c:v>43346</c:v>
                </c:pt>
                <c:pt idx="78">
                  <c:v>43374</c:v>
                </c:pt>
                <c:pt idx="79">
                  <c:v>43405</c:v>
                </c:pt>
                <c:pt idx="80">
                  <c:v>43437</c:v>
                </c:pt>
                <c:pt idx="81">
                  <c:v>43472</c:v>
                </c:pt>
                <c:pt idx="82">
                  <c:v>43504</c:v>
                </c:pt>
                <c:pt idx="83">
                  <c:v>43525</c:v>
                </c:pt>
              </c:numCache>
            </c:numRef>
          </c:cat>
          <c:val>
            <c:numRef>
              <c:f>月間量回帰式!$V$20:$V$103</c:f>
              <c:numCache>
                <c:formatCode>General</c:formatCode>
                <c:ptCount val="84"/>
                <c:pt idx="5" formatCode="0">
                  <c:v>9688.1530961562239</c:v>
                </c:pt>
                <c:pt idx="6" formatCode="0">
                  <c:v>11043.438731745156</c:v>
                </c:pt>
                <c:pt idx="7" formatCode="0">
                  <c:v>9628.4625628168942</c:v>
                </c:pt>
                <c:pt idx="8" formatCode="0">
                  <c:v>9462.8472101991028</c:v>
                </c:pt>
                <c:pt idx="9" formatCode="0">
                  <c:v>8810.7367592665469</c:v>
                </c:pt>
                <c:pt idx="10" formatCode="0">
                  <c:v>7561.375942956076</c:v>
                </c:pt>
                <c:pt idx="11" formatCode="0">
                  <c:v>9361.4078067207047</c:v>
                </c:pt>
                <c:pt idx="12" formatCode="0">
                  <c:v>11670.401149312698</c:v>
                </c:pt>
                <c:pt idx="13" formatCode="0">
                  <c:v>12301.256407744801</c:v>
                </c:pt>
                <c:pt idx="14" formatCode="0">
                  <c:v>12007.306494269762</c:v>
                </c:pt>
                <c:pt idx="15" formatCode="0">
                  <c:v>13688.043033924316</c:v>
                </c:pt>
                <c:pt idx="16" formatCode="0">
                  <c:v>13103.512260423809</c:v>
                </c:pt>
                <c:pt idx="17" formatCode="0">
                  <c:v>12140.384105527803</c:v>
                </c:pt>
                <c:pt idx="18" formatCode="0">
                  <c:v>12617.526300323245</c:v>
                </c:pt>
                <c:pt idx="19" formatCode="0">
                  <c:v>11453.097201815392</c:v>
                </c:pt>
                <c:pt idx="20" formatCode="0">
                  <c:v>11818.218369412611</c:v>
                </c:pt>
                <c:pt idx="21" formatCode="0">
                  <c:v>10852.984556110621</c:v>
                </c:pt>
                <c:pt idx="22" formatCode="0">
                  <c:v>8957.0497273647434</c:v>
                </c:pt>
                <c:pt idx="23" formatCode="0">
                  <c:v>11268.220393770203</c:v>
                </c:pt>
                <c:pt idx="24" formatCode="0">
                  <c:v>11451.259573396037</c:v>
                </c:pt>
                <c:pt idx="25" formatCode="0">
                  <c:v>11804.566713853832</c:v>
                </c:pt>
                <c:pt idx="26" formatCode="0">
                  <c:v>11566.289805172994</c:v>
                </c:pt>
                <c:pt idx="27" formatCode="0">
                  <c:v>12809.848775133163</c:v>
                </c:pt>
                <c:pt idx="28" formatCode="0">
                  <c:v>12207.17252507318</c:v>
                </c:pt>
                <c:pt idx="29" formatCode="0">
                  <c:v>12270.028330294161</c:v>
                </c:pt>
                <c:pt idx="30" formatCode="0">
                  <c:v>12013.675242334086</c:v>
                </c:pt>
                <c:pt idx="31" formatCode="0">
                  <c:v>10774.224494937376</c:v>
                </c:pt>
                <c:pt idx="32" formatCode="0">
                  <c:v>11778.27408944767</c:v>
                </c:pt>
                <c:pt idx="33" formatCode="0">
                  <c:v>10238.101450405489</c:v>
                </c:pt>
                <c:pt idx="34" formatCode="0">
                  <c:v>8878.6906041556704</c:v>
                </c:pt>
                <c:pt idx="35" formatCode="0">
                  <c:v>11185.868395796344</c:v>
                </c:pt>
                <c:pt idx="36" formatCode="0">
                  <c:v>11442.987409427442</c:v>
                </c:pt>
                <c:pt idx="37" formatCode="0">
                  <c:v>11648.110302647483</c:v>
                </c:pt>
                <c:pt idx="38" formatCode="0">
                  <c:v>11925.8281292705</c:v>
                </c:pt>
                <c:pt idx="39" formatCode="0">
                  <c:v>12776.708278924001</c:v>
                </c:pt>
                <c:pt idx="40" formatCode="0">
                  <c:v>12287.958669152793</c:v>
                </c:pt>
                <c:pt idx="41" formatCode="0">
                  <c:v>12411.623294077634</c:v>
                </c:pt>
                <c:pt idx="42" formatCode="0">
                  <c:v>11905.147014521977</c:v>
                </c:pt>
                <c:pt idx="43" formatCode="0">
                  <c:v>11275.850237174076</c:v>
                </c:pt>
                <c:pt idx="44" formatCode="0">
                  <c:v>12235.200723365746</c:v>
                </c:pt>
                <c:pt idx="45" formatCode="0">
                  <c:v>10048.911449950499</c:v>
                </c:pt>
                <c:pt idx="46" formatCode="0">
                  <c:v>9582.5312091930009</c:v>
                </c:pt>
                <c:pt idx="47" formatCode="0">
                  <c:v>11442.143282294848</c:v>
                </c:pt>
                <c:pt idx="48" formatCode="0">
                  <c:v>11813.18311583508</c:v>
                </c:pt>
                <c:pt idx="49" formatCode="0">
                  <c:v>13029.841369978183</c:v>
                </c:pt>
                <c:pt idx="50" formatCode="0">
                  <c:v>12889.755111183389</c:v>
                </c:pt>
                <c:pt idx="51" formatCode="0">
                  <c:v>13259.073429824211</c:v>
                </c:pt>
                <c:pt idx="52" formatCode="0">
                  <c:v>13901.74188332111</c:v>
                </c:pt>
                <c:pt idx="53" formatCode="0">
                  <c:v>13136.72536613655</c:v>
                </c:pt>
                <c:pt idx="54" formatCode="0">
                  <c:v>12778.322859869348</c:v>
                </c:pt>
                <c:pt idx="55" formatCode="0">
                  <c:v>12131.56097673234</c:v>
                </c:pt>
                <c:pt idx="56" formatCode="0">
                  <c:v>12474.499415470247</c:v>
                </c:pt>
                <c:pt idx="57" formatCode="0">
                  <c:v>10997.226140906958</c:v>
                </c:pt>
                <c:pt idx="58" formatCode="0">
                  <c:v>9861.981654050438</c:v>
                </c:pt>
                <c:pt idx="59" formatCode="0">
                  <c:v>11955.088676692145</c:v>
                </c:pt>
                <c:pt idx="60" formatCode="0">
                  <c:v>9158.978953961845</c:v>
                </c:pt>
                <c:pt idx="61" formatCode="0">
                  <c:v>11300.837961214738</c:v>
                </c:pt>
                <c:pt idx="62" formatCode="0">
                  <c:v>11303.223571674358</c:v>
                </c:pt>
                <c:pt idx="63" formatCode="0">
                  <c:v>11399.410896845478</c:v>
                </c:pt>
                <c:pt idx="64" formatCode="0">
                  <c:v>12575.89628895961</c:v>
                </c:pt>
                <c:pt idx="65" formatCode="0">
                  <c:v>10823.955278789786</c:v>
                </c:pt>
                <c:pt idx="66" formatCode="0">
                  <c:v>11151.975727696383</c:v>
                </c:pt>
                <c:pt idx="67" formatCode="0">
                  <c:v>9996.7209850120216</c:v>
                </c:pt>
                <c:pt idx="68" formatCode="0">
                  <c:v>9588.478186218741</c:v>
                </c:pt>
                <c:pt idx="69" formatCode="0">
                  <c:v>9114.7943721380652</c:v>
                </c:pt>
                <c:pt idx="70" formatCode="0">
                  <c:v>7572.9049652365075</c:v>
                </c:pt>
                <c:pt idx="71" formatCode="0">
                  <c:v>9607.6087828096697</c:v>
                </c:pt>
                <c:pt idx="72" formatCode="0">
                  <c:v>13619</c:v>
                </c:pt>
                <c:pt idx="73" formatCode="0">
                  <c:v>12139</c:v>
                </c:pt>
                <c:pt idx="74" formatCode="0">
                  <c:v>12060</c:v>
                </c:pt>
                <c:pt idx="75" formatCode="0">
                  <c:v>9208</c:v>
                </c:pt>
                <c:pt idx="76" formatCode="0">
                  <c:v>12284</c:v>
                </c:pt>
                <c:pt idx="77" formatCode="0">
                  <c:v>12338</c:v>
                </c:pt>
                <c:pt idx="78" formatCode="0">
                  <c:v>770</c:v>
                </c:pt>
                <c:pt idx="79" formatCode="0">
                  <c:v>11814</c:v>
                </c:pt>
                <c:pt idx="80" formatCode="0">
                  <c:v>12084</c:v>
                </c:pt>
                <c:pt idx="81" formatCode="0">
                  <c:v>9318</c:v>
                </c:pt>
                <c:pt idx="82" formatCode="0">
                  <c:v>10658</c:v>
                </c:pt>
                <c:pt idx="83" formatCode="0">
                  <c:v>11827</c:v>
                </c:pt>
              </c:numCache>
            </c:numRef>
          </c:val>
          <c:smooth val="0"/>
        </c:ser>
        <c:ser>
          <c:idx val="4"/>
          <c:order val="4"/>
          <c:tx>
            <c:strRef>
              <c:f>月間量回帰式!$F$3:$F$4</c:f>
              <c:strCache>
                <c:ptCount val="1"/>
                <c:pt idx="0">
                  <c:v>宮城東部 180(90tx2炉〉</c:v>
                </c:pt>
              </c:strCache>
            </c:strRef>
          </c:tx>
          <c:spPr>
            <a:ln w="0">
              <a:solidFill>
                <a:srgbClr val="FF00FF"/>
              </a:solidFill>
              <a:prstDash val="solid"/>
            </a:ln>
          </c:spPr>
          <c:marker>
            <c:symbol val="x"/>
            <c:size val="3"/>
            <c:spPr>
              <a:noFill/>
              <a:ln>
                <a:solidFill>
                  <a:srgbClr val="FF00FF"/>
                </a:solidFill>
              </a:ln>
            </c:spPr>
          </c:marker>
          <c:cat>
            <c:numRef>
              <c:f>月間量回帰式!$B$20:$B$103</c:f>
              <c:numCache>
                <c:formatCode>[$-411]ge\.m</c:formatCode>
                <c:ptCount val="84"/>
                <c:pt idx="0">
                  <c:v>41012</c:v>
                </c:pt>
                <c:pt idx="1">
                  <c:v>41045</c:v>
                </c:pt>
                <c:pt idx="2">
                  <c:v>41073</c:v>
                </c:pt>
                <c:pt idx="3">
                  <c:v>41101</c:v>
                </c:pt>
                <c:pt idx="4">
                  <c:v>41129</c:v>
                </c:pt>
                <c:pt idx="5">
                  <c:v>41164</c:v>
                </c:pt>
                <c:pt idx="6">
                  <c:v>41199</c:v>
                </c:pt>
                <c:pt idx="7">
                  <c:v>41234</c:v>
                </c:pt>
                <c:pt idx="8">
                  <c:v>41262</c:v>
                </c:pt>
                <c:pt idx="9">
                  <c:v>41290</c:v>
                </c:pt>
                <c:pt idx="10">
                  <c:v>41318</c:v>
                </c:pt>
                <c:pt idx="11">
                  <c:v>41346</c:v>
                </c:pt>
                <c:pt idx="12">
                  <c:v>41376</c:v>
                </c:pt>
                <c:pt idx="13">
                  <c:v>41410</c:v>
                </c:pt>
                <c:pt idx="14">
                  <c:v>41437</c:v>
                </c:pt>
                <c:pt idx="15">
                  <c:v>41465</c:v>
                </c:pt>
                <c:pt idx="16">
                  <c:v>41493</c:v>
                </c:pt>
                <c:pt idx="17">
                  <c:v>41521</c:v>
                </c:pt>
                <c:pt idx="18">
                  <c:v>41557</c:v>
                </c:pt>
                <c:pt idx="19">
                  <c:v>41591</c:v>
                </c:pt>
                <c:pt idx="20">
                  <c:v>41619</c:v>
                </c:pt>
                <c:pt idx="21">
                  <c:v>41647</c:v>
                </c:pt>
                <c:pt idx="22">
                  <c:v>41675</c:v>
                </c:pt>
                <c:pt idx="23">
                  <c:v>41703</c:v>
                </c:pt>
                <c:pt idx="24">
                  <c:v>41739</c:v>
                </c:pt>
                <c:pt idx="25">
                  <c:v>41773</c:v>
                </c:pt>
                <c:pt idx="26">
                  <c:v>41801</c:v>
                </c:pt>
                <c:pt idx="27">
                  <c:v>41829</c:v>
                </c:pt>
                <c:pt idx="28">
                  <c:v>41857</c:v>
                </c:pt>
                <c:pt idx="29">
                  <c:v>41892</c:v>
                </c:pt>
                <c:pt idx="30">
                  <c:v>41920</c:v>
                </c:pt>
                <c:pt idx="31">
                  <c:v>41948</c:v>
                </c:pt>
                <c:pt idx="32">
                  <c:v>41984</c:v>
                </c:pt>
                <c:pt idx="33">
                  <c:v>42012</c:v>
                </c:pt>
                <c:pt idx="34">
                  <c:v>42039</c:v>
                </c:pt>
                <c:pt idx="35">
                  <c:v>42067</c:v>
                </c:pt>
                <c:pt idx="36">
                  <c:v>42095</c:v>
                </c:pt>
                <c:pt idx="37">
                  <c:v>42131</c:v>
                </c:pt>
                <c:pt idx="38">
                  <c:v>42158</c:v>
                </c:pt>
                <c:pt idx="39">
                  <c:v>42193</c:v>
                </c:pt>
                <c:pt idx="40">
                  <c:v>42221</c:v>
                </c:pt>
                <c:pt idx="41">
                  <c:v>42249</c:v>
                </c:pt>
                <c:pt idx="42">
                  <c:v>42284</c:v>
                </c:pt>
                <c:pt idx="43">
                  <c:v>42312</c:v>
                </c:pt>
                <c:pt idx="44">
                  <c:v>42340</c:v>
                </c:pt>
                <c:pt idx="45">
                  <c:v>42375</c:v>
                </c:pt>
                <c:pt idx="46">
                  <c:v>42403</c:v>
                </c:pt>
                <c:pt idx="47">
                  <c:v>42431</c:v>
                </c:pt>
                <c:pt idx="48">
                  <c:v>42461</c:v>
                </c:pt>
                <c:pt idx="49">
                  <c:v>42492</c:v>
                </c:pt>
                <c:pt idx="50">
                  <c:v>42522</c:v>
                </c:pt>
                <c:pt idx="51">
                  <c:v>42552</c:v>
                </c:pt>
                <c:pt idx="52">
                  <c:v>42585</c:v>
                </c:pt>
                <c:pt idx="53">
                  <c:v>42614</c:v>
                </c:pt>
                <c:pt idx="54">
                  <c:v>42647</c:v>
                </c:pt>
                <c:pt idx="55">
                  <c:v>42678</c:v>
                </c:pt>
                <c:pt idx="56">
                  <c:v>42705</c:v>
                </c:pt>
                <c:pt idx="57">
                  <c:v>42741</c:v>
                </c:pt>
                <c:pt idx="58">
                  <c:v>42767</c:v>
                </c:pt>
                <c:pt idx="59">
                  <c:v>42797</c:v>
                </c:pt>
                <c:pt idx="60">
                  <c:v>42828</c:v>
                </c:pt>
                <c:pt idx="61">
                  <c:v>42857</c:v>
                </c:pt>
                <c:pt idx="62">
                  <c:v>42887</c:v>
                </c:pt>
                <c:pt idx="63">
                  <c:v>42919</c:v>
                </c:pt>
                <c:pt idx="64">
                  <c:v>42948</c:v>
                </c:pt>
                <c:pt idx="65">
                  <c:v>42979</c:v>
                </c:pt>
                <c:pt idx="66">
                  <c:v>43010</c:v>
                </c:pt>
                <c:pt idx="67">
                  <c:v>43055</c:v>
                </c:pt>
                <c:pt idx="68">
                  <c:v>43070</c:v>
                </c:pt>
                <c:pt idx="69">
                  <c:v>43105</c:v>
                </c:pt>
                <c:pt idx="70">
                  <c:v>43132</c:v>
                </c:pt>
                <c:pt idx="71">
                  <c:v>43160</c:v>
                </c:pt>
                <c:pt idx="72">
                  <c:v>43192</c:v>
                </c:pt>
                <c:pt idx="73">
                  <c:v>43221</c:v>
                </c:pt>
                <c:pt idx="74">
                  <c:v>43252</c:v>
                </c:pt>
                <c:pt idx="75">
                  <c:v>43283</c:v>
                </c:pt>
                <c:pt idx="76">
                  <c:v>43313</c:v>
                </c:pt>
                <c:pt idx="77">
                  <c:v>43346</c:v>
                </c:pt>
                <c:pt idx="78">
                  <c:v>43374</c:v>
                </c:pt>
                <c:pt idx="79">
                  <c:v>43405</c:v>
                </c:pt>
                <c:pt idx="80">
                  <c:v>43437</c:v>
                </c:pt>
                <c:pt idx="81">
                  <c:v>43472</c:v>
                </c:pt>
                <c:pt idx="82">
                  <c:v>43504</c:v>
                </c:pt>
                <c:pt idx="83">
                  <c:v>43525</c:v>
                </c:pt>
              </c:numCache>
            </c:numRef>
          </c:cat>
          <c:val>
            <c:numRef>
              <c:f>月間量回帰式!$F$20:$F$103</c:f>
              <c:numCache>
                <c:formatCode>0</c:formatCode>
                <c:ptCount val="84"/>
                <c:pt idx="0">
                  <c:v>3453.58</c:v>
                </c:pt>
                <c:pt idx="1">
                  <c:v>3056.66</c:v>
                </c:pt>
                <c:pt idx="2">
                  <c:v>3703.76</c:v>
                </c:pt>
                <c:pt idx="3">
                  <c:v>3890.44</c:v>
                </c:pt>
                <c:pt idx="4">
                  <c:v>4693.46</c:v>
                </c:pt>
                <c:pt idx="5">
                  <c:v>4639.37</c:v>
                </c:pt>
                <c:pt idx="6">
                  <c:v>4819.8100000000004</c:v>
                </c:pt>
                <c:pt idx="7">
                  <c:v>4550.29</c:v>
                </c:pt>
                <c:pt idx="8">
                  <c:v>4161.66</c:v>
                </c:pt>
                <c:pt idx="9">
                  <c:v>3121.59</c:v>
                </c:pt>
                <c:pt idx="10">
                  <c:v>2658.44</c:v>
                </c:pt>
                <c:pt idx="11">
                  <c:v>3137.77</c:v>
                </c:pt>
                <c:pt idx="12">
                  <c:v>3274.12</c:v>
                </c:pt>
                <c:pt idx="13">
                  <c:v>3669.2</c:v>
                </c:pt>
                <c:pt idx="14">
                  <c:v>3632.79</c:v>
                </c:pt>
                <c:pt idx="15">
                  <c:v>4241.7700000000004</c:v>
                </c:pt>
                <c:pt idx="16">
                  <c:v>4204.96</c:v>
                </c:pt>
                <c:pt idx="17">
                  <c:v>3639.07</c:v>
                </c:pt>
                <c:pt idx="18">
                  <c:v>3922.53</c:v>
                </c:pt>
                <c:pt idx="19">
                  <c:v>3376.88</c:v>
                </c:pt>
                <c:pt idx="20">
                  <c:v>3260.82</c:v>
                </c:pt>
                <c:pt idx="21">
                  <c:v>3094.86</c:v>
                </c:pt>
                <c:pt idx="22">
                  <c:v>2416.7399999999998</c:v>
                </c:pt>
                <c:pt idx="23">
                  <c:v>3025.7</c:v>
                </c:pt>
                <c:pt idx="24">
                  <c:v>3232.15</c:v>
                </c:pt>
                <c:pt idx="25">
                  <c:v>3633.7</c:v>
                </c:pt>
                <c:pt idx="26">
                  <c:v>3717.2</c:v>
                </c:pt>
                <c:pt idx="27">
                  <c:v>3963.2</c:v>
                </c:pt>
                <c:pt idx="28">
                  <c:v>3892.13</c:v>
                </c:pt>
                <c:pt idx="29">
                  <c:v>3780.22</c:v>
                </c:pt>
                <c:pt idx="30">
                  <c:v>3844.77</c:v>
                </c:pt>
                <c:pt idx="31">
                  <c:v>3193.13</c:v>
                </c:pt>
                <c:pt idx="32">
                  <c:v>3325.02</c:v>
                </c:pt>
                <c:pt idx="33">
                  <c:v>3093.86</c:v>
                </c:pt>
                <c:pt idx="34">
                  <c:v>2539.4899999999998</c:v>
                </c:pt>
                <c:pt idx="35">
                  <c:v>3137.62</c:v>
                </c:pt>
                <c:pt idx="36">
                  <c:v>3213.16</c:v>
                </c:pt>
                <c:pt idx="37">
                  <c:v>3508.9</c:v>
                </c:pt>
                <c:pt idx="38">
                  <c:v>3648.39</c:v>
                </c:pt>
                <c:pt idx="39">
                  <c:v>3828.38</c:v>
                </c:pt>
                <c:pt idx="40">
                  <c:v>3788.74</c:v>
                </c:pt>
                <c:pt idx="41">
                  <c:v>3700.23</c:v>
                </c:pt>
                <c:pt idx="42">
                  <c:v>3571.69</c:v>
                </c:pt>
                <c:pt idx="43">
                  <c:v>3233.36</c:v>
                </c:pt>
                <c:pt idx="44">
                  <c:v>3359.44</c:v>
                </c:pt>
                <c:pt idx="45">
                  <c:v>2915.17</c:v>
                </c:pt>
                <c:pt idx="46">
                  <c:v>2728.16</c:v>
                </c:pt>
                <c:pt idx="47">
                  <c:v>3122.56</c:v>
                </c:pt>
                <c:pt idx="48">
                  <c:v>3162.5</c:v>
                </c:pt>
                <c:pt idx="49">
                  <c:v>3654.06</c:v>
                </c:pt>
                <c:pt idx="50">
                  <c:v>3658.47</c:v>
                </c:pt>
                <c:pt idx="51">
                  <c:v>3848.64</c:v>
                </c:pt>
                <c:pt idx="52">
                  <c:v>3988.3</c:v>
                </c:pt>
                <c:pt idx="53">
                  <c:v>3674.49</c:v>
                </c:pt>
                <c:pt idx="54">
                  <c:v>3668.54</c:v>
                </c:pt>
                <c:pt idx="55">
                  <c:v>3240.38</c:v>
                </c:pt>
                <c:pt idx="56">
                  <c:v>3200.46</c:v>
                </c:pt>
                <c:pt idx="57">
                  <c:v>2885.05</c:v>
                </c:pt>
                <c:pt idx="58">
                  <c:v>2475.5</c:v>
                </c:pt>
                <c:pt idx="59">
                  <c:v>2975.21</c:v>
                </c:pt>
                <c:pt idx="60">
                  <c:v>2943.86</c:v>
                </c:pt>
                <c:pt idx="61">
                  <c:v>3705.96</c:v>
                </c:pt>
                <c:pt idx="62">
                  <c:v>3770.52</c:v>
                </c:pt>
                <c:pt idx="63">
                  <c:v>3885.4</c:v>
                </c:pt>
                <c:pt idx="64">
                  <c:v>4267.82</c:v>
                </c:pt>
                <c:pt idx="65">
                  <c:v>3661.59</c:v>
                </c:pt>
                <c:pt idx="66">
                  <c:v>3700.68</c:v>
                </c:pt>
                <c:pt idx="67">
                  <c:v>3337.72</c:v>
                </c:pt>
                <c:pt idx="68">
                  <c:v>3094.41</c:v>
                </c:pt>
                <c:pt idx="69">
                  <c:v>2901.53</c:v>
                </c:pt>
                <c:pt idx="70">
                  <c:v>2403.42</c:v>
                </c:pt>
                <c:pt idx="71">
                  <c:v>3074.8</c:v>
                </c:pt>
                <c:pt idx="72">
                  <c:v>2997.38</c:v>
                </c:pt>
                <c:pt idx="73">
                  <c:v>3801.51</c:v>
                </c:pt>
                <c:pt idx="74">
                  <c:v>3646.96</c:v>
                </c:pt>
                <c:pt idx="75">
                  <c:v>3865.93</c:v>
                </c:pt>
                <c:pt idx="76">
                  <c:v>3797.17</c:v>
                </c:pt>
                <c:pt idx="77">
                  <c:v>3534.99</c:v>
                </c:pt>
                <c:pt idx="78">
                  <c:v>3963.28</c:v>
                </c:pt>
                <c:pt idx="79">
                  <c:v>3357.65</c:v>
                </c:pt>
                <c:pt idx="80">
                  <c:v>3025.6</c:v>
                </c:pt>
                <c:pt idx="81">
                  <c:v>2986.16</c:v>
                </c:pt>
                <c:pt idx="82">
                  <c:v>2479.9899999999998</c:v>
                </c:pt>
                <c:pt idx="83">
                  <c:v>2988.55</c:v>
                </c:pt>
              </c:numCache>
            </c:numRef>
          </c:val>
          <c:smooth val="0"/>
        </c:ser>
        <c:dLbls>
          <c:showLegendKey val="0"/>
          <c:showVal val="0"/>
          <c:showCatName val="0"/>
          <c:showSerName val="0"/>
          <c:showPercent val="0"/>
          <c:showBubbleSize val="0"/>
        </c:dLbls>
        <c:marker val="1"/>
        <c:smooth val="0"/>
        <c:axId val="269621120"/>
        <c:axId val="269632256"/>
      </c:lineChart>
      <c:catAx>
        <c:axId val="269621120"/>
        <c:scaling>
          <c:orientation val="minMax"/>
        </c:scaling>
        <c:delete val="0"/>
        <c:axPos val="b"/>
        <c:majorGridlines>
          <c:spPr>
            <a:ln w="3175">
              <a:pattFill prst="pct50">
                <a:fgClr>
                  <a:srgbClr val="000000"/>
                </a:fgClr>
                <a:bgClr>
                  <a:srgbClr val="FFFFFF"/>
                </a:bgClr>
              </a:patt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69632256"/>
        <c:crosses val="autoZero"/>
        <c:auto val="0"/>
        <c:lblAlgn val="ctr"/>
        <c:lblOffset val="0"/>
        <c:tickLblSkip val="6"/>
        <c:tickMarkSkip val="6"/>
        <c:noMultiLvlLbl val="0"/>
      </c:catAx>
      <c:valAx>
        <c:axId val="269632256"/>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69621120"/>
        <c:crosses val="autoZero"/>
        <c:crossBetween val="between"/>
      </c:valAx>
      <c:spPr>
        <a:noFill/>
        <a:ln w="12700">
          <a:solidFill>
            <a:srgbClr val="808080"/>
          </a:solidFill>
          <a:prstDash val="solid"/>
        </a:ln>
      </c:spPr>
    </c:plotArea>
    <c:legend>
      <c:legendPos val="r"/>
      <c:layout>
        <c:manualLayout>
          <c:xMode val="edge"/>
          <c:yMode val="edge"/>
          <c:x val="0.41721654842649619"/>
          <c:y val="1.4121474252337099E-4"/>
          <c:w val="0.5419510927470701"/>
          <c:h val="0.22734158230221221"/>
        </c:manualLayout>
      </c:layout>
      <c:overlay val="0"/>
      <c:spPr>
        <a:no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47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2398950131233596"/>
          <c:y val="3.4776368518234818E-2"/>
          <c:w val="0.87334611670950457"/>
          <c:h val="0.84553093905542276"/>
        </c:manualLayout>
      </c:layout>
      <c:lineChart>
        <c:grouping val="standard"/>
        <c:varyColors val="0"/>
        <c:ser>
          <c:idx val="0"/>
          <c:order val="0"/>
          <c:tx>
            <c:strRef>
              <c:f>月間量回帰式!$C$3:$C$4</c:f>
              <c:strCache>
                <c:ptCount val="1"/>
                <c:pt idx="0">
                  <c:v>石巻広域クリセ 230(115tx2炉〉</c:v>
                </c:pt>
              </c:strCache>
            </c:strRef>
          </c:tx>
          <c:spPr>
            <a:ln w="0">
              <a:solidFill>
                <a:srgbClr val="0000FF"/>
              </a:solidFill>
              <a:prstDash val="solid"/>
            </a:ln>
          </c:spPr>
          <c:marker>
            <c:symbol val="diamond"/>
            <c:size val="4"/>
            <c:spPr>
              <a:noFill/>
              <a:ln>
                <a:solidFill>
                  <a:srgbClr val="0000FF"/>
                </a:solidFill>
                <a:prstDash val="solid"/>
              </a:ln>
            </c:spPr>
          </c:marker>
          <c:cat>
            <c:strRef>
              <c:f>月間量回帰式!$B$5:$B$16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月間量回帰式!$E$5:$E$16</c:f>
              <c:numCache>
                <c:formatCode>0.000</c:formatCode>
                <c:ptCount val="12"/>
                <c:pt idx="0">
                  <c:v>7.9992816066502742E-2</c:v>
                </c:pt>
                <c:pt idx="1">
                  <c:v>9.0772615392838429E-2</c:v>
                </c:pt>
                <c:pt idx="2">
                  <c:v>8.6804076534505711E-2</c:v>
                </c:pt>
                <c:pt idx="3">
                  <c:v>9.0079743785774907E-2</c:v>
                </c:pt>
                <c:pt idx="4">
                  <c:v>9.5056963183888205E-2</c:v>
                </c:pt>
                <c:pt idx="5">
                  <c:v>8.5050031214917471E-2</c:v>
                </c:pt>
                <c:pt idx="6">
                  <c:v>8.6599482936585273E-2</c:v>
                </c:pt>
                <c:pt idx="7">
                  <c:v>8.0846255404083966E-2</c:v>
                </c:pt>
                <c:pt idx="8">
                  <c:v>8.1908249764947372E-2</c:v>
                </c:pt>
                <c:pt idx="9">
                  <c:v>7.7395832614512952E-2</c:v>
                </c:pt>
                <c:pt idx="10">
                  <c:v>6.6426641054386296E-2</c:v>
                </c:pt>
                <c:pt idx="11">
                  <c:v>7.9067334425156469E-2</c:v>
                </c:pt>
              </c:numCache>
            </c:numRef>
          </c:val>
          <c:smooth val="0"/>
        </c:ser>
        <c:ser>
          <c:idx val="1"/>
          <c:order val="1"/>
          <c:tx>
            <c:strRef>
              <c:f>月間量回帰式!$M$3:$M$4</c:f>
              <c:strCache>
                <c:ptCount val="1"/>
                <c:pt idx="0">
                  <c:v>今泉 600(200tx3炉)</c:v>
                </c:pt>
              </c:strCache>
            </c:strRef>
          </c:tx>
          <c:spPr>
            <a:ln w="0">
              <a:solidFill>
                <a:srgbClr val="FF0000"/>
              </a:solidFill>
              <a:prstDash val="solid"/>
            </a:ln>
          </c:spPr>
          <c:marker>
            <c:symbol val="square"/>
            <c:size val="4"/>
            <c:spPr>
              <a:noFill/>
              <a:ln>
                <a:solidFill>
                  <a:srgbClr val="FF0000"/>
                </a:solidFill>
                <a:prstDash val="solid"/>
              </a:ln>
            </c:spPr>
          </c:marker>
          <c:cat>
            <c:strRef>
              <c:f>月間量回帰式!$B$5:$B$16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月間量回帰式!$P$5:$P$16</c:f>
              <c:numCache>
                <c:formatCode>0.000</c:formatCode>
                <c:ptCount val="12"/>
                <c:pt idx="0">
                  <c:v>8.1971266995696179E-2</c:v>
                </c:pt>
                <c:pt idx="1">
                  <c:v>8.61486694425114E-2</c:v>
                </c:pt>
                <c:pt idx="2">
                  <c:v>8.5459112238232091E-2</c:v>
                </c:pt>
                <c:pt idx="3">
                  <c:v>9.284376445839071E-2</c:v>
                </c:pt>
                <c:pt idx="4">
                  <c:v>9.0918583138403744E-2</c:v>
                </c:pt>
                <c:pt idx="5">
                  <c:v>8.8268380080710113E-2</c:v>
                </c:pt>
                <c:pt idx="6">
                  <c:v>8.7125754441793143E-2</c:v>
                </c:pt>
                <c:pt idx="7">
                  <c:v>8.0589023142928984E-2</c:v>
                </c:pt>
                <c:pt idx="8">
                  <c:v>8.5368950939801916E-2</c:v>
                </c:pt>
                <c:pt idx="9">
                  <c:v>7.4432954139816931E-2</c:v>
                </c:pt>
                <c:pt idx="10">
                  <c:v>6.5857499191818117E-2</c:v>
                </c:pt>
                <c:pt idx="11">
                  <c:v>8.1016041789896673E-2</c:v>
                </c:pt>
              </c:numCache>
            </c:numRef>
          </c:val>
          <c:smooth val="0"/>
        </c:ser>
        <c:ser>
          <c:idx val="2"/>
          <c:order val="2"/>
          <c:tx>
            <c:strRef>
              <c:f>月間量回帰式!$R$3:$R$4</c:f>
              <c:strCache>
                <c:ptCount val="1"/>
                <c:pt idx="0">
                  <c:v>葛岡 600(300tx2炉〉</c:v>
                </c:pt>
              </c:strCache>
            </c:strRef>
          </c:tx>
          <c:spPr>
            <a:ln w="0">
              <a:solidFill>
                <a:srgbClr val="008000"/>
              </a:solidFill>
              <a:prstDash val="solid"/>
            </a:ln>
          </c:spPr>
          <c:marker>
            <c:symbol val="triangle"/>
            <c:size val="4"/>
            <c:spPr>
              <a:noFill/>
              <a:ln>
                <a:solidFill>
                  <a:srgbClr val="008000"/>
                </a:solidFill>
                <a:prstDash val="solid"/>
              </a:ln>
            </c:spPr>
          </c:marker>
          <c:cat>
            <c:strRef>
              <c:f>月間量回帰式!$B$5:$B$16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月間量回帰式!$U$5:$U$16</c:f>
              <c:numCache>
                <c:formatCode>0.000</c:formatCode>
                <c:ptCount val="12"/>
                <c:pt idx="0">
                  <c:v>8.1971266995696179E-2</c:v>
                </c:pt>
                <c:pt idx="1">
                  <c:v>8.61486694425114E-2</c:v>
                </c:pt>
                <c:pt idx="2">
                  <c:v>8.5459112238232091E-2</c:v>
                </c:pt>
                <c:pt idx="3">
                  <c:v>9.284376445839071E-2</c:v>
                </c:pt>
                <c:pt idx="4">
                  <c:v>9.0918583138403758E-2</c:v>
                </c:pt>
                <c:pt idx="5">
                  <c:v>8.8268380080710113E-2</c:v>
                </c:pt>
                <c:pt idx="6">
                  <c:v>8.7125754441793143E-2</c:v>
                </c:pt>
                <c:pt idx="7">
                  <c:v>8.0589023142928984E-2</c:v>
                </c:pt>
                <c:pt idx="8">
                  <c:v>8.5368950939801916E-2</c:v>
                </c:pt>
                <c:pt idx="9">
                  <c:v>7.4432954139816931E-2</c:v>
                </c:pt>
                <c:pt idx="10">
                  <c:v>6.5857499191818117E-2</c:v>
                </c:pt>
                <c:pt idx="11">
                  <c:v>8.1167817239138546E-2</c:v>
                </c:pt>
              </c:numCache>
            </c:numRef>
          </c:val>
          <c:smooth val="0"/>
        </c:ser>
        <c:ser>
          <c:idx val="3"/>
          <c:order val="3"/>
          <c:tx>
            <c:strRef>
              <c:f>月間量回帰式!$V$3:$V$4</c:f>
              <c:strCache>
                <c:ptCount val="1"/>
                <c:pt idx="0">
                  <c:v>松森 600(200tx3炉〉</c:v>
                </c:pt>
              </c:strCache>
            </c:strRef>
          </c:tx>
          <c:spPr>
            <a:ln w="0">
              <a:solidFill>
                <a:srgbClr val="66FFFF"/>
              </a:solidFill>
              <a:prstDash val="solid"/>
            </a:ln>
          </c:spPr>
          <c:marker>
            <c:symbol val="circle"/>
            <c:size val="4"/>
            <c:spPr>
              <a:noFill/>
              <a:ln>
                <a:solidFill>
                  <a:srgbClr val="66FFFF"/>
                </a:solidFill>
              </a:ln>
            </c:spPr>
          </c:marker>
          <c:cat>
            <c:strRef>
              <c:f>月間量回帰式!$B$5:$B$16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月間量回帰式!$Y$5:$Y$16</c:f>
              <c:numCache>
                <c:formatCode>0.000</c:formatCode>
                <c:ptCount val="12"/>
                <c:pt idx="0">
                  <c:v>8.1675098411791908E-2</c:v>
                </c:pt>
                <c:pt idx="1">
                  <c:v>8.5843363132333275E-2</c:v>
                </c:pt>
                <c:pt idx="2">
                  <c:v>8.5159968580657261E-2</c:v>
                </c:pt>
                <c:pt idx="3">
                  <c:v>9.2512458129384509E-2</c:v>
                </c:pt>
                <c:pt idx="4">
                  <c:v>9.0602864070378653E-2</c:v>
                </c:pt>
                <c:pt idx="5">
                  <c:v>8.7951035347429332E-2</c:v>
                </c:pt>
                <c:pt idx="6">
                  <c:v>8.6815039872692457E-2</c:v>
                </c:pt>
                <c:pt idx="7">
                  <c:v>8.0310364992628586E-2</c:v>
                </c:pt>
                <c:pt idx="8">
                  <c:v>8.5064324646462783E-2</c:v>
                </c:pt>
                <c:pt idx="9">
                  <c:v>7.4168161957873957E-2</c:v>
                </c:pt>
                <c:pt idx="10">
                  <c:v>6.5627866005503313E-2</c:v>
                </c:pt>
                <c:pt idx="11">
                  <c:v>8.0726737125960915E-2</c:v>
                </c:pt>
              </c:numCache>
            </c:numRef>
          </c:val>
          <c:smooth val="0"/>
        </c:ser>
        <c:ser>
          <c:idx val="4"/>
          <c:order val="4"/>
          <c:tx>
            <c:strRef>
              <c:f>月間量回帰式!$F$3:$F$4</c:f>
              <c:strCache>
                <c:ptCount val="1"/>
                <c:pt idx="0">
                  <c:v>宮城東部 180(90tx2炉〉</c:v>
                </c:pt>
              </c:strCache>
            </c:strRef>
          </c:tx>
          <c:spPr>
            <a:ln w="0">
              <a:solidFill>
                <a:srgbClr val="FF00FF"/>
              </a:solidFill>
              <a:prstDash val="solid"/>
            </a:ln>
          </c:spPr>
          <c:marker>
            <c:symbol val="x"/>
            <c:size val="3"/>
            <c:spPr>
              <a:noFill/>
              <a:ln>
                <a:solidFill>
                  <a:srgbClr val="FF00FF"/>
                </a:solidFill>
              </a:ln>
            </c:spPr>
          </c:marker>
          <c:cat>
            <c:strRef>
              <c:f>月間量回帰式!$B$5:$B$16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月間量回帰式!$H$5:$H$16</c:f>
              <c:numCache>
                <c:formatCode>0.000</c:formatCode>
                <c:ptCount val="12"/>
                <c:pt idx="0">
                  <c:v>7.6501400928994254E-2</c:v>
                </c:pt>
                <c:pt idx="1">
                  <c:v>8.6293553760327171E-2</c:v>
                </c:pt>
                <c:pt idx="2">
                  <c:v>8.8658664053806027E-2</c:v>
                </c:pt>
                <c:pt idx="3">
                  <c:v>9.4654152965531743E-2</c:v>
                </c:pt>
                <c:pt idx="4">
                  <c:v>9.8234579568867289E-2</c:v>
                </c:pt>
                <c:pt idx="5">
                  <c:v>9.1272178635522935E-2</c:v>
                </c:pt>
                <c:pt idx="6">
                  <c:v>9.4203355868508101E-2</c:v>
                </c:pt>
                <c:pt idx="7">
                  <c:v>8.3132019547620395E-2</c:v>
                </c:pt>
                <c:pt idx="8">
                  <c:v>8.0257245665374927E-2</c:v>
                </c:pt>
                <c:pt idx="9">
                  <c:v>7.2160448244430783E-2</c:v>
                </c:pt>
                <c:pt idx="10">
                  <c:v>6.084459991821816E-2</c:v>
                </c:pt>
                <c:pt idx="11">
                  <c:v>7.3789273141264447E-2</c:v>
                </c:pt>
              </c:numCache>
            </c:numRef>
          </c:val>
          <c:smooth val="0"/>
        </c:ser>
        <c:ser>
          <c:idx val="5"/>
          <c:order val="5"/>
          <c:tx>
            <c:strRef>
              <c:f>月間量回帰式!$AB$3</c:f>
              <c:strCache>
                <c:ptCount val="1"/>
                <c:pt idx="0">
                  <c:v>3事業体平均</c:v>
                </c:pt>
              </c:strCache>
            </c:strRef>
          </c:tx>
          <c:cat>
            <c:strRef>
              <c:f>月間量回帰式!$B$5:$B$16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月間量回帰式!$AB$5:$AB$16</c:f>
              <c:numCache>
                <c:formatCode>0.000</c:formatCode>
                <c:ptCount val="12"/>
                <c:pt idx="0">
                  <c:v>7.9322176308980252E-2</c:v>
                </c:pt>
                <c:pt idx="1">
                  <c:v>8.9128643618102618E-2</c:v>
                </c:pt>
                <c:pt idx="2">
                  <c:v>8.7466418700092655E-2</c:v>
                </c:pt>
                <c:pt idx="3">
                  <c:v>9.3057188641443564E-2</c:v>
                </c:pt>
                <c:pt idx="4">
                  <c:v>9.4364251114423536E-2</c:v>
                </c:pt>
                <c:pt idx="5">
                  <c:v>8.7498753172037952E-2</c:v>
                </c:pt>
                <c:pt idx="6">
                  <c:v>9.00306780289966E-2</c:v>
                </c:pt>
                <c:pt idx="7">
                  <c:v>8.1438010045640843E-2</c:v>
                </c:pt>
                <c:pt idx="8">
                  <c:v>8.1735217189744303E-2</c:v>
                </c:pt>
                <c:pt idx="9">
                  <c:v>7.4890020694885998E-2</c:v>
                </c:pt>
                <c:pt idx="10">
                  <c:v>6.4081858761377689E-2</c:v>
                </c:pt>
                <c:pt idx="11">
                  <c:v>7.7688555125821387E-2</c:v>
                </c:pt>
              </c:numCache>
            </c:numRef>
          </c:val>
          <c:smooth val="0"/>
        </c:ser>
        <c:dLbls>
          <c:showLegendKey val="0"/>
          <c:showVal val="0"/>
          <c:showCatName val="0"/>
          <c:showSerName val="0"/>
          <c:showPercent val="0"/>
          <c:showBubbleSize val="0"/>
        </c:dLbls>
        <c:marker val="1"/>
        <c:smooth val="0"/>
        <c:axId val="270164352"/>
        <c:axId val="270165888"/>
      </c:lineChart>
      <c:catAx>
        <c:axId val="270164352"/>
        <c:scaling>
          <c:orientation val="minMax"/>
        </c:scaling>
        <c:delete val="0"/>
        <c:axPos val="b"/>
        <c:majorGridlines>
          <c:spPr>
            <a:ln w="3175">
              <a:pattFill prst="pct50">
                <a:fgClr>
                  <a:srgbClr val="000000"/>
                </a:fgClr>
                <a:bgClr>
                  <a:srgbClr val="FFFFFF"/>
                </a:bgClr>
              </a:patt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70165888"/>
        <c:crosses val="autoZero"/>
        <c:auto val="0"/>
        <c:lblAlgn val="ctr"/>
        <c:lblOffset val="0"/>
        <c:tickLblSkip val="1"/>
        <c:tickMarkSkip val="1"/>
        <c:noMultiLvlLbl val="0"/>
      </c:catAx>
      <c:valAx>
        <c:axId val="270165888"/>
        <c:scaling>
          <c:orientation val="minMax"/>
          <c:min val="6.0000000000000012E-2"/>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70164352"/>
        <c:crosses val="autoZero"/>
        <c:crossBetween val="between"/>
      </c:valAx>
      <c:spPr>
        <a:noFill/>
        <a:ln w="12700">
          <a:solidFill>
            <a:srgbClr val="808080"/>
          </a:solidFill>
          <a:prstDash val="solid"/>
        </a:ln>
      </c:spPr>
    </c:plotArea>
    <c:legend>
      <c:legendPos val="r"/>
      <c:layout>
        <c:manualLayout>
          <c:xMode val="edge"/>
          <c:yMode val="edge"/>
          <c:x val="0.20305418355447502"/>
          <c:y val="0.60253684635845717"/>
          <c:w val="0.55651826384850789"/>
          <c:h val="0.21920779844034777"/>
        </c:manualLayout>
      </c:layout>
      <c:overlay val="0"/>
      <c:spPr>
        <a:noFill/>
        <a:ln w="25400">
          <a:noFill/>
        </a:ln>
      </c:spPr>
      <c:txPr>
        <a:bodyPr/>
        <a:lstStyle/>
        <a:p>
          <a:pPr>
            <a:defRPr sz="80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47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3229951827366013"/>
          <c:y val="2.9827313942753019E-2"/>
          <c:w val="0.84649455658221817"/>
          <c:h val="0.85357051377042836"/>
        </c:manualLayout>
      </c:layout>
      <c:lineChart>
        <c:grouping val="standard"/>
        <c:varyColors val="0"/>
        <c:ser>
          <c:idx val="0"/>
          <c:order val="0"/>
          <c:tx>
            <c:strRef>
              <c:f>月間量回帰式!$C$3:$C$4</c:f>
              <c:strCache>
                <c:ptCount val="1"/>
                <c:pt idx="0">
                  <c:v>石巻広域クリセ 230(115tx2炉〉</c:v>
                </c:pt>
              </c:strCache>
            </c:strRef>
          </c:tx>
          <c:spPr>
            <a:ln w="0">
              <a:solidFill>
                <a:srgbClr val="0000FF"/>
              </a:solidFill>
              <a:prstDash val="solid"/>
            </a:ln>
          </c:spPr>
          <c:marker>
            <c:symbol val="diamond"/>
            <c:size val="4"/>
            <c:spPr>
              <a:noFill/>
              <a:ln>
                <a:solidFill>
                  <a:srgbClr val="0000FF"/>
                </a:solidFill>
                <a:prstDash val="solid"/>
              </a:ln>
            </c:spPr>
          </c:marker>
          <c:cat>
            <c:numRef>
              <c:f>月間量回帰式!$Z$20:$Z$103</c:f>
              <c:numCache>
                <c:formatCode>[$-411]ge\.m</c:formatCode>
                <c:ptCount val="84"/>
                <c:pt idx="0">
                  <c:v>41000</c:v>
                </c:pt>
                <c:pt idx="1">
                  <c:v>41030</c:v>
                </c:pt>
                <c:pt idx="2">
                  <c:v>41061</c:v>
                </c:pt>
                <c:pt idx="3">
                  <c:v>41091</c:v>
                </c:pt>
                <c:pt idx="4">
                  <c:v>41122</c:v>
                </c:pt>
                <c:pt idx="5">
                  <c:v>41153</c:v>
                </c:pt>
                <c:pt idx="6">
                  <c:v>41183</c:v>
                </c:pt>
                <c:pt idx="7">
                  <c:v>41214</c:v>
                </c:pt>
                <c:pt idx="8">
                  <c:v>41244</c:v>
                </c:pt>
                <c:pt idx="9">
                  <c:v>41275</c:v>
                </c:pt>
                <c:pt idx="10">
                  <c:v>41306</c:v>
                </c:pt>
                <c:pt idx="11">
                  <c:v>41334</c:v>
                </c:pt>
                <c:pt idx="12">
                  <c:v>41365</c:v>
                </c:pt>
                <c:pt idx="13">
                  <c:v>41395</c:v>
                </c:pt>
                <c:pt idx="14">
                  <c:v>41426</c:v>
                </c:pt>
                <c:pt idx="15">
                  <c:v>41456</c:v>
                </c:pt>
                <c:pt idx="16">
                  <c:v>41487</c:v>
                </c:pt>
                <c:pt idx="17">
                  <c:v>41518</c:v>
                </c:pt>
                <c:pt idx="18">
                  <c:v>41548</c:v>
                </c:pt>
                <c:pt idx="19">
                  <c:v>41579</c:v>
                </c:pt>
                <c:pt idx="20">
                  <c:v>41609</c:v>
                </c:pt>
                <c:pt idx="21">
                  <c:v>41640</c:v>
                </c:pt>
                <c:pt idx="22">
                  <c:v>41671</c:v>
                </c:pt>
                <c:pt idx="23">
                  <c:v>41699</c:v>
                </c:pt>
                <c:pt idx="24">
                  <c:v>41730</c:v>
                </c:pt>
                <c:pt idx="25">
                  <c:v>41760</c:v>
                </c:pt>
                <c:pt idx="26">
                  <c:v>41791</c:v>
                </c:pt>
                <c:pt idx="27">
                  <c:v>41821</c:v>
                </c:pt>
                <c:pt idx="28">
                  <c:v>41852</c:v>
                </c:pt>
                <c:pt idx="29">
                  <c:v>41883</c:v>
                </c:pt>
                <c:pt idx="30">
                  <c:v>41913</c:v>
                </c:pt>
                <c:pt idx="31">
                  <c:v>41944</c:v>
                </c:pt>
                <c:pt idx="32">
                  <c:v>41974</c:v>
                </c:pt>
                <c:pt idx="33">
                  <c:v>42005</c:v>
                </c:pt>
                <c:pt idx="34">
                  <c:v>42036</c:v>
                </c:pt>
                <c:pt idx="35">
                  <c:v>42064</c:v>
                </c:pt>
                <c:pt idx="36">
                  <c:v>42095</c:v>
                </c:pt>
                <c:pt idx="37">
                  <c:v>42125</c:v>
                </c:pt>
                <c:pt idx="38">
                  <c:v>42156</c:v>
                </c:pt>
                <c:pt idx="39">
                  <c:v>42186</c:v>
                </c:pt>
                <c:pt idx="40">
                  <c:v>42217</c:v>
                </c:pt>
                <c:pt idx="41">
                  <c:v>42248</c:v>
                </c:pt>
                <c:pt idx="42">
                  <c:v>42278</c:v>
                </c:pt>
                <c:pt idx="43">
                  <c:v>42309</c:v>
                </c:pt>
                <c:pt idx="44">
                  <c:v>42339</c:v>
                </c:pt>
                <c:pt idx="45">
                  <c:v>42370</c:v>
                </c:pt>
                <c:pt idx="46">
                  <c:v>42401</c:v>
                </c:pt>
                <c:pt idx="47">
                  <c:v>42430</c:v>
                </c:pt>
                <c:pt idx="48">
                  <c:v>42461</c:v>
                </c:pt>
                <c:pt idx="49">
                  <c:v>42491</c:v>
                </c:pt>
                <c:pt idx="50">
                  <c:v>42522</c:v>
                </c:pt>
                <c:pt idx="51">
                  <c:v>42552</c:v>
                </c:pt>
                <c:pt idx="52">
                  <c:v>42583</c:v>
                </c:pt>
                <c:pt idx="53">
                  <c:v>42614</c:v>
                </c:pt>
                <c:pt idx="54">
                  <c:v>42644</c:v>
                </c:pt>
                <c:pt idx="55">
                  <c:v>42675</c:v>
                </c:pt>
                <c:pt idx="56">
                  <c:v>42705</c:v>
                </c:pt>
                <c:pt idx="57">
                  <c:v>42736</c:v>
                </c:pt>
                <c:pt idx="58">
                  <c:v>42767</c:v>
                </c:pt>
                <c:pt idx="59">
                  <c:v>42795</c:v>
                </c:pt>
                <c:pt idx="60">
                  <c:v>42826</c:v>
                </c:pt>
                <c:pt idx="61">
                  <c:v>42856</c:v>
                </c:pt>
                <c:pt idx="62">
                  <c:v>42887</c:v>
                </c:pt>
                <c:pt idx="63">
                  <c:v>42917</c:v>
                </c:pt>
                <c:pt idx="64">
                  <c:v>42948</c:v>
                </c:pt>
                <c:pt idx="65">
                  <c:v>42979</c:v>
                </c:pt>
                <c:pt idx="66">
                  <c:v>43009</c:v>
                </c:pt>
                <c:pt idx="67">
                  <c:v>43040</c:v>
                </c:pt>
                <c:pt idx="68">
                  <c:v>43070</c:v>
                </c:pt>
                <c:pt idx="69">
                  <c:v>43101</c:v>
                </c:pt>
                <c:pt idx="70">
                  <c:v>43132</c:v>
                </c:pt>
                <c:pt idx="71">
                  <c:v>43160</c:v>
                </c:pt>
                <c:pt idx="72">
                  <c:v>43191</c:v>
                </c:pt>
                <c:pt idx="73">
                  <c:v>43221</c:v>
                </c:pt>
                <c:pt idx="74">
                  <c:v>43252</c:v>
                </c:pt>
                <c:pt idx="75">
                  <c:v>43282</c:v>
                </c:pt>
                <c:pt idx="76">
                  <c:v>43313</c:v>
                </c:pt>
                <c:pt idx="77">
                  <c:v>43344</c:v>
                </c:pt>
                <c:pt idx="78">
                  <c:v>43374</c:v>
                </c:pt>
                <c:pt idx="79">
                  <c:v>43405</c:v>
                </c:pt>
                <c:pt idx="80">
                  <c:v>43435</c:v>
                </c:pt>
                <c:pt idx="81">
                  <c:v>43466</c:v>
                </c:pt>
                <c:pt idx="82">
                  <c:v>43497</c:v>
                </c:pt>
                <c:pt idx="83">
                  <c:v>43525</c:v>
                </c:pt>
              </c:numCache>
            </c:numRef>
          </c:cat>
          <c:val>
            <c:numRef>
              <c:f>月間量回帰式!$C$20:$C$103</c:f>
              <c:numCache>
                <c:formatCode>0</c:formatCode>
                <c:ptCount val="84"/>
                <c:pt idx="0">
                  <c:v>5693.7099343496038</c:v>
                </c:pt>
                <c:pt idx="1">
                  <c:v>6461.0235251811728</c:v>
                </c:pt>
                <c:pt idx="2">
                  <c:v>6179.5927881937196</c:v>
                </c:pt>
                <c:pt idx="3">
                  <c:v>6411.8394300434275</c:v>
                </c:pt>
                <c:pt idx="4">
                  <c:v>6767.281654590066</c:v>
                </c:pt>
                <c:pt idx="5">
                  <c:v>6054.9434296986519</c:v>
                </c:pt>
                <c:pt idx="6">
                  <c:v>6164.2626032404287</c:v>
                </c:pt>
                <c:pt idx="7">
                  <c:v>5754.4110320193013</c:v>
                </c:pt>
                <c:pt idx="8">
                  <c:v>5830.9070462498912</c:v>
                </c:pt>
                <c:pt idx="9">
                  <c:v>5508.7884612072394</c:v>
                </c:pt>
                <c:pt idx="10">
                  <c:v>4728.3759929486159</c:v>
                </c:pt>
                <c:pt idx="11">
                  <c:v>5774.2107831388548</c:v>
                </c:pt>
                <c:pt idx="12">
                  <c:v>5482.3589469097042</c:v>
                </c:pt>
                <c:pt idx="13">
                  <c:v>6221.1897932797165</c:v>
                </c:pt>
                <c:pt idx="14">
                  <c:v>5950.2057887117353</c:v>
                </c:pt>
                <c:pt idx="15">
                  <c:v>6173.8314158538951</c:v>
                </c:pt>
                <c:pt idx="16">
                  <c:v>6516.079595392629</c:v>
                </c:pt>
                <c:pt idx="17">
                  <c:v>5830.1834247958523</c:v>
                </c:pt>
                <c:pt idx="18">
                  <c:v>5935.444661501966</c:v>
                </c:pt>
                <c:pt idx="19">
                  <c:v>5540.8068147733347</c:v>
                </c:pt>
                <c:pt idx="20">
                  <c:v>5614.4632905783164</c:v>
                </c:pt>
                <c:pt idx="21">
                  <c:v>5304.3017742670354</c:v>
                </c:pt>
                <c:pt idx="22">
                  <c:v>4552.8582818920968</c:v>
                </c:pt>
                <c:pt idx="23">
                  <c:v>5559.8715974806528</c:v>
                </c:pt>
                <c:pt idx="24">
                  <c:v>5397.9493997803338</c:v>
                </c:pt>
                <c:pt idx="25">
                  <c:v>6125.4047820935002</c:v>
                </c:pt>
                <c:pt idx="26">
                  <c:v>5858.5930028990097</c:v>
                </c:pt>
                <c:pt idx="27">
                  <c:v>6078.7755614467223</c:v>
                </c:pt>
                <c:pt idx="28">
                  <c:v>6415.7542914436672</c:v>
                </c:pt>
                <c:pt idx="29">
                  <c:v>5740.4185722325992</c:v>
                </c:pt>
                <c:pt idx="30">
                  <c:v>5844.0591464817899</c:v>
                </c:pt>
                <c:pt idx="31">
                  <c:v>5455.4973707009112</c:v>
                </c:pt>
                <c:pt idx="32">
                  <c:v>5528.019789099938</c:v>
                </c:pt>
                <c:pt idx="33">
                  <c:v>5222.633697634481</c:v>
                </c:pt>
                <c:pt idx="34">
                  <c:v>4482.7598608583294</c:v>
                </c:pt>
                <c:pt idx="35">
                  <c:v>5474.268621063844</c:v>
                </c:pt>
                <c:pt idx="36">
                  <c:v>4911.22</c:v>
                </c:pt>
                <c:pt idx="37">
                  <c:v>5017.6899999999996</c:v>
                </c:pt>
                <c:pt idx="38">
                  <c:v>5245.7</c:v>
                </c:pt>
                <c:pt idx="39">
                  <c:v>5444.63</c:v>
                </c:pt>
                <c:pt idx="40">
                  <c:v>5507.05</c:v>
                </c:pt>
                <c:pt idx="41">
                  <c:v>5124.37</c:v>
                </c:pt>
                <c:pt idx="42">
                  <c:v>5005.3</c:v>
                </c:pt>
                <c:pt idx="43">
                  <c:v>4810.2299999999996</c:v>
                </c:pt>
                <c:pt idx="44">
                  <c:v>5090.9399999999996</c:v>
                </c:pt>
                <c:pt idx="45">
                  <c:v>4515.71</c:v>
                </c:pt>
                <c:pt idx="46">
                  <c:v>4193.24</c:v>
                </c:pt>
                <c:pt idx="47">
                  <c:v>4900.29</c:v>
                </c:pt>
                <c:pt idx="48">
                  <c:v>4802.12</c:v>
                </c:pt>
                <c:pt idx="49">
                  <c:v>5502.55</c:v>
                </c:pt>
                <c:pt idx="50">
                  <c:v>4991.43</c:v>
                </c:pt>
                <c:pt idx="51">
                  <c:v>5226.55</c:v>
                </c:pt>
                <c:pt idx="52">
                  <c:v>5805.25</c:v>
                </c:pt>
                <c:pt idx="53">
                  <c:v>5310.79</c:v>
                </c:pt>
                <c:pt idx="54">
                  <c:v>4948.62</c:v>
                </c:pt>
                <c:pt idx="55">
                  <c:v>4702.2700000000004</c:v>
                </c:pt>
                <c:pt idx="56">
                  <c:v>5076.05</c:v>
                </c:pt>
                <c:pt idx="57">
                  <c:v>4597.87</c:v>
                </c:pt>
                <c:pt idx="58">
                  <c:v>3936.52</c:v>
                </c:pt>
                <c:pt idx="59">
                  <c:v>4818.8599999999997</c:v>
                </c:pt>
                <c:pt idx="60">
                  <c:v>4574.25</c:v>
                </c:pt>
                <c:pt idx="61">
                  <c:v>5535.09</c:v>
                </c:pt>
                <c:pt idx="62">
                  <c:v>5442.01</c:v>
                </c:pt>
                <c:pt idx="63">
                  <c:v>5365.97</c:v>
                </c:pt>
                <c:pt idx="64">
                  <c:v>5947.22</c:v>
                </c:pt>
                <c:pt idx="65">
                  <c:v>5135.9799999999996</c:v>
                </c:pt>
                <c:pt idx="66">
                  <c:v>5397.84</c:v>
                </c:pt>
                <c:pt idx="67">
                  <c:v>4808.5200000000004</c:v>
                </c:pt>
                <c:pt idx="68">
                  <c:v>4770.28</c:v>
                </c:pt>
                <c:pt idx="69">
                  <c:v>4593.75</c:v>
                </c:pt>
                <c:pt idx="70">
                  <c:v>3827.41</c:v>
                </c:pt>
                <c:pt idx="71">
                  <c:v>4817.8999999999996</c:v>
                </c:pt>
                <c:pt idx="72">
                  <c:v>4824.92</c:v>
                </c:pt>
                <c:pt idx="73">
                  <c:v>5632.88</c:v>
                </c:pt>
                <c:pt idx="74">
                  <c:v>5064.37</c:v>
                </c:pt>
                <c:pt idx="75">
                  <c:v>5485.96</c:v>
                </c:pt>
                <c:pt idx="76">
                  <c:v>5456.73</c:v>
                </c:pt>
                <c:pt idx="77">
                  <c:v>4753.95</c:v>
                </c:pt>
                <c:pt idx="78">
                  <c:v>5340.29</c:v>
                </c:pt>
                <c:pt idx="79">
                  <c:v>4995.25</c:v>
                </c:pt>
                <c:pt idx="80">
                  <c:v>4635.78</c:v>
                </c:pt>
                <c:pt idx="81">
                  <c:v>4784.4399999999996</c:v>
                </c:pt>
                <c:pt idx="82">
                  <c:v>3914.93</c:v>
                </c:pt>
                <c:pt idx="83">
                  <c:v>4000</c:v>
                </c:pt>
              </c:numCache>
            </c:numRef>
          </c:val>
          <c:smooth val="0"/>
        </c:ser>
        <c:ser>
          <c:idx val="4"/>
          <c:order val="1"/>
          <c:tx>
            <c:strRef>
              <c:f>月間量回帰式!$F$3:$F$4</c:f>
              <c:strCache>
                <c:ptCount val="1"/>
                <c:pt idx="0">
                  <c:v>宮城東部 180(90tx2炉〉</c:v>
                </c:pt>
              </c:strCache>
            </c:strRef>
          </c:tx>
          <c:spPr>
            <a:ln w="0">
              <a:solidFill>
                <a:srgbClr val="FF00FF"/>
              </a:solidFill>
              <a:prstDash val="solid"/>
            </a:ln>
          </c:spPr>
          <c:marker>
            <c:symbol val="x"/>
            <c:size val="3"/>
            <c:spPr>
              <a:noFill/>
              <a:ln>
                <a:solidFill>
                  <a:srgbClr val="FF00FF"/>
                </a:solidFill>
              </a:ln>
            </c:spPr>
          </c:marker>
          <c:cat>
            <c:numRef>
              <c:f>月間量回帰式!$Z$20:$Z$103</c:f>
              <c:numCache>
                <c:formatCode>[$-411]ge\.m</c:formatCode>
                <c:ptCount val="84"/>
                <c:pt idx="0">
                  <c:v>41000</c:v>
                </c:pt>
                <c:pt idx="1">
                  <c:v>41030</c:v>
                </c:pt>
                <c:pt idx="2">
                  <c:v>41061</c:v>
                </c:pt>
                <c:pt idx="3">
                  <c:v>41091</c:v>
                </c:pt>
                <c:pt idx="4">
                  <c:v>41122</c:v>
                </c:pt>
                <c:pt idx="5">
                  <c:v>41153</c:v>
                </c:pt>
                <c:pt idx="6">
                  <c:v>41183</c:v>
                </c:pt>
                <c:pt idx="7">
                  <c:v>41214</c:v>
                </c:pt>
                <c:pt idx="8">
                  <c:v>41244</c:v>
                </c:pt>
                <c:pt idx="9">
                  <c:v>41275</c:v>
                </c:pt>
                <c:pt idx="10">
                  <c:v>41306</c:v>
                </c:pt>
                <c:pt idx="11">
                  <c:v>41334</c:v>
                </c:pt>
                <c:pt idx="12">
                  <c:v>41365</c:v>
                </c:pt>
                <c:pt idx="13">
                  <c:v>41395</c:v>
                </c:pt>
                <c:pt idx="14">
                  <c:v>41426</c:v>
                </c:pt>
                <c:pt idx="15">
                  <c:v>41456</c:v>
                </c:pt>
                <c:pt idx="16">
                  <c:v>41487</c:v>
                </c:pt>
                <c:pt idx="17">
                  <c:v>41518</c:v>
                </c:pt>
                <c:pt idx="18">
                  <c:v>41548</c:v>
                </c:pt>
                <c:pt idx="19">
                  <c:v>41579</c:v>
                </c:pt>
                <c:pt idx="20">
                  <c:v>41609</c:v>
                </c:pt>
                <c:pt idx="21">
                  <c:v>41640</c:v>
                </c:pt>
                <c:pt idx="22">
                  <c:v>41671</c:v>
                </c:pt>
                <c:pt idx="23">
                  <c:v>41699</c:v>
                </c:pt>
                <c:pt idx="24">
                  <c:v>41730</c:v>
                </c:pt>
                <c:pt idx="25">
                  <c:v>41760</c:v>
                </c:pt>
                <c:pt idx="26">
                  <c:v>41791</c:v>
                </c:pt>
                <c:pt idx="27">
                  <c:v>41821</c:v>
                </c:pt>
                <c:pt idx="28">
                  <c:v>41852</c:v>
                </c:pt>
                <c:pt idx="29">
                  <c:v>41883</c:v>
                </c:pt>
                <c:pt idx="30">
                  <c:v>41913</c:v>
                </c:pt>
                <c:pt idx="31">
                  <c:v>41944</c:v>
                </c:pt>
                <c:pt idx="32">
                  <c:v>41974</c:v>
                </c:pt>
                <c:pt idx="33">
                  <c:v>42005</c:v>
                </c:pt>
                <c:pt idx="34">
                  <c:v>42036</c:v>
                </c:pt>
                <c:pt idx="35">
                  <c:v>42064</c:v>
                </c:pt>
                <c:pt idx="36">
                  <c:v>42095</c:v>
                </c:pt>
                <c:pt idx="37">
                  <c:v>42125</c:v>
                </c:pt>
                <c:pt idx="38">
                  <c:v>42156</c:v>
                </c:pt>
                <c:pt idx="39">
                  <c:v>42186</c:v>
                </c:pt>
                <c:pt idx="40">
                  <c:v>42217</c:v>
                </c:pt>
                <c:pt idx="41">
                  <c:v>42248</c:v>
                </c:pt>
                <c:pt idx="42">
                  <c:v>42278</c:v>
                </c:pt>
                <c:pt idx="43">
                  <c:v>42309</c:v>
                </c:pt>
                <c:pt idx="44">
                  <c:v>42339</c:v>
                </c:pt>
                <c:pt idx="45">
                  <c:v>42370</c:v>
                </c:pt>
                <c:pt idx="46">
                  <c:v>42401</c:v>
                </c:pt>
                <c:pt idx="47">
                  <c:v>42430</c:v>
                </c:pt>
                <c:pt idx="48">
                  <c:v>42461</c:v>
                </c:pt>
                <c:pt idx="49">
                  <c:v>42491</c:v>
                </c:pt>
                <c:pt idx="50">
                  <c:v>42522</c:v>
                </c:pt>
                <c:pt idx="51">
                  <c:v>42552</c:v>
                </c:pt>
                <c:pt idx="52">
                  <c:v>42583</c:v>
                </c:pt>
                <c:pt idx="53">
                  <c:v>42614</c:v>
                </c:pt>
                <c:pt idx="54">
                  <c:v>42644</c:v>
                </c:pt>
                <c:pt idx="55">
                  <c:v>42675</c:v>
                </c:pt>
                <c:pt idx="56">
                  <c:v>42705</c:v>
                </c:pt>
                <c:pt idx="57">
                  <c:v>42736</c:v>
                </c:pt>
                <c:pt idx="58">
                  <c:v>42767</c:v>
                </c:pt>
                <c:pt idx="59">
                  <c:v>42795</c:v>
                </c:pt>
                <c:pt idx="60">
                  <c:v>42826</c:v>
                </c:pt>
                <c:pt idx="61">
                  <c:v>42856</c:v>
                </c:pt>
                <c:pt idx="62">
                  <c:v>42887</c:v>
                </c:pt>
                <c:pt idx="63">
                  <c:v>42917</c:v>
                </c:pt>
                <c:pt idx="64">
                  <c:v>42948</c:v>
                </c:pt>
                <c:pt idx="65">
                  <c:v>42979</c:v>
                </c:pt>
                <c:pt idx="66">
                  <c:v>43009</c:v>
                </c:pt>
                <c:pt idx="67">
                  <c:v>43040</c:v>
                </c:pt>
                <c:pt idx="68">
                  <c:v>43070</c:v>
                </c:pt>
                <c:pt idx="69">
                  <c:v>43101</c:v>
                </c:pt>
                <c:pt idx="70">
                  <c:v>43132</c:v>
                </c:pt>
                <c:pt idx="71">
                  <c:v>43160</c:v>
                </c:pt>
                <c:pt idx="72">
                  <c:v>43191</c:v>
                </c:pt>
                <c:pt idx="73">
                  <c:v>43221</c:v>
                </c:pt>
                <c:pt idx="74">
                  <c:v>43252</c:v>
                </c:pt>
                <c:pt idx="75">
                  <c:v>43282</c:v>
                </c:pt>
                <c:pt idx="76">
                  <c:v>43313</c:v>
                </c:pt>
                <c:pt idx="77">
                  <c:v>43344</c:v>
                </c:pt>
                <c:pt idx="78">
                  <c:v>43374</c:v>
                </c:pt>
                <c:pt idx="79">
                  <c:v>43405</c:v>
                </c:pt>
                <c:pt idx="80">
                  <c:v>43435</c:v>
                </c:pt>
                <c:pt idx="81">
                  <c:v>43466</c:v>
                </c:pt>
                <c:pt idx="82">
                  <c:v>43497</c:v>
                </c:pt>
                <c:pt idx="83">
                  <c:v>43525</c:v>
                </c:pt>
              </c:numCache>
            </c:numRef>
          </c:cat>
          <c:val>
            <c:numRef>
              <c:f>月間量回帰式!$F$20:$F$103</c:f>
              <c:numCache>
                <c:formatCode>0</c:formatCode>
                <c:ptCount val="84"/>
                <c:pt idx="0">
                  <c:v>3453.58</c:v>
                </c:pt>
                <c:pt idx="1">
                  <c:v>3056.66</c:v>
                </c:pt>
                <c:pt idx="2">
                  <c:v>3703.76</c:v>
                </c:pt>
                <c:pt idx="3">
                  <c:v>3890.44</c:v>
                </c:pt>
                <c:pt idx="4">
                  <c:v>4693.46</c:v>
                </c:pt>
                <c:pt idx="5">
                  <c:v>4639.37</c:v>
                </c:pt>
                <c:pt idx="6">
                  <c:v>4819.8100000000004</c:v>
                </c:pt>
                <c:pt idx="7">
                  <c:v>4550.29</c:v>
                </c:pt>
                <c:pt idx="8">
                  <c:v>4161.66</c:v>
                </c:pt>
                <c:pt idx="9">
                  <c:v>3121.59</c:v>
                </c:pt>
                <c:pt idx="10">
                  <c:v>2658.44</c:v>
                </c:pt>
                <c:pt idx="11">
                  <c:v>3137.77</c:v>
                </c:pt>
                <c:pt idx="12">
                  <c:v>3274.12</c:v>
                </c:pt>
                <c:pt idx="13">
                  <c:v>3669.2</c:v>
                </c:pt>
                <c:pt idx="14">
                  <c:v>3632.79</c:v>
                </c:pt>
                <c:pt idx="15">
                  <c:v>4241.7700000000004</c:v>
                </c:pt>
                <c:pt idx="16">
                  <c:v>4204.96</c:v>
                </c:pt>
                <c:pt idx="17">
                  <c:v>3639.07</c:v>
                </c:pt>
                <c:pt idx="18">
                  <c:v>3922.53</c:v>
                </c:pt>
                <c:pt idx="19">
                  <c:v>3376.88</c:v>
                </c:pt>
                <c:pt idx="20">
                  <c:v>3260.82</c:v>
                </c:pt>
                <c:pt idx="21">
                  <c:v>3094.86</c:v>
                </c:pt>
                <c:pt idx="22">
                  <c:v>2416.7399999999998</c:v>
                </c:pt>
                <c:pt idx="23">
                  <c:v>3025.7</c:v>
                </c:pt>
                <c:pt idx="24">
                  <c:v>3232.15</c:v>
                </c:pt>
                <c:pt idx="25">
                  <c:v>3633.7</c:v>
                </c:pt>
                <c:pt idx="26">
                  <c:v>3717.2</c:v>
                </c:pt>
                <c:pt idx="27">
                  <c:v>3963.2</c:v>
                </c:pt>
                <c:pt idx="28">
                  <c:v>3892.13</c:v>
                </c:pt>
                <c:pt idx="29">
                  <c:v>3780.22</c:v>
                </c:pt>
                <c:pt idx="30">
                  <c:v>3844.77</c:v>
                </c:pt>
                <c:pt idx="31">
                  <c:v>3193.13</c:v>
                </c:pt>
                <c:pt idx="32">
                  <c:v>3325.02</c:v>
                </c:pt>
                <c:pt idx="33">
                  <c:v>3093.86</c:v>
                </c:pt>
                <c:pt idx="34">
                  <c:v>2539.4899999999998</c:v>
                </c:pt>
                <c:pt idx="35">
                  <c:v>3137.62</c:v>
                </c:pt>
                <c:pt idx="36">
                  <c:v>3213.16</c:v>
                </c:pt>
                <c:pt idx="37">
                  <c:v>3508.9</c:v>
                </c:pt>
                <c:pt idx="38">
                  <c:v>3648.39</c:v>
                </c:pt>
                <c:pt idx="39">
                  <c:v>3828.38</c:v>
                </c:pt>
                <c:pt idx="40">
                  <c:v>3788.74</c:v>
                </c:pt>
                <c:pt idx="41">
                  <c:v>3700.23</c:v>
                </c:pt>
                <c:pt idx="42">
                  <c:v>3571.69</c:v>
                </c:pt>
                <c:pt idx="43">
                  <c:v>3233.36</c:v>
                </c:pt>
                <c:pt idx="44">
                  <c:v>3359.44</c:v>
                </c:pt>
                <c:pt idx="45">
                  <c:v>2915.17</c:v>
                </c:pt>
                <c:pt idx="46">
                  <c:v>2728.16</c:v>
                </c:pt>
                <c:pt idx="47">
                  <c:v>3122.56</c:v>
                </c:pt>
                <c:pt idx="48">
                  <c:v>3162.5</c:v>
                </c:pt>
                <c:pt idx="49">
                  <c:v>3654.06</c:v>
                </c:pt>
                <c:pt idx="50">
                  <c:v>3658.47</c:v>
                </c:pt>
                <c:pt idx="51">
                  <c:v>3848.64</c:v>
                </c:pt>
                <c:pt idx="52">
                  <c:v>3988.3</c:v>
                </c:pt>
                <c:pt idx="53">
                  <c:v>3674.49</c:v>
                </c:pt>
                <c:pt idx="54">
                  <c:v>3668.54</c:v>
                </c:pt>
                <c:pt idx="55">
                  <c:v>3240.38</c:v>
                </c:pt>
                <c:pt idx="56">
                  <c:v>3200.46</c:v>
                </c:pt>
                <c:pt idx="57">
                  <c:v>2885.05</c:v>
                </c:pt>
                <c:pt idx="58">
                  <c:v>2475.5</c:v>
                </c:pt>
                <c:pt idx="59">
                  <c:v>2975.21</c:v>
                </c:pt>
                <c:pt idx="60">
                  <c:v>2943.86</c:v>
                </c:pt>
                <c:pt idx="61">
                  <c:v>3705.96</c:v>
                </c:pt>
                <c:pt idx="62">
                  <c:v>3770.52</c:v>
                </c:pt>
                <c:pt idx="63">
                  <c:v>3885.4</c:v>
                </c:pt>
                <c:pt idx="64">
                  <c:v>4267.82</c:v>
                </c:pt>
                <c:pt idx="65">
                  <c:v>3661.59</c:v>
                </c:pt>
                <c:pt idx="66">
                  <c:v>3700.68</c:v>
                </c:pt>
                <c:pt idx="67">
                  <c:v>3337.72</c:v>
                </c:pt>
                <c:pt idx="68">
                  <c:v>3094.41</c:v>
                </c:pt>
                <c:pt idx="69">
                  <c:v>2901.53</c:v>
                </c:pt>
                <c:pt idx="70">
                  <c:v>2403.42</c:v>
                </c:pt>
                <c:pt idx="71">
                  <c:v>3074.8</c:v>
                </c:pt>
                <c:pt idx="72">
                  <c:v>2997.38</c:v>
                </c:pt>
                <c:pt idx="73">
                  <c:v>3801.51</c:v>
                </c:pt>
                <c:pt idx="74">
                  <c:v>3646.96</c:v>
                </c:pt>
                <c:pt idx="75">
                  <c:v>3865.93</c:v>
                </c:pt>
                <c:pt idx="76">
                  <c:v>3797.17</c:v>
                </c:pt>
                <c:pt idx="77">
                  <c:v>3534.99</c:v>
                </c:pt>
                <c:pt idx="78">
                  <c:v>3963.28</c:v>
                </c:pt>
                <c:pt idx="79">
                  <c:v>3357.65</c:v>
                </c:pt>
                <c:pt idx="80">
                  <c:v>3025.6</c:v>
                </c:pt>
                <c:pt idx="81">
                  <c:v>2986.16</c:v>
                </c:pt>
                <c:pt idx="82">
                  <c:v>2479.9899999999998</c:v>
                </c:pt>
                <c:pt idx="83">
                  <c:v>2988.55</c:v>
                </c:pt>
              </c:numCache>
            </c:numRef>
          </c:val>
          <c:smooth val="0"/>
        </c:ser>
        <c:ser>
          <c:idx val="1"/>
          <c:order val="2"/>
          <c:tx>
            <c:strRef>
              <c:f>月間量回帰式!$J$18:$J$19</c:f>
              <c:strCache>
                <c:ptCount val="1"/>
                <c:pt idx="0">
                  <c:v>仙台市合計</c:v>
                </c:pt>
              </c:strCache>
            </c:strRef>
          </c:tx>
          <c:spPr>
            <a:ln w="0">
              <a:solidFill>
                <a:srgbClr val="C00000"/>
              </a:solidFill>
            </a:ln>
          </c:spPr>
          <c:marker>
            <c:symbol val="square"/>
            <c:size val="4"/>
            <c:spPr>
              <a:solidFill>
                <a:srgbClr val="C00000"/>
              </a:solidFill>
              <a:ln w="0">
                <a:solidFill>
                  <a:srgbClr val="C00000"/>
                </a:solidFill>
              </a:ln>
            </c:spPr>
          </c:marker>
          <c:cat>
            <c:numRef>
              <c:f>月間量回帰式!$Z$20:$Z$103</c:f>
              <c:numCache>
                <c:formatCode>[$-411]ge\.m</c:formatCode>
                <c:ptCount val="84"/>
                <c:pt idx="0">
                  <c:v>41000</c:v>
                </c:pt>
                <c:pt idx="1">
                  <c:v>41030</c:v>
                </c:pt>
                <c:pt idx="2">
                  <c:v>41061</c:v>
                </c:pt>
                <c:pt idx="3">
                  <c:v>41091</c:v>
                </c:pt>
                <c:pt idx="4">
                  <c:v>41122</c:v>
                </c:pt>
                <c:pt idx="5">
                  <c:v>41153</c:v>
                </c:pt>
                <c:pt idx="6">
                  <c:v>41183</c:v>
                </c:pt>
                <c:pt idx="7">
                  <c:v>41214</c:v>
                </c:pt>
                <c:pt idx="8">
                  <c:v>41244</c:v>
                </c:pt>
                <c:pt idx="9">
                  <c:v>41275</c:v>
                </c:pt>
                <c:pt idx="10">
                  <c:v>41306</c:v>
                </c:pt>
                <c:pt idx="11">
                  <c:v>41334</c:v>
                </c:pt>
                <c:pt idx="12">
                  <c:v>41365</c:v>
                </c:pt>
                <c:pt idx="13">
                  <c:v>41395</c:v>
                </c:pt>
                <c:pt idx="14">
                  <c:v>41426</c:v>
                </c:pt>
                <c:pt idx="15">
                  <c:v>41456</c:v>
                </c:pt>
                <c:pt idx="16">
                  <c:v>41487</c:v>
                </c:pt>
                <c:pt idx="17">
                  <c:v>41518</c:v>
                </c:pt>
                <c:pt idx="18">
                  <c:v>41548</c:v>
                </c:pt>
                <c:pt idx="19">
                  <c:v>41579</c:v>
                </c:pt>
                <c:pt idx="20">
                  <c:v>41609</c:v>
                </c:pt>
                <c:pt idx="21">
                  <c:v>41640</c:v>
                </c:pt>
                <c:pt idx="22">
                  <c:v>41671</c:v>
                </c:pt>
                <c:pt idx="23">
                  <c:v>41699</c:v>
                </c:pt>
                <c:pt idx="24">
                  <c:v>41730</c:v>
                </c:pt>
                <c:pt idx="25">
                  <c:v>41760</c:v>
                </c:pt>
                <c:pt idx="26">
                  <c:v>41791</c:v>
                </c:pt>
                <c:pt idx="27">
                  <c:v>41821</c:v>
                </c:pt>
                <c:pt idx="28">
                  <c:v>41852</c:v>
                </c:pt>
                <c:pt idx="29">
                  <c:v>41883</c:v>
                </c:pt>
                <c:pt idx="30">
                  <c:v>41913</c:v>
                </c:pt>
                <c:pt idx="31">
                  <c:v>41944</c:v>
                </c:pt>
                <c:pt idx="32">
                  <c:v>41974</c:v>
                </c:pt>
                <c:pt idx="33">
                  <c:v>42005</c:v>
                </c:pt>
                <c:pt idx="34">
                  <c:v>42036</c:v>
                </c:pt>
                <c:pt idx="35">
                  <c:v>42064</c:v>
                </c:pt>
                <c:pt idx="36">
                  <c:v>42095</c:v>
                </c:pt>
                <c:pt idx="37">
                  <c:v>42125</c:v>
                </c:pt>
                <c:pt idx="38">
                  <c:v>42156</c:v>
                </c:pt>
                <c:pt idx="39">
                  <c:v>42186</c:v>
                </c:pt>
                <c:pt idx="40">
                  <c:v>42217</c:v>
                </c:pt>
                <c:pt idx="41">
                  <c:v>42248</c:v>
                </c:pt>
                <c:pt idx="42">
                  <c:v>42278</c:v>
                </c:pt>
                <c:pt idx="43">
                  <c:v>42309</c:v>
                </c:pt>
                <c:pt idx="44">
                  <c:v>42339</c:v>
                </c:pt>
                <c:pt idx="45">
                  <c:v>42370</c:v>
                </c:pt>
                <c:pt idx="46">
                  <c:v>42401</c:v>
                </c:pt>
                <c:pt idx="47">
                  <c:v>42430</c:v>
                </c:pt>
                <c:pt idx="48">
                  <c:v>42461</c:v>
                </c:pt>
                <c:pt idx="49">
                  <c:v>42491</c:v>
                </c:pt>
                <c:pt idx="50">
                  <c:v>42522</c:v>
                </c:pt>
                <c:pt idx="51">
                  <c:v>42552</c:v>
                </c:pt>
                <c:pt idx="52">
                  <c:v>42583</c:v>
                </c:pt>
                <c:pt idx="53">
                  <c:v>42614</c:v>
                </c:pt>
                <c:pt idx="54">
                  <c:v>42644</c:v>
                </c:pt>
                <c:pt idx="55">
                  <c:v>42675</c:v>
                </c:pt>
                <c:pt idx="56">
                  <c:v>42705</c:v>
                </c:pt>
                <c:pt idx="57">
                  <c:v>42736</c:v>
                </c:pt>
                <c:pt idx="58">
                  <c:v>42767</c:v>
                </c:pt>
                <c:pt idx="59">
                  <c:v>42795</c:v>
                </c:pt>
                <c:pt idx="60">
                  <c:v>42826</c:v>
                </c:pt>
                <c:pt idx="61">
                  <c:v>42856</c:v>
                </c:pt>
                <c:pt idx="62">
                  <c:v>42887</c:v>
                </c:pt>
                <c:pt idx="63">
                  <c:v>42917</c:v>
                </c:pt>
                <c:pt idx="64">
                  <c:v>42948</c:v>
                </c:pt>
                <c:pt idx="65">
                  <c:v>42979</c:v>
                </c:pt>
                <c:pt idx="66">
                  <c:v>43009</c:v>
                </c:pt>
                <c:pt idx="67">
                  <c:v>43040</c:v>
                </c:pt>
                <c:pt idx="68">
                  <c:v>43070</c:v>
                </c:pt>
                <c:pt idx="69">
                  <c:v>43101</c:v>
                </c:pt>
                <c:pt idx="70">
                  <c:v>43132</c:v>
                </c:pt>
                <c:pt idx="71">
                  <c:v>43160</c:v>
                </c:pt>
                <c:pt idx="72">
                  <c:v>43191</c:v>
                </c:pt>
                <c:pt idx="73">
                  <c:v>43221</c:v>
                </c:pt>
                <c:pt idx="74">
                  <c:v>43252</c:v>
                </c:pt>
                <c:pt idx="75">
                  <c:v>43282</c:v>
                </c:pt>
                <c:pt idx="76">
                  <c:v>43313</c:v>
                </c:pt>
                <c:pt idx="77">
                  <c:v>43344</c:v>
                </c:pt>
                <c:pt idx="78">
                  <c:v>43374</c:v>
                </c:pt>
                <c:pt idx="79">
                  <c:v>43405</c:v>
                </c:pt>
                <c:pt idx="80">
                  <c:v>43435</c:v>
                </c:pt>
                <c:pt idx="81">
                  <c:v>43466</c:v>
                </c:pt>
                <c:pt idx="82">
                  <c:v>43497</c:v>
                </c:pt>
                <c:pt idx="83">
                  <c:v>43525</c:v>
                </c:pt>
              </c:numCache>
            </c:numRef>
          </c:cat>
          <c:val>
            <c:numRef>
              <c:f>月間量回帰式!$J$20:$J$103</c:f>
              <c:numCache>
                <c:formatCode>General</c:formatCode>
                <c:ptCount val="84"/>
                <c:pt idx="5" formatCode="0">
                  <c:v>28079</c:v>
                </c:pt>
                <c:pt idx="6" formatCode="0">
                  <c:v>32007</c:v>
                </c:pt>
                <c:pt idx="7" formatCode="0">
                  <c:v>27906</c:v>
                </c:pt>
                <c:pt idx="8" formatCode="0">
                  <c:v>27426</c:v>
                </c:pt>
                <c:pt idx="9" formatCode="0">
                  <c:v>25536</c:v>
                </c:pt>
                <c:pt idx="10" formatCode="0">
                  <c:v>21915</c:v>
                </c:pt>
                <c:pt idx="11" formatCode="0">
                  <c:v>27132</c:v>
                </c:pt>
                <c:pt idx="12" formatCode="0">
                  <c:v>29005.073669400437</c:v>
                </c:pt>
                <c:pt idx="13" formatCode="0">
                  <c:v>30572.972065646176</c:v>
                </c:pt>
                <c:pt idx="14" formatCode="0">
                  <c:v>29842.402585953572</c:v>
                </c:pt>
                <c:pt idx="15" formatCode="0">
                  <c:v>34019.627218408001</c:v>
                </c:pt>
                <c:pt idx="16" formatCode="0">
                  <c:v>32566.861548188321</c:v>
                </c:pt>
                <c:pt idx="17" formatCode="0">
                  <c:v>30173.147507992056</c:v>
                </c:pt>
                <c:pt idx="18" formatCode="0">
                  <c:v>31359.014586060432</c:v>
                </c:pt>
                <c:pt idx="19" formatCode="0">
                  <c:v>28464.99651822367</c:v>
                </c:pt>
                <c:pt idx="20" formatCode="0">
                  <c:v>29372.451731538127</c:v>
                </c:pt>
                <c:pt idx="21" formatCode="0">
                  <c:v>26973.504385613407</c:v>
                </c:pt>
                <c:pt idx="22" formatCode="0">
                  <c:v>22261.435907710664</c:v>
                </c:pt>
                <c:pt idx="23" formatCode="0">
                  <c:v>28005.512275265144</c:v>
                </c:pt>
                <c:pt idx="24" formatCode="0">
                  <c:v>29204.565838092043</c:v>
                </c:pt>
                <c:pt idx="25" formatCode="0">
                  <c:v>30105.61795191708</c:v>
                </c:pt>
                <c:pt idx="26" formatCode="0">
                  <c:v>29497.931642593216</c:v>
                </c:pt>
                <c:pt idx="27" formatCode="0">
                  <c:v>32669.425536254137</c:v>
                </c:pt>
                <c:pt idx="28" formatCode="0">
                  <c:v>31132.398267671193</c:v>
                </c:pt>
                <c:pt idx="29" formatCode="0">
                  <c:v>31292.701725130766</c:v>
                </c:pt>
                <c:pt idx="30" formatCode="0">
                  <c:v>30638.915075099576</c:v>
                </c:pt>
                <c:pt idx="31" formatCode="0">
                  <c:v>27477.898531599407</c:v>
                </c:pt>
                <c:pt idx="32" formatCode="0">
                  <c:v>30038.562910888239</c:v>
                </c:pt>
                <c:pt idx="33" formatCode="0">
                  <c:v>26110.604335620708</c:v>
                </c:pt>
                <c:pt idx="34" formatCode="0">
                  <c:v>22643.649167426462</c:v>
                </c:pt>
                <c:pt idx="35" formatCode="0">
                  <c:v>28527.729017707181</c:v>
                </c:pt>
                <c:pt idx="36" formatCode="0">
                  <c:v>28392.12467885841</c:v>
                </c:pt>
                <c:pt idx="37" formatCode="0">
                  <c:v>28901.071735288224</c:v>
                </c:pt>
                <c:pt idx="38" formatCode="0">
                  <c:v>29590.139972182911</c:v>
                </c:pt>
                <c:pt idx="39" formatCode="0">
                  <c:v>31701.327761817705</c:v>
                </c:pt>
                <c:pt idx="40" formatCode="0">
                  <c:v>30488.651442176291</c:v>
                </c:pt>
                <c:pt idx="41" formatCode="0">
                  <c:v>30795.485778665876</c:v>
                </c:pt>
                <c:pt idx="42" formatCode="0">
                  <c:v>29538.826380073733</c:v>
                </c:pt>
                <c:pt idx="43" formatCode="0">
                  <c:v>27977.427077322998</c:v>
                </c:pt>
                <c:pt idx="44" formatCode="0">
                  <c:v>30357.749421489611</c:v>
                </c:pt>
                <c:pt idx="45" formatCode="0">
                  <c:v>24933.169684233537</c:v>
                </c:pt>
                <c:pt idx="46" formatCode="0">
                  <c:v>23775.995821363278</c:v>
                </c:pt>
                <c:pt idx="47" formatCode="0">
                  <c:v>28390.030246527422</c:v>
                </c:pt>
                <c:pt idx="48" formatCode="0">
                  <c:v>27232.268472520966</c:v>
                </c:pt>
                <c:pt idx="49" formatCode="0">
                  <c:v>30036.962507249089</c:v>
                </c:pt>
                <c:pt idx="50" formatCode="0">
                  <c:v>29714.029511848621</c:v>
                </c:pt>
                <c:pt idx="51" formatCode="0">
                  <c:v>30565.398317904408</c:v>
                </c:pt>
                <c:pt idx="52" formatCode="0">
                  <c:v>32046.905858491638</c:v>
                </c:pt>
                <c:pt idx="53" formatCode="0">
                  <c:v>30283.356188804646</c:v>
                </c:pt>
                <c:pt idx="54" formatCode="0">
                  <c:v>29457.150992780062</c:v>
                </c:pt>
                <c:pt idx="55" formatCode="0">
                  <c:v>27966.207098431129</c:v>
                </c:pt>
                <c:pt idx="56" formatCode="0">
                  <c:v>28756.763846911505</c:v>
                </c:pt>
                <c:pt idx="57" formatCode="0">
                  <c:v>25351.288622688349</c:v>
                </c:pt>
                <c:pt idx="58" formatCode="0">
                  <c:v>22734.273179442964</c:v>
                </c:pt>
                <c:pt idx="59" formatCode="0">
                  <c:v>27559.395402926639</c:v>
                </c:pt>
                <c:pt idx="60" formatCode="0">
                  <c:v>24343.564904198178</c:v>
                </c:pt>
                <c:pt idx="61" formatCode="0">
                  <c:v>30036.392021804797</c:v>
                </c:pt>
                <c:pt idx="62" formatCode="0">
                  <c:v>30042.732713638659</c:v>
                </c:pt>
                <c:pt idx="63" formatCode="0">
                  <c:v>30298.388109838859</c:v>
                </c:pt>
                <c:pt idx="64" formatCode="0">
                  <c:v>33425.35768207298</c:v>
                </c:pt>
                <c:pt idx="65" formatCode="0">
                  <c:v>28768.889979311483</c:v>
                </c:pt>
                <c:pt idx="66" formatCode="0">
                  <c:v>29640.732477039666</c:v>
                </c:pt>
                <c:pt idx="67" formatCode="0">
                  <c:v>26570.191650296685</c:v>
                </c:pt>
                <c:pt idx="68" formatCode="0">
                  <c:v>25485.126915564779</c:v>
                </c:pt>
                <c:pt idx="69" formatCode="0">
                  <c:v>24226.127115466632</c:v>
                </c:pt>
                <c:pt idx="70" formatCode="0">
                  <c:v>20127.953613739417</c:v>
                </c:pt>
                <c:pt idx="71" formatCode="0">
                  <c:v>25535.973950164182</c:v>
                </c:pt>
                <c:pt idx="72" formatCode="0">
                  <c:v>29059</c:v>
                </c:pt>
                <c:pt idx="73" formatCode="0">
                  <c:v>26089</c:v>
                </c:pt>
                <c:pt idx="74" formatCode="0">
                  <c:v>23505</c:v>
                </c:pt>
                <c:pt idx="75" formatCode="0">
                  <c:v>23312</c:v>
                </c:pt>
                <c:pt idx="76" formatCode="0">
                  <c:v>30577</c:v>
                </c:pt>
                <c:pt idx="77" formatCode="0">
                  <c:v>34448</c:v>
                </c:pt>
                <c:pt idx="78" formatCode="0">
                  <c:v>22363</c:v>
                </c:pt>
                <c:pt idx="79" formatCode="0">
                  <c:v>26575</c:v>
                </c:pt>
                <c:pt idx="80" formatCode="0">
                  <c:v>26775</c:v>
                </c:pt>
                <c:pt idx="81" formatCode="0">
                  <c:v>22498</c:v>
                </c:pt>
                <c:pt idx="82" formatCode="0">
                  <c:v>26586</c:v>
                </c:pt>
                <c:pt idx="83" formatCode="0">
                  <c:v>30804</c:v>
                </c:pt>
              </c:numCache>
            </c:numRef>
          </c:val>
          <c:smooth val="0"/>
        </c:ser>
        <c:dLbls>
          <c:showLegendKey val="0"/>
          <c:showVal val="0"/>
          <c:showCatName val="0"/>
          <c:showSerName val="0"/>
          <c:showPercent val="0"/>
          <c:showBubbleSize val="0"/>
        </c:dLbls>
        <c:marker val="1"/>
        <c:smooth val="0"/>
        <c:axId val="270533376"/>
        <c:axId val="270536064"/>
      </c:lineChart>
      <c:catAx>
        <c:axId val="270533376"/>
        <c:scaling>
          <c:orientation val="minMax"/>
        </c:scaling>
        <c:delete val="0"/>
        <c:axPos val="b"/>
        <c:majorGridlines>
          <c:spPr>
            <a:ln w="3175">
              <a:pattFill prst="pct50">
                <a:fgClr>
                  <a:srgbClr val="000000"/>
                </a:fgClr>
                <a:bgClr>
                  <a:srgbClr val="FFFFFF"/>
                </a:bgClr>
              </a:patt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70536064"/>
        <c:crosses val="autoZero"/>
        <c:auto val="0"/>
        <c:lblAlgn val="ctr"/>
        <c:lblOffset val="0"/>
        <c:tickLblSkip val="6"/>
        <c:tickMarkSkip val="6"/>
        <c:noMultiLvlLbl val="0"/>
      </c:catAx>
      <c:valAx>
        <c:axId val="270536064"/>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70533376"/>
        <c:crosses val="autoZero"/>
        <c:crossBetween val="between"/>
      </c:valAx>
      <c:spPr>
        <a:noFill/>
        <a:ln w="12700">
          <a:solidFill>
            <a:srgbClr val="808080"/>
          </a:solidFill>
          <a:prstDash val="solid"/>
        </a:ln>
      </c:spPr>
    </c:plotArea>
    <c:legend>
      <c:legendPos val="r"/>
      <c:layout>
        <c:manualLayout>
          <c:xMode val="edge"/>
          <c:yMode val="edge"/>
          <c:x val="0.23738943589467096"/>
          <c:y val="1.4121474252337099E-4"/>
          <c:w val="0.64666866535036738"/>
          <c:h val="0.13223461186503083"/>
        </c:manualLayout>
      </c:layout>
      <c:overlay val="0"/>
      <c:spPr>
        <a:no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47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171755573742668"/>
          <c:y val="3.6627296587926503E-2"/>
          <c:w val="0.85458439390452412"/>
          <c:h val="0.84993864403313213"/>
        </c:manualLayout>
      </c:layout>
      <c:lineChart>
        <c:grouping val="standard"/>
        <c:varyColors val="0"/>
        <c:ser>
          <c:idx val="1"/>
          <c:order val="0"/>
          <c:tx>
            <c:strRef>
              <c:f>濃度回帰式!$H$56</c:f>
              <c:strCache>
                <c:ptCount val="1"/>
                <c:pt idx="0">
                  <c:v>Cs-134</c:v>
                </c:pt>
              </c:strCache>
            </c:strRef>
          </c:tx>
          <c:spPr>
            <a:ln w="9525">
              <a:solidFill>
                <a:srgbClr val="009900"/>
              </a:solidFill>
            </a:ln>
          </c:spPr>
          <c:marker>
            <c:symbol val="triangle"/>
            <c:size val="6"/>
            <c:spPr>
              <a:solidFill>
                <a:srgbClr val="92D050"/>
              </a:solidFill>
              <a:ln>
                <a:solidFill>
                  <a:srgbClr val="009900"/>
                </a:solidFill>
              </a:ln>
            </c:spPr>
          </c:marker>
          <c:cat>
            <c:numRef>
              <c:f>濃度回帰式!$G$63:$G$147</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濃度回帰式!$H$63:$H$147</c:f>
              <c:numCache>
                <c:formatCode>General</c:formatCode>
                <c:ptCount val="85"/>
                <c:pt idx="1">
                  <c:v>340</c:v>
                </c:pt>
                <c:pt idx="2">
                  <c:v>550</c:v>
                </c:pt>
                <c:pt idx="3">
                  <c:v>550</c:v>
                </c:pt>
                <c:pt idx="4">
                  <c:v>460</c:v>
                </c:pt>
                <c:pt idx="5">
                  <c:v>390</c:v>
                </c:pt>
                <c:pt idx="6">
                  <c:v>300</c:v>
                </c:pt>
                <c:pt idx="7">
                  <c:v>260</c:v>
                </c:pt>
                <c:pt idx="8">
                  <c:v>250</c:v>
                </c:pt>
                <c:pt idx="9">
                  <c:v>180</c:v>
                </c:pt>
                <c:pt idx="10">
                  <c:v>160</c:v>
                </c:pt>
                <c:pt idx="11">
                  <c:v>98</c:v>
                </c:pt>
                <c:pt idx="12">
                  <c:v>160</c:v>
                </c:pt>
                <c:pt idx="13">
                  <c:v>220</c:v>
                </c:pt>
                <c:pt idx="14">
                  <c:v>250</c:v>
                </c:pt>
                <c:pt idx="15">
                  <c:v>260</c:v>
                </c:pt>
                <c:pt idx="16">
                  <c:v>200</c:v>
                </c:pt>
                <c:pt idx="17">
                  <c:v>190</c:v>
                </c:pt>
                <c:pt idx="18">
                  <c:v>150</c:v>
                </c:pt>
                <c:pt idx="19">
                  <c:v>130</c:v>
                </c:pt>
                <c:pt idx="20">
                  <c:v>120</c:v>
                </c:pt>
                <c:pt idx="21">
                  <c:v>110</c:v>
                </c:pt>
                <c:pt idx="22">
                  <c:v>76</c:v>
                </c:pt>
                <c:pt idx="23">
                  <c:v>46</c:v>
                </c:pt>
                <c:pt idx="24">
                  <c:v>49</c:v>
                </c:pt>
                <c:pt idx="25">
                  <c:v>74</c:v>
                </c:pt>
                <c:pt idx="26">
                  <c:v>120</c:v>
                </c:pt>
                <c:pt idx="27">
                  <c:v>110</c:v>
                </c:pt>
                <c:pt idx="28">
                  <c:v>91</c:v>
                </c:pt>
                <c:pt idx="29">
                  <c:v>74</c:v>
                </c:pt>
                <c:pt idx="30">
                  <c:v>72</c:v>
                </c:pt>
                <c:pt idx="31">
                  <c:v>63</c:v>
                </c:pt>
                <c:pt idx="32">
                  <c:v>60</c:v>
                </c:pt>
                <c:pt idx="33">
                  <c:v>60</c:v>
                </c:pt>
                <c:pt idx="34">
                  <c:v>33</c:v>
                </c:pt>
                <c:pt idx="35">
                  <c:v>20</c:v>
                </c:pt>
                <c:pt idx="36">
                  <c:v>26</c:v>
                </c:pt>
                <c:pt idx="37">
                  <c:v>47</c:v>
                </c:pt>
                <c:pt idx="38">
                  <c:v>67</c:v>
                </c:pt>
                <c:pt idx="39">
                  <c:v>58</c:v>
                </c:pt>
                <c:pt idx="40">
                  <c:v>56</c:v>
                </c:pt>
                <c:pt idx="41">
                  <c:v>39</c:v>
                </c:pt>
                <c:pt idx="42">
                  <c:v>35</c:v>
                </c:pt>
                <c:pt idx="43">
                  <c:v>34</c:v>
                </c:pt>
                <c:pt idx="44">
                  <c:v>39</c:v>
                </c:pt>
                <c:pt idx="45">
                  <c:v>33</c:v>
                </c:pt>
                <c:pt idx="46">
                  <c:v>23</c:v>
                </c:pt>
                <c:pt idx="47">
                  <c:v>24</c:v>
                </c:pt>
                <c:pt idx="48">
                  <c:v>17</c:v>
                </c:pt>
                <c:pt idx="49">
                  <c:v>22</c:v>
                </c:pt>
                <c:pt idx="50">
                  <c:v>33</c:v>
                </c:pt>
                <c:pt idx="51">
                  <c:v>42</c:v>
                </c:pt>
                <c:pt idx="52">
                  <c:v>33</c:v>
                </c:pt>
                <c:pt idx="53">
                  <c:v>24</c:v>
                </c:pt>
                <c:pt idx="54">
                  <c:v>19</c:v>
                </c:pt>
                <c:pt idx="55">
                  <c:v>21</c:v>
                </c:pt>
                <c:pt idx="56">
                  <c:v>21</c:v>
                </c:pt>
                <c:pt idx="57">
                  <c:v>18</c:v>
                </c:pt>
                <c:pt idx="58">
                  <c:v>15</c:v>
                </c:pt>
                <c:pt idx="59">
                  <c:v>11</c:v>
                </c:pt>
                <c:pt idx="60">
                  <c:v>12</c:v>
                </c:pt>
                <c:pt idx="61">
                  <c:v>17</c:v>
                </c:pt>
                <c:pt idx="62">
                  <c:v>25</c:v>
                </c:pt>
                <c:pt idx="63">
                  <c:v>22</c:v>
                </c:pt>
                <c:pt idx="64">
                  <c:v>20</c:v>
                </c:pt>
                <c:pt idx="65">
                  <c:v>14</c:v>
                </c:pt>
                <c:pt idx="66">
                  <c:v>15</c:v>
                </c:pt>
                <c:pt idx="67">
                  <c:v>15</c:v>
                </c:pt>
                <c:pt idx="68">
                  <c:v>14</c:v>
                </c:pt>
                <c:pt idx="69">
                  <c:v>13</c:v>
                </c:pt>
                <c:pt idx="70">
                  <c:v>11</c:v>
                </c:pt>
                <c:pt idx="71">
                  <c:v>5.5</c:v>
                </c:pt>
                <c:pt idx="72" formatCode="0.0">
                  <c:v>5.383998161135243</c:v>
                </c:pt>
                <c:pt idx="73">
                  <c:v>11</c:v>
                </c:pt>
                <c:pt idx="74">
                  <c:v>14</c:v>
                </c:pt>
                <c:pt idx="75">
                  <c:v>16</c:v>
                </c:pt>
                <c:pt idx="76">
                  <c:v>12</c:v>
                </c:pt>
                <c:pt idx="77">
                  <c:v>10</c:v>
                </c:pt>
                <c:pt idx="78">
                  <c:v>10</c:v>
                </c:pt>
                <c:pt idx="79">
                  <c:v>10</c:v>
                </c:pt>
                <c:pt idx="80" formatCode="0.0">
                  <c:v>4.2971331004994537</c:v>
                </c:pt>
                <c:pt idx="81">
                  <c:v>20</c:v>
                </c:pt>
                <c:pt idx="82">
                  <c:v>20</c:v>
                </c:pt>
                <c:pt idx="83">
                  <c:v>20</c:v>
                </c:pt>
                <c:pt idx="84">
                  <c:v>10</c:v>
                </c:pt>
              </c:numCache>
            </c:numRef>
          </c:val>
          <c:smooth val="0"/>
        </c:ser>
        <c:ser>
          <c:idx val="0"/>
          <c:order val="1"/>
          <c:tx>
            <c:strRef>
              <c:f>濃度回帰式!$Q$56</c:f>
              <c:strCache>
                <c:ptCount val="1"/>
                <c:pt idx="0">
                  <c:v>回帰式_Cs-134</c:v>
                </c:pt>
              </c:strCache>
            </c:strRef>
          </c:tx>
          <c:spPr>
            <a:ln w="25400">
              <a:solidFill>
                <a:srgbClr val="C00000"/>
              </a:solidFill>
              <a:prstDash val="sysDash"/>
            </a:ln>
          </c:spPr>
          <c:marker>
            <c:symbol val="none"/>
          </c:marker>
          <c:cat>
            <c:numRef>
              <c:f>濃度回帰式!$G$63:$G$147</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濃度回帰式!$Q$63:$Q$147</c:f>
              <c:numCache>
                <c:formatCode>0</c:formatCode>
                <c:ptCount val="85"/>
                <c:pt idx="1">
                  <c:v>409.10074926559156</c:v>
                </c:pt>
                <c:pt idx="2">
                  <c:v>573.86923058251261</c:v>
                </c:pt>
                <c:pt idx="3">
                  <c:v>575.32683836377066</c:v>
                </c:pt>
                <c:pt idx="4">
                  <c:v>509.57916792906292</c:v>
                </c:pt>
                <c:pt idx="5">
                  <c:v>411.21213975516696</c:v>
                </c:pt>
                <c:pt idx="6">
                  <c:v>356.53734281810824</c:v>
                </c:pt>
                <c:pt idx="7">
                  <c:v>307.13308957269703</c:v>
                </c:pt>
                <c:pt idx="8">
                  <c:v>239.02359257858782</c:v>
                </c:pt>
                <c:pt idx="9">
                  <c:v>165.02717411945301</c:v>
                </c:pt>
                <c:pt idx="10">
                  <c:v>139.11647465194233</c:v>
                </c:pt>
                <c:pt idx="11">
                  <c:v>118.61671988026326</c:v>
                </c:pt>
                <c:pt idx="12">
                  <c:v>103.67867524959496</c:v>
                </c:pt>
                <c:pt idx="13">
                  <c:v>165.83835031059999</c:v>
                </c:pt>
                <c:pt idx="14">
                  <c:v>233.9638030289768</c:v>
                </c:pt>
                <c:pt idx="15">
                  <c:v>235.99730221839258</c:v>
                </c:pt>
                <c:pt idx="16">
                  <c:v>210.37751968720471</c:v>
                </c:pt>
                <c:pt idx="17">
                  <c:v>170.95121332497234</c:v>
                </c:pt>
                <c:pt idx="18">
                  <c:v>149.33704588042201</c:v>
                </c:pt>
                <c:pt idx="19">
                  <c:v>129.64230851652673</c:v>
                </c:pt>
                <c:pt idx="20">
                  <c:v>101.75511358546811</c:v>
                </c:pt>
                <c:pt idx="21">
                  <c:v>70.862502391671043</c:v>
                </c:pt>
                <c:pt idx="22">
                  <c:v>60.317385686309684</c:v>
                </c:pt>
                <c:pt idx="23">
                  <c:v>51.953462130357451</c:v>
                </c:pt>
                <c:pt idx="24">
                  <c:v>45.857451210423051</c:v>
                </c:pt>
                <c:pt idx="25">
                  <c:v>74.18256226289806</c:v>
                </c:pt>
                <c:pt idx="26">
                  <c:v>105.84250840758911</c:v>
                </c:pt>
                <c:pt idx="27">
                  <c:v>108.11191571214584</c:v>
                </c:pt>
                <c:pt idx="28">
                  <c:v>97.596369725625379</c:v>
                </c:pt>
                <c:pt idx="29">
                  <c:v>80.406251667208807</c:v>
                </c:pt>
                <c:pt idx="30">
                  <c:v>71.242019646000585</c:v>
                </c:pt>
                <c:pt idx="31">
                  <c:v>62.743993337793334</c:v>
                </c:pt>
                <c:pt idx="32">
                  <c:v>50.01450377954864</c:v>
                </c:pt>
                <c:pt idx="33">
                  <c:v>35.37357944595378</c:v>
                </c:pt>
                <c:pt idx="34">
                  <c:v>30.616258916097483</c:v>
                </c:pt>
                <c:pt idx="35">
                  <c:v>26.825455260075476</c:v>
                </c:pt>
                <c:pt idx="36">
                  <c:v>24.055786950387642</c:v>
                </c:pt>
                <c:pt idx="37">
                  <c:v>39.618591477361534</c:v>
                </c:pt>
                <c:pt idx="38">
                  <c:v>57.547823700643598</c:v>
                </c:pt>
                <c:pt idx="39">
                  <c:v>59.899989607606287</c:v>
                </c:pt>
                <c:pt idx="40">
                  <c:v>55.077281760691285</c:v>
                </c:pt>
                <c:pt idx="41">
                  <c:v>46.268371646438979</c:v>
                </c:pt>
                <c:pt idx="42">
                  <c:v>41.807252188190851</c:v>
                </c:pt>
                <c:pt idx="43">
                  <c:v>37.527598074485049</c:v>
                </c:pt>
                <c:pt idx="44">
                  <c:v>30.509284061955903</c:v>
                </c:pt>
                <c:pt idx="45">
                  <c:v>21.998207261263556</c:v>
                </c:pt>
                <c:pt idx="46">
                  <c:v>19.418011019320573</c:v>
                </c:pt>
                <c:pt idx="47">
                  <c:v>17.349123800854784</c:v>
                </c:pt>
                <c:pt idx="48">
                  <c:v>15.82409834162752</c:v>
                </c:pt>
                <c:pt idx="49">
                  <c:v>26.574846050358332</c:v>
                </c:pt>
                <c:pt idx="50">
                  <c:v>39.322611550888162</c:v>
                </c:pt>
                <c:pt idx="51">
                  <c:v>41.693626424621257</c:v>
                </c:pt>
                <c:pt idx="52">
                  <c:v>39.03013062530345</c:v>
                </c:pt>
                <c:pt idx="53">
                  <c:v>33.379863155833171</c:v>
                </c:pt>
                <c:pt idx="54">
                  <c:v>30.694596216919841</c:v>
                </c:pt>
                <c:pt idx="55">
                  <c:v>28.007621471512525</c:v>
                </c:pt>
                <c:pt idx="56">
                  <c:v>23.149190998703425</c:v>
                </c:pt>
                <c:pt idx="57">
                  <c:v>16.949626140129766</c:v>
                </c:pt>
                <c:pt idx="58">
                  <c:v>15.191131116867744</c:v>
                </c:pt>
                <c:pt idx="59">
                  <c:v>13.77520764788129</c:v>
                </c:pt>
                <c:pt idx="60">
                  <c:v>12.734729969383816</c:v>
                </c:pt>
                <c:pt idx="61">
                  <c:v>21.676820780748031</c:v>
                </c:pt>
                <c:pt idx="62">
                  <c:v>32.478409982703944</c:v>
                </c:pt>
                <c:pt idx="63">
                  <c:v>34.870288648117537</c:v>
                </c:pt>
                <c:pt idx="64">
                  <c:v>33.009895127139742</c:v>
                </c:pt>
                <c:pt idx="65">
                  <c:v>28.54483938030938</c:v>
                </c:pt>
                <c:pt idx="66">
                  <c:v>26.522240627788236</c:v>
                </c:pt>
                <c:pt idx="67">
                  <c:v>24.434867817941718</c:v>
                </c:pt>
                <c:pt idx="68">
                  <c:v>20.386660941579649</c:v>
                </c:pt>
                <c:pt idx="69">
                  <c:v>15.054406522750332</c:v>
                </c:pt>
                <c:pt idx="70">
                  <c:v>13.604861923376793</c:v>
                </c:pt>
                <c:pt idx="71">
                  <c:v>12.433899354904547</c:v>
                </c:pt>
                <c:pt idx="72">
                  <c:v>11.571395449043157</c:v>
                </c:pt>
                <c:pt idx="73">
                  <c:v>19.832307859597382</c:v>
                </c:pt>
                <c:pt idx="74">
                  <c:v>29.903895903211147</c:v>
                </c:pt>
                <c:pt idx="75">
                  <c:v>32.296963812581211</c:v>
                </c:pt>
                <c:pt idx="76">
                  <c:v>30.742688277705927</c:v>
                </c:pt>
                <c:pt idx="77">
                  <c:v>26.722340940329332</c:v>
                </c:pt>
                <c:pt idx="78">
                  <c:v>24.951446653713639</c:v>
                </c:pt>
                <c:pt idx="79">
                  <c:v>23.089547046881762</c:v>
                </c:pt>
                <c:pt idx="80">
                  <c:v>19.348504804603714</c:v>
                </c:pt>
                <c:pt idx="81">
                  <c:v>14.336957405302336</c:v>
                </c:pt>
                <c:pt idx="82">
                  <c:v>13.003649883331486</c:v>
                </c:pt>
                <c:pt idx="83">
                  <c:v>11.923572518995838</c:v>
                </c:pt>
                <c:pt idx="84">
                  <c:v>11.130972508300136</c:v>
                </c:pt>
              </c:numCache>
            </c:numRef>
          </c:val>
          <c:smooth val="0"/>
        </c:ser>
        <c:ser>
          <c:idx val="3"/>
          <c:order val="2"/>
          <c:tx>
            <c:strRef>
              <c:f>濃度回帰式!$O$56</c:f>
              <c:strCache>
                <c:ptCount val="1"/>
                <c:pt idx="0">
                  <c:v>Cs-134:事故日1200から減衰</c:v>
                </c:pt>
              </c:strCache>
            </c:strRef>
          </c:tx>
          <c:marker>
            <c:symbol val="none"/>
          </c:marker>
          <c:cat>
            <c:numRef>
              <c:f>濃度回帰式!$G$63:$G$147</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濃度回帰式!$O$63:$O$147</c:f>
              <c:numCache>
                <c:formatCode>0</c:formatCode>
                <c:ptCount val="85"/>
                <c:pt idx="0">
                  <c:v>1193.602219927805</c:v>
                </c:pt>
                <c:pt idx="1">
                  <c:v>427.66824530077849</c:v>
                </c:pt>
                <c:pt idx="2">
                  <c:v>394.71404663840514</c:v>
                </c:pt>
                <c:pt idx="3">
                  <c:v>363.32672557584715</c:v>
                </c:pt>
                <c:pt idx="4">
                  <c:v>335.3303961182898</c:v>
                </c:pt>
                <c:pt idx="5">
                  <c:v>308.66521180413349</c:v>
                </c:pt>
                <c:pt idx="6">
                  <c:v>284.12041998269092</c:v>
                </c:pt>
                <c:pt idx="7">
                  <c:v>262.22737352196629</c:v>
                </c:pt>
                <c:pt idx="8">
                  <c:v>241.37527860864461</c:v>
                </c:pt>
                <c:pt idx="9">
                  <c:v>222.77598120731267</c:v>
                </c:pt>
                <c:pt idx="10">
                  <c:v>205.06102703547398</c:v>
                </c:pt>
                <c:pt idx="11">
                  <c:v>188.75475076333359</c:v>
                </c:pt>
                <c:pt idx="12">
                  <c:v>175.14393241983743</c:v>
                </c:pt>
                <c:pt idx="13">
                  <c:v>161.21663774705263</c:v>
                </c:pt>
                <c:pt idx="14">
                  <c:v>148.79400603106026</c:v>
                </c:pt>
                <c:pt idx="15">
                  <c:v>136.96203481226172</c:v>
                </c:pt>
                <c:pt idx="16">
                  <c:v>126.40835411700265</c:v>
                </c:pt>
                <c:pt idx="17">
                  <c:v>116.35647065997786</c:v>
                </c:pt>
                <c:pt idx="18">
                  <c:v>107.10390431881464</c:v>
                </c:pt>
                <c:pt idx="19">
                  <c:v>98.850957369349771</c:v>
                </c:pt>
                <c:pt idx="20">
                  <c:v>90.990414369380616</c:v>
                </c:pt>
                <c:pt idx="21">
                  <c:v>83.979100753165369</c:v>
                </c:pt>
                <c:pt idx="22">
                  <c:v>77.3011549837329</c:v>
                </c:pt>
                <c:pt idx="23">
                  <c:v>71.154233710865981</c:v>
                </c:pt>
                <c:pt idx="24">
                  <c:v>66.023410007130124</c:v>
                </c:pt>
                <c:pt idx="25">
                  <c:v>60.773285302454703</c:v>
                </c:pt>
                <c:pt idx="26">
                  <c:v>56.090368253484485</c:v>
                </c:pt>
                <c:pt idx="27">
                  <c:v>51.630110474763896</c:v>
                </c:pt>
                <c:pt idx="28">
                  <c:v>47.651725508751198</c:v>
                </c:pt>
                <c:pt idx="29">
                  <c:v>43.862501333767042</c:v>
                </c:pt>
                <c:pt idx="30">
                  <c:v>40.374593001913233</c:v>
                </c:pt>
                <c:pt idx="31">
                  <c:v>37.263507777987456</c:v>
                </c:pt>
                <c:pt idx="32">
                  <c:v>34.30034573066289</c:v>
                </c:pt>
                <c:pt idx="33">
                  <c:v>31.657314783622667</c:v>
                </c:pt>
                <c:pt idx="34">
                  <c:v>29.139952375179423</c:v>
                </c:pt>
                <c:pt idx="35">
                  <c:v>26.822768457513348</c:v>
                </c:pt>
                <c:pt idx="36">
                  <c:v>24.888619370041514</c:v>
                </c:pt>
                <c:pt idx="37">
                  <c:v>22.909497791713367</c:v>
                </c:pt>
                <c:pt idx="38">
                  <c:v>21.144194546081089</c:v>
                </c:pt>
                <c:pt idx="39">
                  <c:v>19.46282640507086</c:v>
                </c:pt>
                <c:pt idx="40">
                  <c:v>17.963108212449608</c:v>
                </c:pt>
                <c:pt idx="41">
                  <c:v>16.534697317151174</c:v>
                </c:pt>
                <c:pt idx="42">
                  <c:v>15.219872426105235</c:v>
                </c:pt>
                <c:pt idx="43">
                  <c:v>14.047097255030502</c:v>
                </c:pt>
                <c:pt idx="44">
                  <c:v>12.930084178613377</c:v>
                </c:pt>
                <c:pt idx="45">
                  <c:v>11.933749829675319</c:v>
                </c:pt>
                <c:pt idx="46">
                  <c:v>10.984788320516241</c:v>
                </c:pt>
                <c:pt idx="47">
                  <c:v>10.11128741332371</c:v>
                </c:pt>
                <c:pt idx="48">
                  <c:v>9.3571339502823587</c:v>
                </c:pt>
                <c:pt idx="49">
                  <c:v>8.6130627168815153</c:v>
                </c:pt>
                <c:pt idx="50">
                  <c:v>7.9493786978261127</c:v>
                </c:pt>
                <c:pt idx="51">
                  <c:v>7.3172509497475078</c:v>
                </c:pt>
                <c:pt idx="52">
                  <c:v>6.7534163791194484</c:v>
                </c:pt>
                <c:pt idx="53">
                  <c:v>6.2163905246665285</c:v>
                </c:pt>
                <c:pt idx="54">
                  <c:v>5.7220685036752235</c:v>
                </c:pt>
                <c:pt idx="55">
                  <c:v>5.2811515445561223</c:v>
                </c:pt>
                <c:pt idx="56">
                  <c:v>4.8611989218391995</c:v>
                </c:pt>
                <c:pt idx="57">
                  <c:v>4.4866167152623699</c:v>
                </c:pt>
                <c:pt idx="58">
                  <c:v>4.1298448179207341</c:v>
                </c:pt>
                <c:pt idx="59">
                  <c:v>3.8014431146052017</c:v>
                </c:pt>
                <c:pt idx="60">
                  <c:v>3.5273268263169122</c:v>
                </c:pt>
                <c:pt idx="61">
                  <c:v>3.2468368348076768</c:v>
                </c:pt>
                <c:pt idx="62">
                  <c:v>2.9966501369308864</c:v>
                </c:pt>
                <c:pt idx="63">
                  <c:v>2.7583590987450242</c:v>
                </c:pt>
                <c:pt idx="64">
                  <c:v>2.5458123064100464</c:v>
                </c:pt>
                <c:pt idx="65">
                  <c:v>2.3433715042474987</c:v>
                </c:pt>
                <c:pt idx="66">
                  <c:v>2.1570286203317237</c:v>
                </c:pt>
                <c:pt idx="67">
                  <c:v>1.9908176601870362</c:v>
                </c:pt>
                <c:pt idx="68">
                  <c:v>1.8325095543330157</c:v>
                </c:pt>
                <c:pt idx="69">
                  <c:v>1.6913045792904673</c:v>
                </c:pt>
                <c:pt idx="70">
                  <c:v>1.556813495689898</c:v>
                </c:pt>
                <c:pt idx="71">
                  <c:v>1.433017027234073</c:v>
                </c:pt>
                <c:pt idx="72">
                  <c:v>1.3296843462713819</c:v>
                </c:pt>
                <c:pt idx="73">
                  <c:v>1.2239489921746196</c:v>
                </c:pt>
                <c:pt idx="74">
                  <c:v>1.1296369671787794</c:v>
                </c:pt>
                <c:pt idx="75">
                  <c:v>1.0398092083874737</c:v>
                </c:pt>
                <c:pt idx="76">
                  <c:v>0.95968617002612333</c:v>
                </c:pt>
                <c:pt idx="77">
                  <c:v>0.88337275226346323</c:v>
                </c:pt>
                <c:pt idx="78">
                  <c:v>0.81312771176048626</c:v>
                </c:pt>
                <c:pt idx="79">
                  <c:v>0.75047173380170507</c:v>
                </c:pt>
                <c:pt idx="80">
                  <c:v>0.69079486783299171</c:v>
                </c:pt>
                <c:pt idx="81">
                  <c:v>0.63756531067121125</c:v>
                </c:pt>
                <c:pt idx="82">
                  <c:v>0.58686666623528294</c:v>
                </c:pt>
                <c:pt idx="83">
                  <c:v>0.5401995343434336</c:v>
                </c:pt>
                <c:pt idx="84">
                  <c:v>0.50124656652961386</c:v>
                </c:pt>
              </c:numCache>
            </c:numRef>
          </c:val>
          <c:smooth val="0"/>
        </c:ser>
        <c:dLbls>
          <c:showLegendKey val="0"/>
          <c:showVal val="0"/>
          <c:showCatName val="0"/>
          <c:showSerName val="0"/>
          <c:showPercent val="0"/>
          <c:showBubbleSize val="0"/>
        </c:dLbls>
        <c:marker val="1"/>
        <c:smooth val="0"/>
        <c:axId val="270290944"/>
        <c:axId val="270292480"/>
      </c:lineChart>
      <c:dateAx>
        <c:axId val="270290944"/>
        <c:scaling>
          <c:orientation val="minMax"/>
        </c:scaling>
        <c:delete val="0"/>
        <c:axPos val="b"/>
        <c:majorGridlines>
          <c:spPr>
            <a:ln w="3175">
              <a:solidFill>
                <a:sysClr val="window" lastClr="FFFFFF">
                  <a:lumMod val="85000"/>
                </a:sysClr>
              </a:solid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a:pPr>
            <a:endParaRPr lang="ja-JP"/>
          </a:p>
        </c:txPr>
        <c:crossAx val="270292480"/>
        <c:crosses val="autoZero"/>
        <c:auto val="0"/>
        <c:lblOffset val="100"/>
        <c:baseTimeUnit val="days"/>
        <c:majorUnit val="6"/>
        <c:majorTimeUnit val="months"/>
      </c:dateAx>
      <c:valAx>
        <c:axId val="270292480"/>
        <c:scaling>
          <c:orientation val="minMax"/>
        </c:scaling>
        <c:delete val="0"/>
        <c:axPos val="l"/>
        <c:majorGridlines>
          <c:spPr>
            <a:ln w="3175">
              <a:solidFill>
                <a:srgbClr val="000000"/>
              </a:solidFill>
              <a:prstDash val="solid"/>
            </a:ln>
          </c:spPr>
        </c:majorGridlines>
        <c:minorGridlines>
          <c:spPr>
            <a:ln w="3175">
              <a:solidFill>
                <a:sysClr val="window" lastClr="FFFFFF">
                  <a:lumMod val="85000"/>
                </a:sysClr>
              </a:solid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a:pPr>
            <a:endParaRPr lang="ja-JP"/>
          </a:p>
        </c:txPr>
        <c:crossAx val="270290944"/>
        <c:crosses val="autoZero"/>
        <c:crossBetween val="between"/>
        <c:majorUnit val="500"/>
      </c:valAx>
      <c:spPr>
        <a:noFill/>
        <a:ln w="12700">
          <a:solidFill>
            <a:srgbClr val="808080"/>
          </a:solidFill>
          <a:prstDash val="solid"/>
        </a:ln>
      </c:spPr>
    </c:plotArea>
    <c:legend>
      <c:legendPos val="t"/>
      <c:layout>
        <c:manualLayout>
          <c:xMode val="edge"/>
          <c:yMode val="edge"/>
          <c:x val="0.26206132749129929"/>
          <c:y val="5.7577241086361648E-2"/>
          <c:w val="0.64053003517237239"/>
          <c:h val="0.16433548483007396"/>
        </c:manualLayout>
      </c:layout>
      <c:overlay val="0"/>
      <c:spPr>
        <a:solidFill>
          <a:sysClr val="window" lastClr="FFFFFF"/>
        </a:solidFill>
        <a:ln>
          <a:solidFill>
            <a:sysClr val="windowText" lastClr="000000">
              <a:lumMod val="50000"/>
              <a:lumOff val="50000"/>
            </a:sysClr>
          </a:solidFill>
        </a:ln>
      </c:spPr>
      <c:txPr>
        <a:bodyPr/>
        <a:lstStyle/>
        <a:p>
          <a:pPr>
            <a:defRPr sz="800"/>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panose="020B0604030504040204" pitchFamily="50" charset="-128"/>
          <a:ea typeface="Meiryo UI" panose="020B0604030504040204" pitchFamily="50" charset="-128"/>
          <a:cs typeface="ＭＳ Ｐゴシック"/>
        </a:defRPr>
      </a:pPr>
      <a:endParaRPr lang="ja-JP"/>
    </a:p>
  </c:txPr>
  <c:printSettings>
    <c:headerFooter alignWithMargins="0"/>
    <c:pageMargins b="1" l="0.75" r="0.75" t="1" header="0.51200000000000001" footer="0.51200000000000001"/>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148408952995464"/>
          <c:y val="3.6627296587926503E-2"/>
          <c:w val="0.85804969593517944"/>
          <c:h val="0.82193852659481148"/>
        </c:manualLayout>
      </c:layout>
      <c:lineChart>
        <c:grouping val="standard"/>
        <c:varyColors val="0"/>
        <c:ser>
          <c:idx val="1"/>
          <c:order val="0"/>
          <c:tx>
            <c:strRef>
              <c:f>濃度回帰式!$I$56</c:f>
              <c:strCache>
                <c:ptCount val="1"/>
                <c:pt idx="0">
                  <c:v>Cs-137</c:v>
                </c:pt>
              </c:strCache>
            </c:strRef>
          </c:tx>
          <c:spPr>
            <a:ln w="9525">
              <a:solidFill>
                <a:srgbClr val="009900"/>
              </a:solidFill>
            </a:ln>
          </c:spPr>
          <c:marker>
            <c:symbol val="triangle"/>
            <c:size val="6"/>
            <c:spPr>
              <a:solidFill>
                <a:srgbClr val="92D050"/>
              </a:solidFill>
              <a:ln>
                <a:solidFill>
                  <a:srgbClr val="009900"/>
                </a:solidFill>
              </a:ln>
            </c:spPr>
          </c:marker>
          <c:cat>
            <c:numRef>
              <c:f>濃度回帰式!$G$63:$G$147</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濃度回帰式!$I$63:$I$147</c:f>
              <c:numCache>
                <c:formatCode>General</c:formatCode>
                <c:ptCount val="85"/>
                <c:pt idx="1">
                  <c:v>510</c:v>
                </c:pt>
                <c:pt idx="2">
                  <c:v>850</c:v>
                </c:pt>
                <c:pt idx="3">
                  <c:v>890</c:v>
                </c:pt>
                <c:pt idx="4">
                  <c:v>760</c:v>
                </c:pt>
                <c:pt idx="5">
                  <c:v>660</c:v>
                </c:pt>
                <c:pt idx="6">
                  <c:v>510</c:v>
                </c:pt>
                <c:pt idx="7">
                  <c:v>450</c:v>
                </c:pt>
                <c:pt idx="8">
                  <c:v>450</c:v>
                </c:pt>
                <c:pt idx="9">
                  <c:v>330</c:v>
                </c:pt>
                <c:pt idx="10">
                  <c:v>300</c:v>
                </c:pt>
                <c:pt idx="11">
                  <c:v>180</c:v>
                </c:pt>
                <c:pt idx="12">
                  <c:v>320</c:v>
                </c:pt>
                <c:pt idx="13">
                  <c:v>460</c:v>
                </c:pt>
                <c:pt idx="14">
                  <c:v>540</c:v>
                </c:pt>
                <c:pt idx="15">
                  <c:v>560</c:v>
                </c:pt>
                <c:pt idx="16">
                  <c:v>430</c:v>
                </c:pt>
                <c:pt idx="17">
                  <c:v>390</c:v>
                </c:pt>
                <c:pt idx="18">
                  <c:v>360</c:v>
                </c:pt>
                <c:pt idx="19">
                  <c:v>290</c:v>
                </c:pt>
                <c:pt idx="20">
                  <c:v>300</c:v>
                </c:pt>
                <c:pt idx="21">
                  <c:v>280</c:v>
                </c:pt>
                <c:pt idx="22">
                  <c:v>190</c:v>
                </c:pt>
                <c:pt idx="23">
                  <c:v>120</c:v>
                </c:pt>
                <c:pt idx="24">
                  <c:v>130</c:v>
                </c:pt>
                <c:pt idx="25">
                  <c:v>210</c:v>
                </c:pt>
                <c:pt idx="26">
                  <c:v>320</c:v>
                </c:pt>
                <c:pt idx="27">
                  <c:v>330</c:v>
                </c:pt>
                <c:pt idx="28">
                  <c:v>290</c:v>
                </c:pt>
                <c:pt idx="29">
                  <c:v>220</c:v>
                </c:pt>
                <c:pt idx="30">
                  <c:v>230</c:v>
                </c:pt>
                <c:pt idx="31">
                  <c:v>200</c:v>
                </c:pt>
                <c:pt idx="32">
                  <c:v>190</c:v>
                </c:pt>
                <c:pt idx="33">
                  <c:v>180</c:v>
                </c:pt>
                <c:pt idx="34">
                  <c:v>110</c:v>
                </c:pt>
                <c:pt idx="35">
                  <c:v>71</c:v>
                </c:pt>
                <c:pt idx="36">
                  <c:v>100</c:v>
                </c:pt>
                <c:pt idx="37">
                  <c:v>170</c:v>
                </c:pt>
                <c:pt idx="38">
                  <c:v>230</c:v>
                </c:pt>
                <c:pt idx="39">
                  <c:v>240</c:v>
                </c:pt>
                <c:pt idx="40">
                  <c:v>230</c:v>
                </c:pt>
                <c:pt idx="41">
                  <c:v>170</c:v>
                </c:pt>
                <c:pt idx="42">
                  <c:v>160</c:v>
                </c:pt>
                <c:pt idx="43">
                  <c:v>160</c:v>
                </c:pt>
                <c:pt idx="44">
                  <c:v>170</c:v>
                </c:pt>
                <c:pt idx="45">
                  <c:v>140</c:v>
                </c:pt>
                <c:pt idx="46">
                  <c:v>110</c:v>
                </c:pt>
                <c:pt idx="47">
                  <c:v>120</c:v>
                </c:pt>
                <c:pt idx="48">
                  <c:v>75</c:v>
                </c:pt>
                <c:pt idx="49">
                  <c:v>120</c:v>
                </c:pt>
                <c:pt idx="50">
                  <c:v>180</c:v>
                </c:pt>
                <c:pt idx="51">
                  <c:v>210</c:v>
                </c:pt>
                <c:pt idx="52">
                  <c:v>180</c:v>
                </c:pt>
                <c:pt idx="53">
                  <c:v>150</c:v>
                </c:pt>
                <c:pt idx="54">
                  <c:v>110</c:v>
                </c:pt>
                <c:pt idx="55">
                  <c:v>120</c:v>
                </c:pt>
                <c:pt idx="56">
                  <c:v>110</c:v>
                </c:pt>
                <c:pt idx="57">
                  <c:v>120</c:v>
                </c:pt>
                <c:pt idx="58">
                  <c:v>93</c:v>
                </c:pt>
                <c:pt idx="59">
                  <c:v>70</c:v>
                </c:pt>
                <c:pt idx="60">
                  <c:v>72</c:v>
                </c:pt>
                <c:pt idx="61">
                  <c:v>120</c:v>
                </c:pt>
                <c:pt idx="62">
                  <c:v>170</c:v>
                </c:pt>
                <c:pt idx="63">
                  <c:v>150</c:v>
                </c:pt>
                <c:pt idx="64">
                  <c:v>140</c:v>
                </c:pt>
                <c:pt idx="65">
                  <c:v>120</c:v>
                </c:pt>
                <c:pt idx="66">
                  <c:v>130</c:v>
                </c:pt>
                <c:pt idx="67">
                  <c:v>120</c:v>
                </c:pt>
                <c:pt idx="68">
                  <c:v>120</c:v>
                </c:pt>
                <c:pt idx="69">
                  <c:v>120</c:v>
                </c:pt>
                <c:pt idx="70">
                  <c:v>81</c:v>
                </c:pt>
                <c:pt idx="71">
                  <c:v>48</c:v>
                </c:pt>
                <c:pt idx="72">
                  <c:v>51</c:v>
                </c:pt>
                <c:pt idx="73">
                  <c:v>100</c:v>
                </c:pt>
                <c:pt idx="74">
                  <c:v>130</c:v>
                </c:pt>
                <c:pt idx="75">
                  <c:v>170</c:v>
                </c:pt>
                <c:pt idx="76">
                  <c:v>130</c:v>
                </c:pt>
                <c:pt idx="77">
                  <c:v>120</c:v>
                </c:pt>
                <c:pt idx="78">
                  <c:v>110</c:v>
                </c:pt>
                <c:pt idx="79">
                  <c:v>100</c:v>
                </c:pt>
                <c:pt idx="80">
                  <c:v>80</c:v>
                </c:pt>
                <c:pt idx="81">
                  <c:v>180</c:v>
                </c:pt>
                <c:pt idx="82">
                  <c:v>200</c:v>
                </c:pt>
                <c:pt idx="83">
                  <c:v>200</c:v>
                </c:pt>
                <c:pt idx="84">
                  <c:v>190</c:v>
                </c:pt>
              </c:numCache>
            </c:numRef>
          </c:val>
          <c:smooth val="0"/>
        </c:ser>
        <c:ser>
          <c:idx val="0"/>
          <c:order val="1"/>
          <c:tx>
            <c:strRef>
              <c:f>濃度回帰式!$T$56</c:f>
              <c:strCache>
                <c:ptCount val="1"/>
                <c:pt idx="0">
                  <c:v>回帰式_Cs-137</c:v>
                </c:pt>
              </c:strCache>
            </c:strRef>
          </c:tx>
          <c:spPr>
            <a:ln w="25400">
              <a:solidFill>
                <a:srgbClr val="C00000"/>
              </a:solidFill>
              <a:prstDash val="sysDash"/>
            </a:ln>
          </c:spPr>
          <c:marker>
            <c:symbol val="none"/>
          </c:marker>
          <c:cat>
            <c:numRef>
              <c:f>濃度回帰式!$G$63:$G$147</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濃度回帰式!$T$63:$T$147</c:f>
              <c:numCache>
                <c:formatCode>0</c:formatCode>
                <c:ptCount val="85"/>
                <c:pt idx="1">
                  <c:v>619.11163311909479</c:v>
                </c:pt>
                <c:pt idx="2">
                  <c:v>893.14449191352446</c:v>
                </c:pt>
                <c:pt idx="3">
                  <c:v>921.94337224211188</c:v>
                </c:pt>
                <c:pt idx="4">
                  <c:v>840.16902975276457</c:v>
                </c:pt>
                <c:pt idx="5">
                  <c:v>698.30436134875242</c:v>
                </c:pt>
                <c:pt idx="6">
                  <c:v>623.69646112611258</c:v>
                </c:pt>
                <c:pt idx="7">
                  <c:v>552.95647959774908</c:v>
                </c:pt>
                <c:pt idx="8">
                  <c:v>443.34245582281784</c:v>
                </c:pt>
                <c:pt idx="9">
                  <c:v>315.08998786242449</c:v>
                </c:pt>
                <c:pt idx="10">
                  <c:v>273.69205588226487</c:v>
                </c:pt>
                <c:pt idx="11">
                  <c:v>240.48040595634467</c:v>
                </c:pt>
                <c:pt idx="12">
                  <c:v>215.9464076889418</c:v>
                </c:pt>
                <c:pt idx="13">
                  <c:v>355.89706653956932</c:v>
                </c:pt>
                <c:pt idx="14">
                  <c:v>516.84227119223203</c:v>
                </c:pt>
                <c:pt idx="15">
                  <c:v>537.1742141586318</c:v>
                </c:pt>
                <c:pt idx="16">
                  <c:v>492.94600607645924</c:v>
                </c:pt>
                <c:pt idx="17">
                  <c:v>412.69059731125117</c:v>
                </c:pt>
                <c:pt idx="18">
                  <c:v>371.32376796552376</c:v>
                </c:pt>
                <c:pt idx="19">
                  <c:v>331.7052894234115</c:v>
                </c:pt>
                <c:pt idx="20">
                  <c:v>268.06228702177407</c:v>
                </c:pt>
                <c:pt idx="21">
                  <c:v>191.99518123089607</c:v>
                </c:pt>
                <c:pt idx="22">
                  <c:v>168.20015468298203</c:v>
                </c:pt>
                <c:pt idx="23">
                  <c:v>149.05561249246404</c:v>
                </c:pt>
                <c:pt idx="24">
                  <c:v>134.93903507617941</c:v>
                </c:pt>
                <c:pt idx="25">
                  <c:v>224.38568056284529</c:v>
                </c:pt>
                <c:pt idx="26">
                  <c:v>328.67139039305005</c:v>
                </c:pt>
                <c:pt idx="27">
                  <c:v>344.77370251768696</c:v>
                </c:pt>
                <c:pt idx="28">
                  <c:v>319.22487223296105</c:v>
                </c:pt>
                <c:pt idx="29">
                  <c:v>269.8498753976699</c:v>
                </c:pt>
                <c:pt idx="30">
                  <c:v>245.12734787655489</c:v>
                </c:pt>
                <c:pt idx="31">
                  <c:v>221.03578628056266</c:v>
                </c:pt>
                <c:pt idx="32">
                  <c:v>180.4053801930381</c:v>
                </c:pt>
                <c:pt idx="33">
                  <c:v>130.45785984156714</c:v>
                </c:pt>
                <c:pt idx="34">
                  <c:v>115.44115043282261</c:v>
                </c:pt>
                <c:pt idx="35">
                  <c:v>103.32991123415472</c:v>
                </c:pt>
                <c:pt idx="36">
                  <c:v>94.389697224070218</c:v>
                </c:pt>
                <c:pt idx="37">
                  <c:v>158.53918906284284</c:v>
                </c:pt>
                <c:pt idx="38">
                  <c:v>234.52019095962723</c:v>
                </c:pt>
                <c:pt idx="39">
                  <c:v>248.49911277488587</c:v>
                </c:pt>
                <c:pt idx="40">
                  <c:v>232.3122307271469</c:v>
                </c:pt>
                <c:pt idx="41">
                  <c:v>198.36209778918848</c:v>
                </c:pt>
                <c:pt idx="42">
                  <c:v>182.00381952052985</c:v>
                </c:pt>
                <c:pt idx="43">
                  <c:v>165.67070815564415</c:v>
                </c:pt>
                <c:pt idx="44">
                  <c:v>136.53162753033865</c:v>
                </c:pt>
                <c:pt idx="45">
                  <c:v>99.669438020800342</c:v>
                </c:pt>
                <c:pt idx="46">
                  <c:v>89.030199189001422</c:v>
                </c:pt>
                <c:pt idx="47">
                  <c:v>80.424203285927177</c:v>
                </c:pt>
                <c:pt idx="48">
                  <c:v>74.071024287227857</c:v>
                </c:pt>
                <c:pt idx="49">
                  <c:v>125.55892816921619</c:v>
                </c:pt>
                <c:pt idx="50">
                  <c:v>187.33818923251644</c:v>
                </c:pt>
                <c:pt idx="51">
                  <c:v>200.23026219523791</c:v>
                </c:pt>
                <c:pt idx="52">
                  <c:v>188.77485075829043</c:v>
                </c:pt>
                <c:pt idx="53">
                  <c:v>162.52860193505822</c:v>
                </c:pt>
                <c:pt idx="54">
                  <c:v>150.38066495457664</c:v>
                </c:pt>
                <c:pt idx="55">
                  <c:v>137.93921947435391</c:v>
                </c:pt>
                <c:pt idx="56">
                  <c:v>114.57784828591433</c:v>
                </c:pt>
                <c:pt idx="57">
                  <c:v>84.238705438379597</c:v>
                </c:pt>
                <c:pt idx="58">
                  <c:v>75.801483917461184</c:v>
                </c:pt>
                <c:pt idx="59">
                  <c:v>68.976714710764995</c:v>
                </c:pt>
                <c:pt idx="60">
                  <c:v>63.941519707196882</c:v>
                </c:pt>
                <c:pt idx="61">
                  <c:v>109.10597749205307</c:v>
                </c:pt>
                <c:pt idx="62">
                  <c:v>163.80954829020123</c:v>
                </c:pt>
                <c:pt idx="63">
                  <c:v>176.22784908908042</c:v>
                </c:pt>
                <c:pt idx="64">
                  <c:v>167.0949736629147</c:v>
                </c:pt>
                <c:pt idx="65">
                  <c:v>144.69053005288382</c:v>
                </c:pt>
                <c:pt idx="66">
                  <c:v>134.5810598573712</c:v>
                </c:pt>
                <c:pt idx="67">
                  <c:v>124.1027901428062</c:v>
                </c:pt>
                <c:pt idx="68">
                  <c:v>103.6093310809801</c:v>
                </c:pt>
                <c:pt idx="69">
                  <c:v>76.543721190423028</c:v>
                </c:pt>
                <c:pt idx="70">
                  <c:v>69.210734499811736</c:v>
                </c:pt>
                <c:pt idx="71">
                  <c:v>63.270678548787757</c:v>
                </c:pt>
                <c:pt idx="72">
                  <c:v>58.882327891800372</c:v>
                </c:pt>
                <c:pt idx="73">
                  <c:v>100.88966652746389</c:v>
                </c:pt>
                <c:pt idx="74">
                  <c:v>152.07690548816228</c:v>
                </c:pt>
                <c:pt idx="75">
                  <c:v>164.16326699435419</c:v>
                </c:pt>
                <c:pt idx="76">
                  <c:v>156.23888298457661</c:v>
                </c:pt>
                <c:pt idx="77">
                  <c:v>135.75285271576826</c:v>
                </c:pt>
                <c:pt idx="78">
                  <c:v>126.70455463803174</c:v>
                </c:pt>
                <c:pt idx="79">
                  <c:v>117.19802911331773</c:v>
                </c:pt>
                <c:pt idx="80">
                  <c:v>98.154094442414916</c:v>
                </c:pt>
                <c:pt idx="81">
                  <c:v>72.663092020679144</c:v>
                </c:pt>
                <c:pt idx="82">
                  <c:v>65.854477606270748</c:v>
                </c:pt>
                <c:pt idx="83">
                  <c:v>60.345219542212263</c:v>
                </c:pt>
                <c:pt idx="84">
                  <c:v>56.290567829731557</c:v>
                </c:pt>
              </c:numCache>
            </c:numRef>
          </c:val>
          <c:smooth val="0"/>
        </c:ser>
        <c:ser>
          <c:idx val="3"/>
          <c:order val="2"/>
          <c:tx>
            <c:strRef>
              <c:f>濃度回帰式!$R$56</c:f>
              <c:strCache>
                <c:ptCount val="1"/>
                <c:pt idx="0">
                  <c:v>Cs-137:事故日1200から減衰</c:v>
                </c:pt>
              </c:strCache>
            </c:strRef>
          </c:tx>
          <c:marker>
            <c:symbol val="none"/>
          </c:marker>
          <c:cat>
            <c:numRef>
              <c:f>濃度回帰式!$G$63:$G$147</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濃度回帰式!$R$63:$R$147</c:f>
              <c:numCache>
                <c:formatCode>0</c:formatCode>
                <c:ptCount val="85"/>
                <c:pt idx="0">
                  <c:v>1195.4540564843187</c:v>
                </c:pt>
                <c:pt idx="1">
                  <c:v>576.83092372613953</c:v>
                </c:pt>
                <c:pt idx="2">
                  <c:v>544.908013145724</c:v>
                </c:pt>
                <c:pt idx="3">
                  <c:v>513.77583790499762</c:v>
                </c:pt>
                <c:pt idx="4">
                  <c:v>485.34251462566851</c:v>
                </c:pt>
                <c:pt idx="5">
                  <c:v>457.61348907900185</c:v>
                </c:pt>
                <c:pt idx="6">
                  <c:v>431.46870318700604</c:v>
                </c:pt>
                <c:pt idx="7">
                  <c:v>407.59041188266207</c:v>
                </c:pt>
                <c:pt idx="8">
                  <c:v>384.30358947768934</c:v>
                </c:pt>
                <c:pt idx="9">
                  <c:v>363.03550446695323</c:v>
                </c:pt>
                <c:pt idx="10">
                  <c:v>342.29423314957177</c:v>
                </c:pt>
                <c:pt idx="11">
                  <c:v>322.73797082047895</c:v>
                </c:pt>
                <c:pt idx="12">
                  <c:v>306.0363966679954</c:v>
                </c:pt>
                <c:pt idx="13">
                  <c:v>288.55164969922481</c:v>
                </c:pt>
                <c:pt idx="14">
                  <c:v>272.58265751746552</c:v>
                </c:pt>
                <c:pt idx="15">
                  <c:v>257.00921969549813</c:v>
                </c:pt>
                <c:pt idx="16">
                  <c:v>242.78584504407786</c:v>
                </c:pt>
                <c:pt idx="17">
                  <c:v>228.91478554130859</c:v>
                </c:pt>
                <c:pt idx="18">
                  <c:v>215.83621989951558</c:v>
                </c:pt>
                <c:pt idx="19">
                  <c:v>203.89143666327854</c:v>
                </c:pt>
                <c:pt idx="20">
                  <c:v>192.24252752053997</c:v>
                </c:pt>
                <c:pt idx="21">
                  <c:v>181.60346369201193</c:v>
                </c:pt>
                <c:pt idx="22">
                  <c:v>171.22793108909769</c:v>
                </c:pt>
                <c:pt idx="23">
                  <c:v>161.44518275695441</c:v>
                </c:pt>
                <c:pt idx="24">
                  <c:v>153.09045249536908</c:v>
                </c:pt>
                <c:pt idx="25">
                  <c:v>144.34395092117873</c:v>
                </c:pt>
                <c:pt idx="26">
                  <c:v>136.35568460508864</c:v>
                </c:pt>
                <c:pt idx="27">
                  <c:v>128.56528885794515</c:v>
                </c:pt>
                <c:pt idx="28">
                  <c:v>121.45024344143765</c:v>
                </c:pt>
                <c:pt idx="29">
                  <c:v>114.51143877967435</c:v>
                </c:pt>
                <c:pt idx="30">
                  <c:v>107.96906815352763</c:v>
                </c:pt>
                <c:pt idx="31">
                  <c:v>101.99385641236198</c:v>
                </c:pt>
                <c:pt idx="32">
                  <c:v>96.166651572821493</c:v>
                </c:pt>
                <c:pt idx="33">
                  <c:v>90.844607811459895</c:v>
                </c:pt>
                <c:pt idx="34">
                  <c:v>85.654391881739102</c:v>
                </c:pt>
                <c:pt idx="35">
                  <c:v>80.760708041771352</c:v>
                </c:pt>
                <c:pt idx="36">
                  <c:v>76.581370387334019</c:v>
                </c:pt>
                <c:pt idx="37">
                  <c:v>72.206054580708368</c:v>
                </c:pt>
                <c:pt idx="38">
                  <c:v>68.210035419920615</c:v>
                </c:pt>
                <c:pt idx="39">
                  <c:v>64.312998260180336</c:v>
                </c:pt>
                <c:pt idx="40">
                  <c:v>60.753795713694004</c:v>
                </c:pt>
                <c:pt idx="41">
                  <c:v>57.282755154427697</c:v>
                </c:pt>
                <c:pt idx="42">
                  <c:v>54.010025209708829</c:v>
                </c:pt>
                <c:pt idx="43">
                  <c:v>51.021008611780928</c:v>
                </c:pt>
                <c:pt idx="44">
                  <c:v>48.106030408596013</c:v>
                </c:pt>
                <c:pt idx="45">
                  <c:v>45.44375201132781</c:v>
                </c:pt>
                <c:pt idx="46">
                  <c:v>42.847418653986558</c:v>
                </c:pt>
                <c:pt idx="47">
                  <c:v>40.39942135174843</c:v>
                </c:pt>
                <c:pt idx="48">
                  <c:v>38.236134659234203</c:v>
                </c:pt>
                <c:pt idx="49">
                  <c:v>36.051593386171731</c:v>
                </c:pt>
                <c:pt idx="50">
                  <c:v>34.056430254982452</c:v>
                </c:pt>
                <c:pt idx="51">
                  <c:v>32.110687617338115</c:v>
                </c:pt>
                <c:pt idx="52">
                  <c:v>30.333621639560175</c:v>
                </c:pt>
                <c:pt idx="53">
                  <c:v>28.600573855738844</c:v>
                </c:pt>
                <c:pt idx="54">
                  <c:v>26.966540118334276</c:v>
                </c:pt>
                <c:pt idx="55">
                  <c:v>25.474160959290661</c:v>
                </c:pt>
                <c:pt idx="56">
                  <c:v>24.018748258499592</c:v>
                </c:pt>
                <c:pt idx="57">
                  <c:v>22.689505457235327</c:v>
                </c:pt>
                <c:pt idx="58">
                  <c:v>21.393188201883877</c:v>
                </c:pt>
                <c:pt idx="59">
                  <c:v>20.170933311165683</c:v>
                </c:pt>
                <c:pt idx="60">
                  <c:v>19.127094752086979</c:v>
                </c:pt>
                <c:pt idx="61">
                  <c:v>18.034308352726946</c:v>
                </c:pt>
                <c:pt idx="62">
                  <c:v>17.036255735844243</c:v>
                </c:pt>
                <c:pt idx="63">
                  <c:v>16.062925033745909</c:v>
                </c:pt>
                <c:pt idx="64">
                  <c:v>15.173972485571428</c:v>
                </c:pt>
                <c:pt idx="65">
                  <c:v>14.307039426922424</c:v>
                </c:pt>
                <c:pt idx="66">
                  <c:v>13.489636768364312</c:v>
                </c:pt>
                <c:pt idx="67">
                  <c:v>12.743094843155014</c:v>
                </c:pt>
                <c:pt idx="68">
                  <c:v>12.015044874728128</c:v>
                </c:pt>
                <c:pt idx="69">
                  <c:v>11.350109644352496</c:v>
                </c:pt>
                <c:pt idx="70">
                  <c:v>10.701644960543659</c:v>
                </c:pt>
                <c:pt idx="71">
                  <c:v>10.09022894492602</c:v>
                </c:pt>
                <c:pt idx="72">
                  <c:v>9.5680632186224521</c:v>
                </c:pt>
                <c:pt idx="73">
                  <c:v>9.0214120157581537</c:v>
                </c:pt>
                <c:pt idx="74">
                  <c:v>8.5221500704591477</c:v>
                </c:pt>
                <c:pt idx="75">
                  <c:v>8.0352549193130525</c:v>
                </c:pt>
                <c:pt idx="76">
                  <c:v>7.5905687665265305</c:v>
                </c:pt>
                <c:pt idx="77">
                  <c:v>7.156897557229974</c:v>
                </c:pt>
                <c:pt idx="78">
                  <c:v>6.7480032419393199</c:v>
                </c:pt>
                <c:pt idx="79">
                  <c:v>6.3745560233032865</c:v>
                </c:pt>
                <c:pt idx="80">
                  <c:v>6.0103591489471091</c:v>
                </c:pt>
                <c:pt idx="81">
                  <c:v>5.6777345447934104</c:v>
                </c:pt>
                <c:pt idx="82">
                  <c:v>5.3533491025636142</c:v>
                </c:pt>
                <c:pt idx="83">
                  <c:v>5.0474967414950562</c:v>
                </c:pt>
                <c:pt idx="84">
                  <c:v>4.7862905967759062</c:v>
                </c:pt>
              </c:numCache>
            </c:numRef>
          </c:val>
          <c:smooth val="0"/>
        </c:ser>
        <c:dLbls>
          <c:showLegendKey val="0"/>
          <c:showVal val="0"/>
          <c:showCatName val="0"/>
          <c:showSerName val="0"/>
          <c:showPercent val="0"/>
          <c:showBubbleSize val="0"/>
        </c:dLbls>
        <c:marker val="1"/>
        <c:smooth val="0"/>
        <c:axId val="270333056"/>
        <c:axId val="270334592"/>
      </c:lineChart>
      <c:dateAx>
        <c:axId val="270333056"/>
        <c:scaling>
          <c:orientation val="minMax"/>
        </c:scaling>
        <c:delete val="0"/>
        <c:axPos val="b"/>
        <c:majorGridlines>
          <c:spPr>
            <a:ln w="3175">
              <a:solidFill>
                <a:sysClr val="window" lastClr="FFFFFF">
                  <a:lumMod val="85000"/>
                </a:sysClr>
              </a:solid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a:pPr>
            <a:endParaRPr lang="ja-JP"/>
          </a:p>
        </c:txPr>
        <c:crossAx val="270334592"/>
        <c:crosses val="autoZero"/>
        <c:auto val="0"/>
        <c:lblOffset val="100"/>
        <c:baseTimeUnit val="days"/>
        <c:majorUnit val="6"/>
        <c:majorTimeUnit val="months"/>
      </c:dateAx>
      <c:valAx>
        <c:axId val="270334592"/>
        <c:scaling>
          <c:orientation val="minMax"/>
        </c:scaling>
        <c:delete val="0"/>
        <c:axPos val="l"/>
        <c:majorGridlines>
          <c:spPr>
            <a:ln w="3175">
              <a:solidFill>
                <a:srgbClr val="000000"/>
              </a:solidFill>
              <a:prstDash val="solid"/>
            </a:ln>
          </c:spPr>
        </c:majorGridlines>
        <c:minorGridlines>
          <c:spPr>
            <a:ln w="3175">
              <a:solidFill>
                <a:sysClr val="window" lastClr="FFFFFF">
                  <a:lumMod val="85000"/>
                </a:sysClr>
              </a:solid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a:pPr>
            <a:endParaRPr lang="ja-JP"/>
          </a:p>
        </c:txPr>
        <c:crossAx val="270333056"/>
        <c:crosses val="autoZero"/>
        <c:crossBetween val="between"/>
        <c:majorUnit val="500"/>
      </c:valAx>
      <c:spPr>
        <a:noFill/>
        <a:ln w="12700">
          <a:solidFill>
            <a:srgbClr val="808080"/>
          </a:solidFill>
          <a:prstDash val="solid"/>
        </a:ln>
      </c:spPr>
    </c:plotArea>
    <c:legend>
      <c:legendPos val="t"/>
      <c:layout>
        <c:manualLayout>
          <c:xMode val="edge"/>
          <c:yMode val="edge"/>
          <c:x val="0.27289817648419867"/>
          <c:y val="5.7577241086361648E-2"/>
          <c:w val="0.62969330489865238"/>
          <c:h val="0.1483354797907023"/>
        </c:manualLayout>
      </c:layout>
      <c:overlay val="0"/>
      <c:spPr>
        <a:solidFill>
          <a:sysClr val="window" lastClr="FFFFFF"/>
        </a:solidFill>
        <a:ln>
          <a:solidFill>
            <a:sysClr val="windowText" lastClr="000000">
              <a:lumMod val="50000"/>
              <a:lumOff val="50000"/>
            </a:sysClr>
          </a:solidFill>
        </a:ln>
      </c:spPr>
      <c:txPr>
        <a:bodyPr/>
        <a:lstStyle/>
        <a:p>
          <a:pPr>
            <a:defRPr sz="800"/>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panose="020B0604030504040204" pitchFamily="50" charset="-128"/>
          <a:ea typeface="Meiryo UI" panose="020B0604030504040204" pitchFamily="50" charset="-128"/>
          <a:cs typeface="ＭＳ Ｐゴシック"/>
        </a:defRPr>
      </a:pPr>
      <a:endParaRPr lang="ja-JP"/>
    </a:p>
  </c:txPr>
  <c:printSettings>
    <c:headerFooter alignWithMargins="0"/>
    <c:pageMargins b="1" l="0.75" r="0.75" t="1" header="0.51200000000000001" footer="0.51200000000000001"/>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171755573742668"/>
          <c:y val="3.6627296587926503E-2"/>
          <c:w val="0.85458439390452412"/>
          <c:h val="0.93600428036521222"/>
        </c:manualLayout>
      </c:layout>
      <c:lineChart>
        <c:grouping val="standard"/>
        <c:varyColors val="0"/>
        <c:ser>
          <c:idx val="1"/>
          <c:order val="0"/>
          <c:tx>
            <c:strRef>
              <c:f>濃度回帰式!$H$56</c:f>
              <c:strCache>
                <c:ptCount val="1"/>
                <c:pt idx="0">
                  <c:v>Cs-134</c:v>
                </c:pt>
              </c:strCache>
            </c:strRef>
          </c:tx>
          <c:spPr>
            <a:ln w="9525">
              <a:solidFill>
                <a:srgbClr val="009900"/>
              </a:solidFill>
            </a:ln>
          </c:spPr>
          <c:marker>
            <c:symbol val="triangle"/>
            <c:size val="6"/>
            <c:spPr>
              <a:solidFill>
                <a:srgbClr val="92D050"/>
              </a:solidFill>
              <a:ln>
                <a:solidFill>
                  <a:srgbClr val="009900"/>
                </a:solidFill>
              </a:ln>
            </c:spPr>
          </c:marker>
          <c:cat>
            <c:numRef>
              <c:f>濃度回帰式!$G$63:$G$147</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濃度回帰式!$H$63:$H$147</c:f>
              <c:numCache>
                <c:formatCode>General</c:formatCode>
                <c:ptCount val="85"/>
                <c:pt idx="1">
                  <c:v>340</c:v>
                </c:pt>
                <c:pt idx="2">
                  <c:v>550</c:v>
                </c:pt>
                <c:pt idx="3">
                  <c:v>550</c:v>
                </c:pt>
                <c:pt idx="4">
                  <c:v>460</c:v>
                </c:pt>
                <c:pt idx="5">
                  <c:v>390</c:v>
                </c:pt>
                <c:pt idx="6">
                  <c:v>300</c:v>
                </c:pt>
                <c:pt idx="7">
                  <c:v>260</c:v>
                </c:pt>
                <c:pt idx="8">
                  <c:v>250</c:v>
                </c:pt>
                <c:pt idx="9">
                  <c:v>180</c:v>
                </c:pt>
                <c:pt idx="10">
                  <c:v>160</c:v>
                </c:pt>
                <c:pt idx="11">
                  <c:v>98</c:v>
                </c:pt>
                <c:pt idx="12">
                  <c:v>160</c:v>
                </c:pt>
                <c:pt idx="13">
                  <c:v>220</c:v>
                </c:pt>
                <c:pt idx="14">
                  <c:v>250</c:v>
                </c:pt>
                <c:pt idx="15">
                  <c:v>260</c:v>
                </c:pt>
                <c:pt idx="16">
                  <c:v>200</c:v>
                </c:pt>
                <c:pt idx="17">
                  <c:v>190</c:v>
                </c:pt>
                <c:pt idx="18">
                  <c:v>150</c:v>
                </c:pt>
                <c:pt idx="19">
                  <c:v>130</c:v>
                </c:pt>
                <c:pt idx="20">
                  <c:v>120</c:v>
                </c:pt>
                <c:pt idx="21">
                  <c:v>110</c:v>
                </c:pt>
                <c:pt idx="22">
                  <c:v>76</c:v>
                </c:pt>
                <c:pt idx="23">
                  <c:v>46</c:v>
                </c:pt>
                <c:pt idx="24">
                  <c:v>49</c:v>
                </c:pt>
                <c:pt idx="25">
                  <c:v>74</c:v>
                </c:pt>
                <c:pt idx="26">
                  <c:v>120</c:v>
                </c:pt>
                <c:pt idx="27">
                  <c:v>110</c:v>
                </c:pt>
                <c:pt idx="28">
                  <c:v>91</c:v>
                </c:pt>
                <c:pt idx="29">
                  <c:v>74</c:v>
                </c:pt>
                <c:pt idx="30">
                  <c:v>72</c:v>
                </c:pt>
                <c:pt idx="31">
                  <c:v>63</c:v>
                </c:pt>
                <c:pt idx="32">
                  <c:v>60</c:v>
                </c:pt>
                <c:pt idx="33">
                  <c:v>60</c:v>
                </c:pt>
                <c:pt idx="34">
                  <c:v>33</c:v>
                </c:pt>
                <c:pt idx="35">
                  <c:v>20</c:v>
                </c:pt>
                <c:pt idx="36">
                  <c:v>26</c:v>
                </c:pt>
                <c:pt idx="37">
                  <c:v>47</c:v>
                </c:pt>
                <c:pt idx="38">
                  <c:v>67</c:v>
                </c:pt>
                <c:pt idx="39">
                  <c:v>58</c:v>
                </c:pt>
                <c:pt idx="40">
                  <c:v>56</c:v>
                </c:pt>
                <c:pt idx="41">
                  <c:v>39</c:v>
                </c:pt>
                <c:pt idx="42">
                  <c:v>35</c:v>
                </c:pt>
                <c:pt idx="43">
                  <c:v>34</c:v>
                </c:pt>
                <c:pt idx="44">
                  <c:v>39</c:v>
                </c:pt>
                <c:pt idx="45">
                  <c:v>33</c:v>
                </c:pt>
                <c:pt idx="46">
                  <c:v>23</c:v>
                </c:pt>
                <c:pt idx="47">
                  <c:v>24</c:v>
                </c:pt>
                <c:pt idx="48">
                  <c:v>17</c:v>
                </c:pt>
                <c:pt idx="49">
                  <c:v>22</c:v>
                </c:pt>
                <c:pt idx="50">
                  <c:v>33</c:v>
                </c:pt>
                <c:pt idx="51">
                  <c:v>42</c:v>
                </c:pt>
                <c:pt idx="52">
                  <c:v>33</c:v>
                </c:pt>
                <c:pt idx="53">
                  <c:v>24</c:v>
                </c:pt>
                <c:pt idx="54">
                  <c:v>19</c:v>
                </c:pt>
                <c:pt idx="55">
                  <c:v>21</c:v>
                </c:pt>
                <c:pt idx="56">
                  <c:v>21</c:v>
                </c:pt>
                <c:pt idx="57">
                  <c:v>18</c:v>
                </c:pt>
                <c:pt idx="58">
                  <c:v>15</c:v>
                </c:pt>
                <c:pt idx="59">
                  <c:v>11</c:v>
                </c:pt>
                <c:pt idx="60">
                  <c:v>12</c:v>
                </c:pt>
                <c:pt idx="61">
                  <c:v>17</c:v>
                </c:pt>
                <c:pt idx="62">
                  <c:v>25</c:v>
                </c:pt>
                <c:pt idx="63">
                  <c:v>22</c:v>
                </c:pt>
                <c:pt idx="64">
                  <c:v>20</c:v>
                </c:pt>
                <c:pt idx="65">
                  <c:v>14</c:v>
                </c:pt>
                <c:pt idx="66">
                  <c:v>15</c:v>
                </c:pt>
                <c:pt idx="67">
                  <c:v>15</c:v>
                </c:pt>
                <c:pt idx="68">
                  <c:v>14</c:v>
                </c:pt>
                <c:pt idx="69">
                  <c:v>13</c:v>
                </c:pt>
                <c:pt idx="70">
                  <c:v>11</c:v>
                </c:pt>
                <c:pt idx="71">
                  <c:v>5.5</c:v>
                </c:pt>
                <c:pt idx="72" formatCode="0.0">
                  <c:v>5.383998161135243</c:v>
                </c:pt>
                <c:pt idx="73">
                  <c:v>11</c:v>
                </c:pt>
                <c:pt idx="74">
                  <c:v>14</c:v>
                </c:pt>
                <c:pt idx="75">
                  <c:v>16</c:v>
                </c:pt>
                <c:pt idx="76">
                  <c:v>12</c:v>
                </c:pt>
                <c:pt idx="77">
                  <c:v>10</c:v>
                </c:pt>
                <c:pt idx="78">
                  <c:v>10</c:v>
                </c:pt>
                <c:pt idx="79">
                  <c:v>10</c:v>
                </c:pt>
                <c:pt idx="80" formatCode="0.0">
                  <c:v>4.2971331004994537</c:v>
                </c:pt>
                <c:pt idx="81">
                  <c:v>20</c:v>
                </c:pt>
                <c:pt idx="82">
                  <c:v>20</c:v>
                </c:pt>
                <c:pt idx="83">
                  <c:v>20</c:v>
                </c:pt>
                <c:pt idx="84">
                  <c:v>10</c:v>
                </c:pt>
              </c:numCache>
            </c:numRef>
          </c:val>
          <c:smooth val="0"/>
        </c:ser>
        <c:ser>
          <c:idx val="0"/>
          <c:order val="1"/>
          <c:tx>
            <c:strRef>
              <c:f>濃度回帰式!$Q$56</c:f>
              <c:strCache>
                <c:ptCount val="1"/>
                <c:pt idx="0">
                  <c:v>回帰式_Cs-134</c:v>
                </c:pt>
              </c:strCache>
            </c:strRef>
          </c:tx>
          <c:spPr>
            <a:ln w="25400">
              <a:solidFill>
                <a:srgbClr val="C00000"/>
              </a:solidFill>
              <a:prstDash val="sysDash"/>
            </a:ln>
          </c:spPr>
          <c:marker>
            <c:symbol val="none"/>
          </c:marker>
          <c:cat>
            <c:numRef>
              <c:f>濃度回帰式!$G$63:$G$147</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濃度回帰式!$Q$63:$Q$147</c:f>
              <c:numCache>
                <c:formatCode>0</c:formatCode>
                <c:ptCount val="85"/>
                <c:pt idx="1">
                  <c:v>409.10074926559156</c:v>
                </c:pt>
                <c:pt idx="2">
                  <c:v>573.86923058251261</c:v>
                </c:pt>
                <c:pt idx="3">
                  <c:v>575.32683836377066</c:v>
                </c:pt>
                <c:pt idx="4">
                  <c:v>509.57916792906292</c:v>
                </c:pt>
                <c:pt idx="5">
                  <c:v>411.21213975516696</c:v>
                </c:pt>
                <c:pt idx="6">
                  <c:v>356.53734281810824</c:v>
                </c:pt>
                <c:pt idx="7">
                  <c:v>307.13308957269703</c:v>
                </c:pt>
                <c:pt idx="8">
                  <c:v>239.02359257858782</c:v>
                </c:pt>
                <c:pt idx="9">
                  <c:v>165.02717411945301</c:v>
                </c:pt>
                <c:pt idx="10">
                  <c:v>139.11647465194233</c:v>
                </c:pt>
                <c:pt idx="11">
                  <c:v>118.61671988026326</c:v>
                </c:pt>
                <c:pt idx="12">
                  <c:v>103.67867524959496</c:v>
                </c:pt>
                <c:pt idx="13">
                  <c:v>165.83835031059999</c:v>
                </c:pt>
                <c:pt idx="14">
                  <c:v>233.9638030289768</c:v>
                </c:pt>
                <c:pt idx="15">
                  <c:v>235.99730221839258</c:v>
                </c:pt>
                <c:pt idx="16">
                  <c:v>210.37751968720471</c:v>
                </c:pt>
                <c:pt idx="17">
                  <c:v>170.95121332497234</c:v>
                </c:pt>
                <c:pt idx="18">
                  <c:v>149.33704588042201</c:v>
                </c:pt>
                <c:pt idx="19">
                  <c:v>129.64230851652673</c:v>
                </c:pt>
                <c:pt idx="20">
                  <c:v>101.75511358546811</c:v>
                </c:pt>
                <c:pt idx="21">
                  <c:v>70.862502391671043</c:v>
                </c:pt>
                <c:pt idx="22">
                  <c:v>60.317385686309684</c:v>
                </c:pt>
                <c:pt idx="23">
                  <c:v>51.953462130357451</c:v>
                </c:pt>
                <c:pt idx="24">
                  <c:v>45.857451210423051</c:v>
                </c:pt>
                <c:pt idx="25">
                  <c:v>74.18256226289806</c:v>
                </c:pt>
                <c:pt idx="26">
                  <c:v>105.84250840758911</c:v>
                </c:pt>
                <c:pt idx="27">
                  <c:v>108.11191571214584</c:v>
                </c:pt>
                <c:pt idx="28">
                  <c:v>97.596369725625379</c:v>
                </c:pt>
                <c:pt idx="29">
                  <c:v>80.406251667208807</c:v>
                </c:pt>
                <c:pt idx="30">
                  <c:v>71.242019646000585</c:v>
                </c:pt>
                <c:pt idx="31">
                  <c:v>62.743993337793334</c:v>
                </c:pt>
                <c:pt idx="32">
                  <c:v>50.01450377954864</c:v>
                </c:pt>
                <c:pt idx="33">
                  <c:v>35.37357944595378</c:v>
                </c:pt>
                <c:pt idx="34">
                  <c:v>30.616258916097483</c:v>
                </c:pt>
                <c:pt idx="35">
                  <c:v>26.825455260075476</c:v>
                </c:pt>
                <c:pt idx="36">
                  <c:v>24.055786950387642</c:v>
                </c:pt>
                <c:pt idx="37">
                  <c:v>39.618591477361534</c:v>
                </c:pt>
                <c:pt idx="38">
                  <c:v>57.547823700643598</c:v>
                </c:pt>
                <c:pt idx="39">
                  <c:v>59.899989607606287</c:v>
                </c:pt>
                <c:pt idx="40">
                  <c:v>55.077281760691285</c:v>
                </c:pt>
                <c:pt idx="41">
                  <c:v>46.268371646438979</c:v>
                </c:pt>
                <c:pt idx="42">
                  <c:v>41.807252188190851</c:v>
                </c:pt>
                <c:pt idx="43">
                  <c:v>37.527598074485049</c:v>
                </c:pt>
                <c:pt idx="44">
                  <c:v>30.509284061955903</c:v>
                </c:pt>
                <c:pt idx="45">
                  <c:v>21.998207261263556</c:v>
                </c:pt>
                <c:pt idx="46">
                  <c:v>19.418011019320573</c:v>
                </c:pt>
                <c:pt idx="47">
                  <c:v>17.349123800854784</c:v>
                </c:pt>
                <c:pt idx="48">
                  <c:v>15.82409834162752</c:v>
                </c:pt>
                <c:pt idx="49">
                  <c:v>26.574846050358332</c:v>
                </c:pt>
                <c:pt idx="50">
                  <c:v>39.322611550888162</c:v>
                </c:pt>
                <c:pt idx="51">
                  <c:v>41.693626424621257</c:v>
                </c:pt>
                <c:pt idx="52">
                  <c:v>39.03013062530345</c:v>
                </c:pt>
                <c:pt idx="53">
                  <c:v>33.379863155833171</c:v>
                </c:pt>
                <c:pt idx="54">
                  <c:v>30.694596216919841</c:v>
                </c:pt>
                <c:pt idx="55">
                  <c:v>28.007621471512525</c:v>
                </c:pt>
                <c:pt idx="56">
                  <c:v>23.149190998703425</c:v>
                </c:pt>
                <c:pt idx="57">
                  <c:v>16.949626140129766</c:v>
                </c:pt>
                <c:pt idx="58">
                  <c:v>15.191131116867744</c:v>
                </c:pt>
                <c:pt idx="59">
                  <c:v>13.77520764788129</c:v>
                </c:pt>
                <c:pt idx="60">
                  <c:v>12.734729969383816</c:v>
                </c:pt>
                <c:pt idx="61">
                  <c:v>21.676820780748031</c:v>
                </c:pt>
                <c:pt idx="62">
                  <c:v>32.478409982703944</c:v>
                </c:pt>
                <c:pt idx="63">
                  <c:v>34.870288648117537</c:v>
                </c:pt>
                <c:pt idx="64">
                  <c:v>33.009895127139742</c:v>
                </c:pt>
                <c:pt idx="65">
                  <c:v>28.54483938030938</c:v>
                </c:pt>
                <c:pt idx="66">
                  <c:v>26.522240627788236</c:v>
                </c:pt>
                <c:pt idx="67">
                  <c:v>24.434867817941718</c:v>
                </c:pt>
                <c:pt idx="68">
                  <c:v>20.386660941579649</c:v>
                </c:pt>
                <c:pt idx="69">
                  <c:v>15.054406522750332</c:v>
                </c:pt>
                <c:pt idx="70">
                  <c:v>13.604861923376793</c:v>
                </c:pt>
                <c:pt idx="71">
                  <c:v>12.433899354904547</c:v>
                </c:pt>
                <c:pt idx="72">
                  <c:v>11.571395449043157</c:v>
                </c:pt>
                <c:pt idx="73">
                  <c:v>19.832307859597382</c:v>
                </c:pt>
                <c:pt idx="74">
                  <c:v>29.903895903211147</c:v>
                </c:pt>
                <c:pt idx="75">
                  <c:v>32.296963812581211</c:v>
                </c:pt>
                <c:pt idx="76">
                  <c:v>30.742688277705927</c:v>
                </c:pt>
                <c:pt idx="77">
                  <c:v>26.722340940329332</c:v>
                </c:pt>
                <c:pt idx="78">
                  <c:v>24.951446653713639</c:v>
                </c:pt>
                <c:pt idx="79">
                  <c:v>23.089547046881762</c:v>
                </c:pt>
                <c:pt idx="80">
                  <c:v>19.348504804603714</c:v>
                </c:pt>
                <c:pt idx="81">
                  <c:v>14.336957405302336</c:v>
                </c:pt>
                <c:pt idx="82">
                  <c:v>13.003649883331486</c:v>
                </c:pt>
                <c:pt idx="83">
                  <c:v>11.923572518995838</c:v>
                </c:pt>
                <c:pt idx="84">
                  <c:v>11.130972508300136</c:v>
                </c:pt>
              </c:numCache>
            </c:numRef>
          </c:val>
          <c:smooth val="0"/>
        </c:ser>
        <c:ser>
          <c:idx val="3"/>
          <c:order val="2"/>
          <c:tx>
            <c:strRef>
              <c:f>濃度回帰式!$O$56</c:f>
              <c:strCache>
                <c:ptCount val="1"/>
                <c:pt idx="0">
                  <c:v>Cs-134:事故日1200から減衰</c:v>
                </c:pt>
              </c:strCache>
            </c:strRef>
          </c:tx>
          <c:marker>
            <c:symbol val="none"/>
          </c:marker>
          <c:cat>
            <c:numRef>
              <c:f>濃度回帰式!$G$63:$G$147</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濃度回帰式!$O$63:$O$147</c:f>
              <c:numCache>
                <c:formatCode>0</c:formatCode>
                <c:ptCount val="85"/>
                <c:pt idx="0">
                  <c:v>1193.602219927805</c:v>
                </c:pt>
                <c:pt idx="1">
                  <c:v>427.66824530077849</c:v>
                </c:pt>
                <c:pt idx="2">
                  <c:v>394.71404663840514</c:v>
                </c:pt>
                <c:pt idx="3">
                  <c:v>363.32672557584715</c:v>
                </c:pt>
                <c:pt idx="4">
                  <c:v>335.3303961182898</c:v>
                </c:pt>
                <c:pt idx="5">
                  <c:v>308.66521180413349</c:v>
                </c:pt>
                <c:pt idx="6">
                  <c:v>284.12041998269092</c:v>
                </c:pt>
                <c:pt idx="7">
                  <c:v>262.22737352196629</c:v>
                </c:pt>
                <c:pt idx="8">
                  <c:v>241.37527860864461</c:v>
                </c:pt>
                <c:pt idx="9">
                  <c:v>222.77598120731267</c:v>
                </c:pt>
                <c:pt idx="10">
                  <c:v>205.06102703547398</c:v>
                </c:pt>
                <c:pt idx="11">
                  <c:v>188.75475076333359</c:v>
                </c:pt>
                <c:pt idx="12">
                  <c:v>175.14393241983743</c:v>
                </c:pt>
                <c:pt idx="13">
                  <c:v>161.21663774705263</c:v>
                </c:pt>
                <c:pt idx="14">
                  <c:v>148.79400603106026</c:v>
                </c:pt>
                <c:pt idx="15">
                  <c:v>136.96203481226172</c:v>
                </c:pt>
                <c:pt idx="16">
                  <c:v>126.40835411700265</c:v>
                </c:pt>
                <c:pt idx="17">
                  <c:v>116.35647065997786</c:v>
                </c:pt>
                <c:pt idx="18">
                  <c:v>107.10390431881464</c:v>
                </c:pt>
                <c:pt idx="19">
                  <c:v>98.850957369349771</c:v>
                </c:pt>
                <c:pt idx="20">
                  <c:v>90.990414369380616</c:v>
                </c:pt>
                <c:pt idx="21">
                  <c:v>83.979100753165369</c:v>
                </c:pt>
                <c:pt idx="22">
                  <c:v>77.3011549837329</c:v>
                </c:pt>
                <c:pt idx="23">
                  <c:v>71.154233710865981</c:v>
                </c:pt>
                <c:pt idx="24">
                  <c:v>66.023410007130124</c:v>
                </c:pt>
                <c:pt idx="25">
                  <c:v>60.773285302454703</c:v>
                </c:pt>
                <c:pt idx="26">
                  <c:v>56.090368253484485</c:v>
                </c:pt>
                <c:pt idx="27">
                  <c:v>51.630110474763896</c:v>
                </c:pt>
                <c:pt idx="28">
                  <c:v>47.651725508751198</c:v>
                </c:pt>
                <c:pt idx="29">
                  <c:v>43.862501333767042</c:v>
                </c:pt>
                <c:pt idx="30">
                  <c:v>40.374593001913233</c:v>
                </c:pt>
                <c:pt idx="31">
                  <c:v>37.263507777987456</c:v>
                </c:pt>
                <c:pt idx="32">
                  <c:v>34.30034573066289</c:v>
                </c:pt>
                <c:pt idx="33">
                  <c:v>31.657314783622667</c:v>
                </c:pt>
                <c:pt idx="34">
                  <c:v>29.139952375179423</c:v>
                </c:pt>
                <c:pt idx="35">
                  <c:v>26.822768457513348</c:v>
                </c:pt>
                <c:pt idx="36">
                  <c:v>24.888619370041514</c:v>
                </c:pt>
                <c:pt idx="37">
                  <c:v>22.909497791713367</c:v>
                </c:pt>
                <c:pt idx="38">
                  <c:v>21.144194546081089</c:v>
                </c:pt>
                <c:pt idx="39">
                  <c:v>19.46282640507086</c:v>
                </c:pt>
                <c:pt idx="40">
                  <c:v>17.963108212449608</c:v>
                </c:pt>
                <c:pt idx="41">
                  <c:v>16.534697317151174</c:v>
                </c:pt>
                <c:pt idx="42">
                  <c:v>15.219872426105235</c:v>
                </c:pt>
                <c:pt idx="43">
                  <c:v>14.047097255030502</c:v>
                </c:pt>
                <c:pt idx="44">
                  <c:v>12.930084178613377</c:v>
                </c:pt>
                <c:pt idx="45">
                  <c:v>11.933749829675319</c:v>
                </c:pt>
                <c:pt idx="46">
                  <c:v>10.984788320516241</c:v>
                </c:pt>
                <c:pt idx="47">
                  <c:v>10.11128741332371</c:v>
                </c:pt>
                <c:pt idx="48">
                  <c:v>9.3571339502823587</c:v>
                </c:pt>
                <c:pt idx="49">
                  <c:v>8.6130627168815153</c:v>
                </c:pt>
                <c:pt idx="50">
                  <c:v>7.9493786978261127</c:v>
                </c:pt>
                <c:pt idx="51">
                  <c:v>7.3172509497475078</c:v>
                </c:pt>
                <c:pt idx="52">
                  <c:v>6.7534163791194484</c:v>
                </c:pt>
                <c:pt idx="53">
                  <c:v>6.2163905246665285</c:v>
                </c:pt>
                <c:pt idx="54">
                  <c:v>5.7220685036752235</c:v>
                </c:pt>
                <c:pt idx="55">
                  <c:v>5.2811515445561223</c:v>
                </c:pt>
                <c:pt idx="56">
                  <c:v>4.8611989218391995</c:v>
                </c:pt>
                <c:pt idx="57">
                  <c:v>4.4866167152623699</c:v>
                </c:pt>
                <c:pt idx="58">
                  <c:v>4.1298448179207341</c:v>
                </c:pt>
                <c:pt idx="59">
                  <c:v>3.8014431146052017</c:v>
                </c:pt>
                <c:pt idx="60">
                  <c:v>3.5273268263169122</c:v>
                </c:pt>
                <c:pt idx="61">
                  <c:v>3.2468368348076768</c:v>
                </c:pt>
                <c:pt idx="62">
                  <c:v>2.9966501369308864</c:v>
                </c:pt>
                <c:pt idx="63">
                  <c:v>2.7583590987450242</c:v>
                </c:pt>
                <c:pt idx="64">
                  <c:v>2.5458123064100464</c:v>
                </c:pt>
                <c:pt idx="65">
                  <c:v>2.3433715042474987</c:v>
                </c:pt>
                <c:pt idx="66">
                  <c:v>2.1570286203317237</c:v>
                </c:pt>
                <c:pt idx="67">
                  <c:v>1.9908176601870362</c:v>
                </c:pt>
                <c:pt idx="68">
                  <c:v>1.8325095543330157</c:v>
                </c:pt>
                <c:pt idx="69">
                  <c:v>1.6913045792904673</c:v>
                </c:pt>
                <c:pt idx="70">
                  <c:v>1.556813495689898</c:v>
                </c:pt>
                <c:pt idx="71">
                  <c:v>1.433017027234073</c:v>
                </c:pt>
                <c:pt idx="72">
                  <c:v>1.3296843462713819</c:v>
                </c:pt>
                <c:pt idx="73">
                  <c:v>1.2239489921746196</c:v>
                </c:pt>
                <c:pt idx="74">
                  <c:v>1.1296369671787794</c:v>
                </c:pt>
                <c:pt idx="75">
                  <c:v>1.0398092083874737</c:v>
                </c:pt>
                <c:pt idx="76">
                  <c:v>0.95968617002612333</c:v>
                </c:pt>
                <c:pt idx="77">
                  <c:v>0.88337275226346323</c:v>
                </c:pt>
                <c:pt idx="78">
                  <c:v>0.81312771176048626</c:v>
                </c:pt>
                <c:pt idx="79">
                  <c:v>0.75047173380170507</c:v>
                </c:pt>
                <c:pt idx="80">
                  <c:v>0.69079486783299171</c:v>
                </c:pt>
                <c:pt idx="81">
                  <c:v>0.63756531067121125</c:v>
                </c:pt>
                <c:pt idx="82">
                  <c:v>0.58686666623528294</c:v>
                </c:pt>
                <c:pt idx="83">
                  <c:v>0.5401995343434336</c:v>
                </c:pt>
                <c:pt idx="84">
                  <c:v>0.50124656652961386</c:v>
                </c:pt>
              </c:numCache>
            </c:numRef>
          </c:val>
          <c:smooth val="0"/>
        </c:ser>
        <c:dLbls>
          <c:showLegendKey val="0"/>
          <c:showVal val="0"/>
          <c:showCatName val="0"/>
          <c:showSerName val="0"/>
          <c:showPercent val="0"/>
          <c:showBubbleSize val="0"/>
        </c:dLbls>
        <c:marker val="1"/>
        <c:smooth val="0"/>
        <c:axId val="270452992"/>
        <c:axId val="270458880"/>
      </c:lineChart>
      <c:dateAx>
        <c:axId val="270452992"/>
        <c:scaling>
          <c:orientation val="minMax"/>
        </c:scaling>
        <c:delete val="0"/>
        <c:axPos val="b"/>
        <c:majorGridlines>
          <c:spPr>
            <a:ln w="3175">
              <a:solidFill>
                <a:sysClr val="window" lastClr="FFFFFF">
                  <a:lumMod val="85000"/>
                </a:sysClr>
              </a:solid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a:pPr>
            <a:endParaRPr lang="ja-JP"/>
          </a:p>
        </c:txPr>
        <c:crossAx val="270458880"/>
        <c:crosses val="autoZero"/>
        <c:auto val="0"/>
        <c:lblOffset val="100"/>
        <c:baseTimeUnit val="days"/>
        <c:majorUnit val="6"/>
        <c:majorTimeUnit val="months"/>
      </c:dateAx>
      <c:valAx>
        <c:axId val="270458880"/>
        <c:scaling>
          <c:logBase val="10"/>
          <c:orientation val="minMax"/>
        </c:scaling>
        <c:delete val="0"/>
        <c:axPos val="l"/>
        <c:majorGridlines>
          <c:spPr>
            <a:ln w="3175">
              <a:solidFill>
                <a:srgbClr val="000000"/>
              </a:solidFill>
              <a:prstDash val="solid"/>
            </a:ln>
          </c:spPr>
        </c:majorGridlines>
        <c:minorGridlines>
          <c:spPr>
            <a:ln w="3175">
              <a:solidFill>
                <a:sysClr val="window" lastClr="FFFFFF">
                  <a:lumMod val="85000"/>
                </a:sysClr>
              </a:solid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a:pPr>
            <a:endParaRPr lang="ja-JP"/>
          </a:p>
        </c:txPr>
        <c:crossAx val="270452992"/>
        <c:crosses val="autoZero"/>
        <c:crossBetween val="between"/>
        <c:majorUnit val="500"/>
      </c:valAx>
      <c:spPr>
        <a:noFill/>
        <a:ln w="12700">
          <a:solidFill>
            <a:srgbClr val="808080"/>
          </a:solidFill>
          <a:prstDash val="solid"/>
        </a:ln>
      </c:spPr>
    </c:plotArea>
    <c:legend>
      <c:legendPos val="t"/>
      <c:layout>
        <c:manualLayout>
          <c:xMode val="edge"/>
          <c:yMode val="edge"/>
          <c:x val="0.29507875653415783"/>
          <c:y val="5.7577241086361648E-2"/>
          <c:w val="0.60751260612951385"/>
          <c:h val="0.16082736516478471"/>
        </c:manualLayout>
      </c:layout>
      <c:overlay val="0"/>
      <c:spPr>
        <a:solidFill>
          <a:sysClr val="window" lastClr="FFFFFF"/>
        </a:solidFill>
        <a:ln>
          <a:solidFill>
            <a:sysClr val="windowText" lastClr="000000">
              <a:lumMod val="50000"/>
              <a:lumOff val="50000"/>
            </a:sysClr>
          </a:solidFill>
        </a:ln>
      </c:spPr>
      <c:txPr>
        <a:bodyPr/>
        <a:lstStyle/>
        <a:p>
          <a:pPr>
            <a:defRPr sz="800"/>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panose="020B0604030504040204" pitchFamily="50" charset="-128"/>
          <a:ea typeface="Meiryo UI" panose="020B0604030504040204" pitchFamily="50" charset="-128"/>
          <a:cs typeface="ＭＳ Ｐゴシック"/>
        </a:defRPr>
      </a:pPr>
      <a:endParaRPr lang="ja-JP"/>
    </a:p>
  </c:txPr>
  <c:printSettings>
    <c:headerFooter alignWithMargins="0"/>
    <c:pageMargins b="1" l="0.75" r="0.75" t="1" header="0.51200000000000001" footer="0.51200000000000001"/>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5" Type="http://schemas.openxmlformats.org/officeDocument/2006/relationships/chart" Target="../charts/chart11.xml"/><Relationship Id="rId4"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1</xdr:col>
      <xdr:colOff>38100</xdr:colOff>
      <xdr:row>2</xdr:row>
      <xdr:rowOff>116417</xdr:rowOff>
    </xdr:from>
    <xdr:to>
      <xdr:col>16</xdr:col>
      <xdr:colOff>406400</xdr:colOff>
      <xdr:row>52</xdr:row>
      <xdr:rowOff>88900</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62</xdr:row>
      <xdr:rowOff>38100</xdr:rowOff>
    </xdr:from>
    <xdr:to>
      <xdr:col>16</xdr:col>
      <xdr:colOff>114300</xdr:colOff>
      <xdr:row>92</xdr:row>
      <xdr:rowOff>50800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93</xdr:row>
      <xdr:rowOff>50800</xdr:rowOff>
    </xdr:from>
    <xdr:to>
      <xdr:col>16</xdr:col>
      <xdr:colOff>114300</xdr:colOff>
      <xdr:row>123</xdr:row>
      <xdr:rowOff>38100</xdr:rowOff>
    </xdr:to>
    <xdr:graphicFrame macro="">
      <xdr:nvGraphicFramePr>
        <xdr:cNvPr id="5"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29</xdr:col>
      <xdr:colOff>113242</xdr:colOff>
      <xdr:row>58</xdr:row>
      <xdr:rowOff>78316</xdr:rowOff>
    </xdr:from>
    <xdr:to>
      <xdr:col>39</xdr:col>
      <xdr:colOff>349250</xdr:colOff>
      <xdr:row>89</xdr:row>
      <xdr:rowOff>10583</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29</xdr:col>
      <xdr:colOff>124884</xdr:colOff>
      <xdr:row>1</xdr:row>
      <xdr:rowOff>89957</xdr:rowOff>
    </xdr:from>
    <xdr:to>
      <xdr:col>39</xdr:col>
      <xdr:colOff>254000</xdr:colOff>
      <xdr:row>28</xdr:row>
      <xdr:rowOff>51857</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29</xdr:col>
      <xdr:colOff>113241</xdr:colOff>
      <xdr:row>29</xdr:row>
      <xdr:rowOff>35983</xdr:rowOff>
    </xdr:from>
    <xdr:to>
      <xdr:col>39</xdr:col>
      <xdr:colOff>275166</xdr:colOff>
      <xdr:row>56</xdr:row>
      <xdr:rowOff>84666</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94193</xdr:colOff>
      <xdr:row>4</xdr:row>
      <xdr:rowOff>38100</xdr:rowOff>
    </xdr:from>
    <xdr:to>
      <xdr:col>11</xdr:col>
      <xdr:colOff>76200</xdr:colOff>
      <xdr:row>26</xdr:row>
      <xdr:rowOff>126999</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81492</xdr:colOff>
      <xdr:row>4</xdr:row>
      <xdr:rowOff>38100</xdr:rowOff>
    </xdr:from>
    <xdr:to>
      <xdr:col>22</xdr:col>
      <xdr:colOff>215900</xdr:colOff>
      <xdr:row>26</xdr:row>
      <xdr:rowOff>127000</xdr:rowOff>
    </xdr:to>
    <xdr:graphicFrame macro="">
      <xdr:nvGraphicFramePr>
        <xdr:cNvPr id="4"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94193</xdr:colOff>
      <xdr:row>24</xdr:row>
      <xdr:rowOff>63500</xdr:rowOff>
    </xdr:from>
    <xdr:to>
      <xdr:col>11</xdr:col>
      <xdr:colOff>114301</xdr:colOff>
      <xdr:row>47</xdr:row>
      <xdr:rowOff>114301</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81492</xdr:colOff>
      <xdr:row>24</xdr:row>
      <xdr:rowOff>76201</xdr:rowOff>
    </xdr:from>
    <xdr:to>
      <xdr:col>22</xdr:col>
      <xdr:colOff>215900</xdr:colOff>
      <xdr:row>47</xdr:row>
      <xdr:rowOff>88901</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xdr:col>
      <xdr:colOff>101600</xdr:colOff>
      <xdr:row>65</xdr:row>
      <xdr:rowOff>50800</xdr:rowOff>
    </xdr:from>
    <xdr:to>
      <xdr:col>36</xdr:col>
      <xdr:colOff>25400</xdr:colOff>
      <xdr:row>92</xdr:row>
      <xdr:rowOff>12700</xdr:rowOff>
    </xdr:to>
    <xdr:graphicFrame macro="">
      <xdr:nvGraphicFramePr>
        <xdr:cNvPr id="8"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101600</xdr:colOff>
      <xdr:row>0</xdr:row>
      <xdr:rowOff>1</xdr:rowOff>
    </xdr:from>
    <xdr:to>
      <xdr:col>17</xdr:col>
      <xdr:colOff>127000</xdr:colOff>
      <xdr:row>14</xdr:row>
      <xdr:rowOff>25400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0.17772</cdr:x>
      <cdr:y>0.04531</cdr:y>
    </cdr:from>
    <cdr:to>
      <cdr:x>0.44388</cdr:x>
      <cdr:y>0.13594</cdr:y>
    </cdr:to>
    <cdr:sp macro="" textlink="">
      <cdr:nvSpPr>
        <cdr:cNvPr id="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2372;&#12415;&#28784;Cs_&#27671;&#20185;&#27836;&#24066;a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まとめ気"/>
      <sheetName val="焼却場"/>
      <sheetName val="処分場"/>
      <sheetName val="一廃実調"/>
    </sheetNames>
    <sheetDataSet>
      <sheetData sheetId="0">
        <row r="4">
          <cell r="C4" t="str">
            <v>ごみ焼却量 (t/月)</v>
          </cell>
        </row>
        <row r="32">
          <cell r="D32">
            <v>0.09</v>
          </cell>
          <cell r="F32">
            <v>8.3000000000000001E-3</v>
          </cell>
          <cell r="H32">
            <v>0.01</v>
          </cell>
        </row>
      </sheetData>
      <sheetData sheetId="1" refreshError="1"/>
      <sheetData sheetId="2" refreshError="1"/>
      <sheetData sheetId="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kesennuma.miyagi.jp/li/life/020/070/030/index.html" TargetMode="External"/><Relationship Id="rId1" Type="http://schemas.openxmlformats.org/officeDocument/2006/relationships/hyperlink" Target="https://www.kesennuma.miyagi.jp/li/life/020/070/030/index.htm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www.kesennuma.miyagi.jp/li/life/020/070/030/index.html"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N1268"/>
  <sheetViews>
    <sheetView tabSelected="1" zoomScale="75" zoomScaleNormal="75" workbookViewId="0">
      <selection activeCell="BE18" sqref="BE18"/>
    </sheetView>
  </sheetViews>
  <sheetFormatPr defaultColWidth="4.875" defaultRowHeight="12" customHeight="1" x14ac:dyDescent="0.15"/>
  <cols>
    <col min="1" max="1" width="1.125" style="11" customWidth="1"/>
    <col min="2" max="2" width="6.25" style="12" customWidth="1"/>
    <col min="3" max="4" width="4.375" style="2" customWidth="1"/>
    <col min="5" max="5" width="5.125" style="2" customWidth="1"/>
    <col min="6" max="6" width="6.25" style="12" customWidth="1"/>
    <col min="7" max="10" width="4.375" style="2" customWidth="1"/>
    <col min="11" max="11" width="5.125" style="2" customWidth="1"/>
    <col min="12" max="15" width="4.375" style="2" customWidth="1"/>
    <col min="16" max="16" width="5.125" style="2" customWidth="1"/>
    <col min="17" max="17" width="5.875" style="2" customWidth="1"/>
    <col min="18" max="18" width="5.375" style="2" customWidth="1"/>
    <col min="19" max="19" width="4.5" style="2" customWidth="1"/>
    <col min="20" max="20" width="5" style="12" customWidth="1"/>
    <col min="21" max="23" width="5" style="2" customWidth="1"/>
    <col min="24" max="27" width="5" style="12" customWidth="1"/>
    <col min="28" max="36" width="5" style="2" customWidth="1"/>
    <col min="37" max="38" width="4.625" style="212" customWidth="1"/>
    <col min="39" max="41" width="4.625" style="2" customWidth="1"/>
    <col min="42" max="42" width="4.625" style="212" customWidth="1"/>
    <col min="43" max="43" width="5.625" style="469" customWidth="1"/>
    <col min="44" max="46" width="4.375" style="2" customWidth="1"/>
    <col min="47" max="47" width="2" style="2" customWidth="1"/>
    <col min="48" max="49" width="4.625" style="2" customWidth="1"/>
    <col min="50" max="58" width="4.375" style="2" customWidth="1"/>
    <col min="59" max="16384" width="4.875" style="2"/>
  </cols>
  <sheetData>
    <row r="1" spans="1:42" ht="6.75" customHeight="1" x14ac:dyDescent="0.15">
      <c r="AM1" s="212"/>
      <c r="AN1" s="212"/>
      <c r="AO1" s="212"/>
    </row>
    <row r="2" spans="1:42" ht="15.75" customHeight="1" x14ac:dyDescent="0.2">
      <c r="B2" s="213" t="s">
        <v>85</v>
      </c>
      <c r="Q2" s="237" t="s">
        <v>698</v>
      </c>
      <c r="R2" s="423"/>
      <c r="S2" s="423"/>
      <c r="T2" s="423"/>
      <c r="U2" s="423"/>
      <c r="X2" s="238" t="s">
        <v>696</v>
      </c>
      <c r="Y2" s="238"/>
      <c r="Z2" s="238"/>
      <c r="AA2" s="238"/>
      <c r="AB2" s="422"/>
      <c r="AC2" s="422"/>
      <c r="AD2" s="422"/>
      <c r="AE2" s="422"/>
      <c r="AF2"/>
      <c r="AG2"/>
      <c r="AH2"/>
      <c r="AK2" s="2"/>
      <c r="AL2" s="2"/>
      <c r="AM2" s="214"/>
      <c r="AP2" s="2"/>
    </row>
    <row r="3" spans="1:42" ht="9.9499999999999993" customHeight="1" x14ac:dyDescent="0.2">
      <c r="A3" s="2"/>
      <c r="K3" s="9"/>
      <c r="P3" s="5"/>
      <c r="R3" s="239" t="s">
        <v>203</v>
      </c>
      <c r="T3" s="2"/>
      <c r="X3" s="2"/>
      <c r="Y3" s="2"/>
      <c r="Z3" s="2"/>
      <c r="AA3" s="2"/>
      <c r="AK3" s="214"/>
      <c r="AL3" s="215"/>
      <c r="AP3" s="2"/>
    </row>
    <row r="4" spans="1:42" ht="12" customHeight="1" x14ac:dyDescent="0.2">
      <c r="A4" s="2"/>
      <c r="K4" s="9"/>
      <c r="P4" s="5"/>
      <c r="T4" s="215"/>
      <c r="U4" s="215"/>
      <c r="V4" s="215"/>
      <c r="W4" s="215"/>
    </row>
    <row r="5" spans="1:42" ht="11.25" customHeight="1" x14ac:dyDescent="0.15">
      <c r="A5" s="2"/>
      <c r="K5" s="9"/>
      <c r="P5" s="5"/>
    </row>
    <row r="6" spans="1:42" ht="9.9499999999999993" customHeight="1" x14ac:dyDescent="0.15">
      <c r="A6" s="2"/>
      <c r="K6" s="9"/>
      <c r="P6" s="5"/>
      <c r="R6" s="7" t="s">
        <v>196</v>
      </c>
      <c r="T6" s="2"/>
      <c r="W6" s="63" t="s">
        <v>130</v>
      </c>
      <c r="AC6" s="63" t="s">
        <v>115</v>
      </c>
      <c r="AK6" s="2"/>
      <c r="AL6" s="2"/>
    </row>
    <row r="7" spans="1:42" ht="9.9499999999999993" customHeight="1" x14ac:dyDescent="0.15">
      <c r="A7" s="2"/>
      <c r="K7" s="9"/>
      <c r="P7" s="5"/>
      <c r="R7" s="20" t="s">
        <v>110</v>
      </c>
      <c r="S7" s="10" t="s">
        <v>107</v>
      </c>
      <c r="T7" s="2"/>
      <c r="U7" s="12"/>
      <c r="W7" s="10" t="s">
        <v>111</v>
      </c>
      <c r="X7" s="45" t="s">
        <v>108</v>
      </c>
      <c r="Y7" s="7"/>
      <c r="Z7" s="7"/>
      <c r="AA7" s="7"/>
      <c r="AC7" s="55" t="s">
        <v>116</v>
      </c>
      <c r="AD7" s="59"/>
      <c r="AE7" s="75">
        <v>8.2899999999999991</v>
      </c>
      <c r="AF7" s="8"/>
      <c r="AG7" s="8"/>
      <c r="AH7" s="8"/>
      <c r="AK7" s="2"/>
      <c r="AL7" s="2"/>
    </row>
    <row r="8" spans="1:42" ht="9.9499999999999993" customHeight="1" x14ac:dyDescent="0.2">
      <c r="A8" s="2"/>
      <c r="K8" s="9"/>
      <c r="P8" s="5"/>
      <c r="R8" s="20">
        <v>4</v>
      </c>
      <c r="S8" s="216">
        <v>7.9322176308980252E-2</v>
      </c>
      <c r="T8" s="2"/>
      <c r="U8" s="12"/>
      <c r="W8" s="20">
        <v>2008</v>
      </c>
      <c r="X8" s="415">
        <v>19062</v>
      </c>
      <c r="Y8" s="425"/>
      <c r="Z8" s="425"/>
      <c r="AA8" s="425"/>
      <c r="AC8" s="55" t="s">
        <v>117</v>
      </c>
      <c r="AD8" s="59"/>
      <c r="AE8" s="75">
        <v>3.46</v>
      </c>
      <c r="AF8" s="8"/>
      <c r="AG8" s="8"/>
      <c r="AH8" s="8"/>
      <c r="AK8" s="2"/>
      <c r="AL8" s="2"/>
    </row>
    <row r="9" spans="1:42" ht="9.9499999999999993" customHeight="1" x14ac:dyDescent="0.2">
      <c r="A9" s="2"/>
      <c r="P9" s="5"/>
      <c r="R9" s="20">
        <v>5</v>
      </c>
      <c r="S9" s="216">
        <v>8.9128643618102618E-2</v>
      </c>
      <c r="T9" s="2"/>
      <c r="U9" s="12"/>
      <c r="W9" s="20">
        <v>2009</v>
      </c>
      <c r="X9" s="415">
        <v>21469</v>
      </c>
      <c r="Y9" s="425"/>
      <c r="Z9" s="425"/>
      <c r="AA9" s="425"/>
      <c r="AC9" s="55" t="s">
        <v>118</v>
      </c>
      <c r="AD9" s="59"/>
      <c r="AE9" s="75">
        <v>3.1</v>
      </c>
      <c r="AF9" s="8"/>
      <c r="AG9" s="8"/>
      <c r="AH9" s="8"/>
      <c r="AK9" s="2"/>
      <c r="AL9" s="2"/>
    </row>
    <row r="10" spans="1:42" ht="9.9499999999999993" customHeight="1" x14ac:dyDescent="0.2">
      <c r="A10" s="2"/>
      <c r="P10" s="5"/>
      <c r="R10" s="20">
        <v>6</v>
      </c>
      <c r="S10" s="216">
        <v>8.7466418700092655E-2</v>
      </c>
      <c r="T10" s="2"/>
      <c r="U10" s="12"/>
      <c r="W10" s="20">
        <v>2010</v>
      </c>
      <c r="X10" s="415">
        <v>20953</v>
      </c>
      <c r="Y10" s="425"/>
      <c r="Z10" s="425"/>
      <c r="AA10" s="425"/>
      <c r="AC10" s="55" t="s">
        <v>119</v>
      </c>
      <c r="AD10" s="59"/>
      <c r="AE10" s="75">
        <v>3.99</v>
      </c>
      <c r="AF10" s="8"/>
      <c r="AG10" s="8"/>
      <c r="AH10" s="8"/>
      <c r="AK10" s="2"/>
      <c r="AL10" s="2"/>
    </row>
    <row r="11" spans="1:42" ht="9.9499999999999993" customHeight="1" x14ac:dyDescent="0.2">
      <c r="A11" s="2"/>
      <c r="P11" s="5"/>
      <c r="R11" s="20">
        <v>7</v>
      </c>
      <c r="S11" s="216">
        <v>9.3057188641443564E-2</v>
      </c>
      <c r="T11" s="2"/>
      <c r="U11" s="12"/>
      <c r="W11" s="20">
        <v>2011</v>
      </c>
      <c r="X11" s="415">
        <v>23637</v>
      </c>
      <c r="Y11" s="425"/>
      <c r="Z11" s="425"/>
      <c r="AA11" s="425"/>
      <c r="AC11" s="55" t="s">
        <v>120</v>
      </c>
      <c r="AD11" s="59"/>
      <c r="AE11" s="75">
        <v>6.57</v>
      </c>
      <c r="AF11" s="8"/>
      <c r="AG11" s="8"/>
      <c r="AH11" s="8"/>
      <c r="AK11" s="2"/>
      <c r="AL11" s="2"/>
    </row>
    <row r="12" spans="1:42" ht="9.9499999999999993" customHeight="1" x14ac:dyDescent="0.15">
      <c r="A12" s="2"/>
      <c r="J12" s="7"/>
      <c r="K12" s="7"/>
      <c r="P12" s="5"/>
      <c r="R12" s="20">
        <v>8</v>
      </c>
      <c r="S12" s="216">
        <v>9.4364251114423536E-2</v>
      </c>
      <c r="T12" s="2"/>
      <c r="U12" s="12"/>
      <c r="W12" s="20">
        <v>2012</v>
      </c>
      <c r="X12" s="416">
        <v>20385</v>
      </c>
      <c r="Y12" s="426"/>
      <c r="Z12" s="426"/>
      <c r="AA12" s="426"/>
      <c r="AC12" s="55" t="s">
        <v>121</v>
      </c>
      <c r="AD12" s="59"/>
      <c r="AE12" s="75">
        <v>11.272254775308786</v>
      </c>
      <c r="AF12" s="8"/>
      <c r="AG12" s="8"/>
      <c r="AH12" s="8"/>
      <c r="AJ12" s="2" t="s">
        <v>201</v>
      </c>
    </row>
    <row r="13" spans="1:42" ht="9.9499999999999993" customHeight="1" x14ac:dyDescent="0.15">
      <c r="A13" s="2"/>
      <c r="J13" s="7"/>
      <c r="K13" s="7"/>
      <c r="P13" s="5"/>
      <c r="R13" s="20">
        <v>9</v>
      </c>
      <c r="S13" s="216">
        <v>8.7498753172037952E-2</v>
      </c>
      <c r="T13" s="2"/>
      <c r="U13" s="12"/>
      <c r="W13" s="20">
        <v>2013</v>
      </c>
      <c r="X13" s="416">
        <v>20020</v>
      </c>
      <c r="Y13" s="426"/>
      <c r="Z13" s="426"/>
      <c r="AA13" s="426"/>
      <c r="AC13" s="56" t="s">
        <v>109</v>
      </c>
      <c r="AD13" s="78"/>
      <c r="AE13" s="76">
        <f>AVERAGE(AE7:AE12)</f>
        <v>6.1137091292181305</v>
      </c>
      <c r="AF13" s="8"/>
      <c r="AG13" s="8"/>
      <c r="AH13" s="8"/>
      <c r="AJ13" s="2" t="s">
        <v>136</v>
      </c>
    </row>
    <row r="14" spans="1:42" ht="9.9499999999999993" customHeight="1" x14ac:dyDescent="0.15">
      <c r="A14" s="2"/>
      <c r="J14" s="7"/>
      <c r="K14" s="7"/>
      <c r="P14" s="5"/>
      <c r="R14" s="20">
        <v>10</v>
      </c>
      <c r="S14" s="216">
        <v>9.00306780289966E-2</v>
      </c>
      <c r="T14" s="2"/>
      <c r="U14" s="12"/>
      <c r="W14" s="20">
        <v>2014</v>
      </c>
      <c r="X14" s="416">
        <v>20242</v>
      </c>
      <c r="Y14" s="426"/>
      <c r="Z14" s="426"/>
      <c r="AA14" s="426"/>
      <c r="AF14" s="8"/>
      <c r="AG14" s="8"/>
      <c r="AH14" s="8"/>
      <c r="AJ14" s="2" t="s">
        <v>704</v>
      </c>
    </row>
    <row r="15" spans="1:42" ht="9.9499999999999993" customHeight="1" x14ac:dyDescent="0.2">
      <c r="A15" s="2"/>
      <c r="J15" s="7"/>
      <c r="K15" s="7"/>
      <c r="M15" s="5"/>
      <c r="N15" s="5"/>
      <c r="O15" s="5"/>
      <c r="P15" s="5"/>
      <c r="R15" s="20">
        <v>11</v>
      </c>
      <c r="S15" s="216">
        <v>8.1438010045640843E-2</v>
      </c>
      <c r="T15" s="2"/>
      <c r="U15" s="12"/>
      <c r="W15" s="20">
        <v>2015</v>
      </c>
      <c r="X15" s="417">
        <v>20173</v>
      </c>
      <c r="Y15" s="426"/>
      <c r="Z15" s="426"/>
      <c r="AA15" s="426"/>
      <c r="AJ15" s="2" t="s">
        <v>705</v>
      </c>
    </row>
    <row r="16" spans="1:42" ht="9.9499999999999993" customHeight="1" x14ac:dyDescent="0.2">
      <c r="A16" s="2"/>
      <c r="J16" s="7"/>
      <c r="K16" s="7"/>
      <c r="M16" s="5"/>
      <c r="N16" s="5"/>
      <c r="O16" s="5"/>
      <c r="P16" s="5"/>
      <c r="R16" s="20">
        <v>12</v>
      </c>
      <c r="S16" s="216">
        <v>8.1735217189744303E-2</v>
      </c>
      <c r="T16" s="2"/>
      <c r="U16" s="12"/>
      <c r="W16" s="20">
        <v>2016</v>
      </c>
      <c r="X16" s="418">
        <v>20022</v>
      </c>
      <c r="Y16" s="426"/>
      <c r="Z16" s="426"/>
      <c r="AA16" s="426"/>
      <c r="AC16" s="63" t="s">
        <v>129</v>
      </c>
      <c r="AK16" s="217" t="s">
        <v>131</v>
      </c>
    </row>
    <row r="17" spans="1:66" ht="9.9499999999999993" customHeight="1" x14ac:dyDescent="0.15">
      <c r="A17" s="2"/>
      <c r="J17" s="7"/>
      <c r="K17" s="7"/>
      <c r="M17" s="5"/>
      <c r="N17" s="5"/>
      <c r="O17" s="5"/>
      <c r="P17" s="5"/>
      <c r="R17" s="20">
        <v>1</v>
      </c>
      <c r="S17" s="216">
        <v>7.4890020694885998E-2</v>
      </c>
      <c r="T17" s="2"/>
      <c r="U17" s="12"/>
      <c r="W17" s="20">
        <v>2017</v>
      </c>
      <c r="X17" s="419">
        <v>19319</v>
      </c>
      <c r="Y17" s="426"/>
      <c r="Z17" s="426"/>
      <c r="AA17" s="426"/>
      <c r="AB17" s="77"/>
      <c r="AC17" s="10">
        <v>0.05</v>
      </c>
      <c r="AD17" s="55" t="s">
        <v>112</v>
      </c>
      <c r="AK17" s="217" t="s">
        <v>132</v>
      </c>
    </row>
    <row r="18" spans="1:66" ht="9.9499999999999993" customHeight="1" x14ac:dyDescent="0.15">
      <c r="A18" s="2"/>
      <c r="J18" s="7"/>
      <c r="K18" s="7"/>
      <c r="M18" s="5"/>
      <c r="N18" s="5"/>
      <c r="O18" s="5"/>
      <c r="P18" s="5"/>
      <c r="R18" s="20">
        <v>2</v>
      </c>
      <c r="S18" s="216">
        <v>6.4081858761377689E-2</v>
      </c>
      <c r="T18" s="2"/>
      <c r="U18" s="12"/>
      <c r="W18" s="20">
        <v>2018</v>
      </c>
      <c r="X18" s="230">
        <f>AVERAGE(X13:X17)</f>
        <v>19955.2</v>
      </c>
      <c r="Y18" s="426"/>
      <c r="Z18" s="426"/>
      <c r="AA18" s="426"/>
      <c r="AB18" s="77"/>
      <c r="AC18" s="10">
        <v>0.1</v>
      </c>
      <c r="AD18" s="55" t="s">
        <v>113</v>
      </c>
      <c r="AK18" s="212" t="s">
        <v>135</v>
      </c>
    </row>
    <row r="19" spans="1:66" ht="9.9499999999999993" customHeight="1" x14ac:dyDescent="0.15">
      <c r="A19" s="2"/>
      <c r="J19" s="7"/>
      <c r="K19" s="7"/>
      <c r="M19" s="5"/>
      <c r="N19" s="5"/>
      <c r="O19" s="5"/>
      <c r="P19" s="5"/>
      <c r="R19" s="20">
        <v>3</v>
      </c>
      <c r="S19" s="216">
        <v>7.7688555125821387E-2</v>
      </c>
      <c r="T19" s="2"/>
      <c r="U19" s="12"/>
      <c r="W19" s="20">
        <v>2019</v>
      </c>
      <c r="X19" s="211"/>
      <c r="Y19" s="426"/>
      <c r="Z19" s="426"/>
      <c r="AA19" s="426"/>
      <c r="AC19" s="10">
        <v>0.03</v>
      </c>
      <c r="AD19" s="55" t="s">
        <v>702</v>
      </c>
    </row>
    <row r="20" spans="1:66" ht="9.9499999999999993" customHeight="1" x14ac:dyDescent="0.15">
      <c r="A20" s="2"/>
      <c r="J20" s="7"/>
      <c r="K20" s="7"/>
      <c r="M20" s="5"/>
      <c r="N20" s="5"/>
      <c r="O20" s="5"/>
      <c r="P20" s="5"/>
      <c r="R20" s="504" t="s">
        <v>122</v>
      </c>
      <c r="S20" s="505"/>
      <c r="T20" s="505"/>
      <c r="U20" s="505"/>
      <c r="W20" s="20">
        <v>2020</v>
      </c>
      <c r="X20" s="211"/>
      <c r="Y20" s="427"/>
      <c r="Z20" s="427"/>
      <c r="AA20" s="427"/>
    </row>
    <row r="21" spans="1:66" ht="9.9499999999999993" customHeight="1" x14ac:dyDescent="0.15">
      <c r="A21" s="2"/>
      <c r="J21" s="7"/>
      <c r="K21" s="7"/>
      <c r="M21" s="5"/>
      <c r="N21" s="5"/>
      <c r="O21" s="5"/>
      <c r="P21" s="5"/>
      <c r="R21" s="505"/>
      <c r="S21" s="505"/>
      <c r="T21" s="505"/>
      <c r="U21" s="505"/>
      <c r="X21" s="2"/>
      <c r="Y21" s="2"/>
      <c r="Z21" s="2"/>
      <c r="AA21" s="2"/>
      <c r="AB21" s="480" t="s">
        <v>124</v>
      </c>
      <c r="AC21" s="480" t="s">
        <v>127</v>
      </c>
      <c r="AD21" s="480" t="s">
        <v>125</v>
      </c>
      <c r="AE21" s="480" t="s">
        <v>128</v>
      </c>
      <c r="AF21" s="480" t="s">
        <v>125</v>
      </c>
      <c r="AG21" s="233"/>
      <c r="AH21" s="233"/>
      <c r="AJ21" s="212"/>
      <c r="AL21" s="2"/>
      <c r="AR21" s="480" t="s">
        <v>133</v>
      </c>
      <c r="AS21" s="480" t="s">
        <v>134</v>
      </c>
      <c r="AT21" s="480" t="s">
        <v>703</v>
      </c>
      <c r="AV21" s="480" t="s">
        <v>81</v>
      </c>
      <c r="AW21" s="480" t="s">
        <v>724</v>
      </c>
      <c r="BN21" s="212"/>
    </row>
    <row r="22" spans="1:66" ht="9.9499999999999993" customHeight="1" x14ac:dyDescent="0.15">
      <c r="A22" s="2"/>
      <c r="J22" s="7"/>
      <c r="K22" s="7"/>
      <c r="M22" s="5"/>
      <c r="N22" s="5"/>
      <c r="O22" s="5"/>
      <c r="P22" s="5"/>
      <c r="R22" s="505"/>
      <c r="S22" s="505"/>
      <c r="T22" s="505"/>
      <c r="U22" s="505"/>
      <c r="W22" s="506" t="s">
        <v>193</v>
      </c>
      <c r="X22" s="507"/>
      <c r="Y22" s="236"/>
      <c r="Z22" s="236"/>
      <c r="AA22" s="236"/>
      <c r="AB22" s="481"/>
      <c r="AC22" s="481"/>
      <c r="AD22" s="481"/>
      <c r="AE22" s="481"/>
      <c r="AF22" s="481"/>
      <c r="AG22" s="234"/>
      <c r="AH22" s="234"/>
      <c r="AJ22" s="212"/>
      <c r="AL22" s="2"/>
      <c r="AR22" s="481"/>
      <c r="AS22" s="481"/>
      <c r="AT22" s="481"/>
      <c r="AV22" s="481"/>
      <c r="AW22" s="481"/>
      <c r="BN22" s="212"/>
    </row>
    <row r="23" spans="1:66" ht="9.9499999999999993" customHeight="1" x14ac:dyDescent="0.15">
      <c r="A23" s="2"/>
      <c r="J23" s="7"/>
      <c r="K23" s="7"/>
      <c r="M23" s="5"/>
      <c r="N23" s="5"/>
      <c r="O23" s="5"/>
      <c r="P23" s="5"/>
      <c r="S23" s="12"/>
      <c r="T23" s="2"/>
      <c r="W23" s="507"/>
      <c r="X23" s="507"/>
      <c r="Y23" s="236"/>
      <c r="Z23" s="236"/>
      <c r="AA23" s="236"/>
      <c r="AB23" s="481"/>
      <c r="AC23" s="481"/>
      <c r="AD23" s="481"/>
      <c r="AE23" s="481"/>
      <c r="AF23" s="481"/>
      <c r="AG23" s="234"/>
      <c r="AH23" s="234"/>
      <c r="AJ23" s="212"/>
      <c r="AL23" s="2"/>
      <c r="AR23" s="481"/>
      <c r="AS23" s="481"/>
      <c r="AT23" s="481"/>
      <c r="AV23" s="481"/>
      <c r="AW23" s="481"/>
      <c r="BN23" s="212"/>
    </row>
    <row r="24" spans="1:66" ht="9.9499999999999993" customHeight="1" x14ac:dyDescent="0.2">
      <c r="A24" s="2"/>
      <c r="J24" s="7"/>
      <c r="K24" s="7"/>
      <c r="M24" s="5"/>
      <c r="N24" s="5"/>
      <c r="O24" s="5"/>
      <c r="P24" s="5"/>
      <c r="S24" s="514" t="s">
        <v>202</v>
      </c>
      <c r="T24" s="515"/>
      <c r="V24" s="519" t="s">
        <v>123</v>
      </c>
      <c r="W24" s="520"/>
      <c r="X24" s="2"/>
      <c r="Y24" s="2"/>
      <c r="Z24" s="2"/>
      <c r="AA24" s="2"/>
      <c r="AB24" s="481"/>
      <c r="AC24" s="481"/>
      <c r="AD24" s="481"/>
      <c r="AE24" s="481"/>
      <c r="AF24" s="481"/>
      <c r="AG24" s="234"/>
      <c r="AH24" s="234"/>
      <c r="AJ24" s="218">
        <v>89.3</v>
      </c>
      <c r="AK24" s="215" t="s">
        <v>69</v>
      </c>
      <c r="AQ24" s="470"/>
      <c r="AR24" s="481"/>
      <c r="AS24" s="481"/>
      <c r="AT24" s="481"/>
      <c r="AV24" s="481"/>
      <c r="AW24" s="481"/>
    </row>
    <row r="25" spans="1:66" ht="9.9499999999999993" customHeight="1" x14ac:dyDescent="0.2">
      <c r="A25" s="2"/>
      <c r="J25" s="7"/>
      <c r="K25" s="7"/>
      <c r="M25" s="5"/>
      <c r="N25" s="5"/>
      <c r="O25" s="5"/>
      <c r="P25" s="5"/>
      <c r="S25" s="516"/>
      <c r="T25" s="515"/>
      <c r="V25" s="521"/>
      <c r="W25" s="520"/>
      <c r="X25" s="2"/>
      <c r="Y25" s="2"/>
      <c r="Z25" s="2"/>
      <c r="AA25" s="2"/>
      <c r="AB25" s="481"/>
      <c r="AC25" s="481"/>
      <c r="AD25" s="481"/>
      <c r="AE25" s="481"/>
      <c r="AF25" s="481"/>
      <c r="AG25" s="234"/>
      <c r="AH25" s="234"/>
      <c r="AJ25" s="460">
        <v>48.6</v>
      </c>
      <c r="AK25" s="215" t="s">
        <v>726</v>
      </c>
      <c r="AL25" s="79"/>
      <c r="AQ25" s="470"/>
      <c r="AR25" s="481"/>
      <c r="AS25" s="481"/>
      <c r="AT25" s="481"/>
      <c r="AV25" s="481"/>
      <c r="AW25" s="481"/>
    </row>
    <row r="26" spans="1:66" ht="9.9499999999999993" customHeight="1" x14ac:dyDescent="0.15">
      <c r="A26" s="2"/>
      <c r="J26" s="7"/>
      <c r="K26" s="7"/>
      <c r="M26" s="5"/>
      <c r="N26" s="5"/>
      <c r="O26" s="5"/>
      <c r="P26" s="5"/>
      <c r="S26" s="516"/>
      <c r="T26" s="515"/>
      <c r="V26" s="521"/>
      <c r="W26" s="520"/>
      <c r="X26" s="2"/>
      <c r="Y26" s="2"/>
      <c r="Z26" s="2"/>
      <c r="AA26" s="2"/>
      <c r="AB26" s="481"/>
      <c r="AC26" s="481"/>
      <c r="AD26" s="481"/>
      <c r="AE26" s="481"/>
      <c r="AF26" s="481"/>
      <c r="AG26" s="234"/>
      <c r="AH26" s="234"/>
      <c r="AJ26" s="80"/>
      <c r="AK26" s="2"/>
      <c r="AL26" s="79"/>
      <c r="AQ26" s="470"/>
      <c r="AR26" s="481"/>
      <c r="AS26" s="481"/>
      <c r="AT26" s="481"/>
      <c r="AV26" s="481"/>
      <c r="AW26" s="481"/>
      <c r="AY26" s="449" t="s">
        <v>727</v>
      </c>
    </row>
    <row r="27" spans="1:66" ht="9.9499999999999993" customHeight="1" x14ac:dyDescent="0.15">
      <c r="A27" s="2"/>
      <c r="J27" s="7"/>
      <c r="K27" s="7"/>
      <c r="M27" s="5"/>
      <c r="N27" s="5"/>
      <c r="O27" s="5"/>
      <c r="P27" s="5"/>
      <c r="S27" s="516"/>
      <c r="T27" s="515"/>
      <c r="V27" s="521"/>
      <c r="W27" s="520"/>
      <c r="X27" s="2"/>
      <c r="Y27" s="2"/>
      <c r="Z27" s="2"/>
      <c r="AA27" s="2"/>
      <c r="AB27" s="481"/>
      <c r="AC27" s="481"/>
      <c r="AD27" s="481"/>
      <c r="AE27" s="481"/>
      <c r="AF27" s="481"/>
      <c r="AG27" s="234"/>
      <c r="AH27" s="234"/>
      <c r="AJ27" s="212"/>
      <c r="AK27" s="219"/>
      <c r="AL27" s="220"/>
      <c r="AM27" s="220"/>
      <c r="AQ27" s="471"/>
      <c r="AR27" s="481"/>
      <c r="AS27" s="481"/>
      <c r="AT27" s="481"/>
      <c r="AV27" s="481"/>
      <c r="AW27" s="481"/>
      <c r="AZ27" s="2" t="s">
        <v>728</v>
      </c>
      <c r="BM27" s="220"/>
      <c r="BN27" s="220"/>
    </row>
    <row r="28" spans="1:66" ht="12" customHeight="1" x14ac:dyDescent="0.15">
      <c r="S28" s="517"/>
      <c r="T28" s="518"/>
      <c r="V28" s="522"/>
      <c r="W28" s="523"/>
      <c r="X28" s="2"/>
      <c r="Y28" s="2"/>
      <c r="Z28" s="2"/>
      <c r="AA28" s="2"/>
      <c r="AB28" s="482"/>
      <c r="AC28" s="482"/>
      <c r="AD28" s="482"/>
      <c r="AE28" s="482"/>
      <c r="AF28" s="482"/>
      <c r="AG28" s="235"/>
      <c r="AH28" s="235"/>
      <c r="AI28" s="62"/>
      <c r="AJ28" s="221">
        <f>8.021/365.25</f>
        <v>2.1960301163586587E-2</v>
      </c>
      <c r="AK28" s="221">
        <v>2.0619999999999998</v>
      </c>
      <c r="AL28" s="222">
        <v>30.07</v>
      </c>
      <c r="AM28" s="212" t="s">
        <v>71</v>
      </c>
      <c r="AQ28" s="472"/>
      <c r="AR28" s="482"/>
      <c r="AS28" s="482"/>
      <c r="AT28" s="482"/>
      <c r="AV28" s="482"/>
      <c r="AW28" s="482"/>
      <c r="AY28" s="2" t="s">
        <v>720</v>
      </c>
      <c r="BG28" s="466"/>
      <c r="BH28" s="2" t="s">
        <v>720</v>
      </c>
      <c r="BM28" s="223"/>
      <c r="BN28" s="223"/>
    </row>
    <row r="29" spans="1:66" ht="12" customHeight="1" x14ac:dyDescent="0.2">
      <c r="R29" s="16"/>
      <c r="S29" s="424" t="s">
        <v>697</v>
      </c>
      <c r="T29" s="17"/>
      <c r="U29" s="17"/>
      <c r="V29" s="17"/>
      <c r="W29" s="17"/>
      <c r="X29" s="17"/>
      <c r="Y29" s="17"/>
      <c r="Z29" s="462" t="s">
        <v>729</v>
      </c>
      <c r="AA29" s="438"/>
      <c r="AB29" s="490" t="s">
        <v>78</v>
      </c>
      <c r="AC29" s="493" t="s">
        <v>114</v>
      </c>
      <c r="AD29" s="496" t="s">
        <v>75</v>
      </c>
      <c r="AE29" s="508" t="s">
        <v>126</v>
      </c>
      <c r="AF29" s="496" t="s">
        <v>76</v>
      </c>
      <c r="AG29" s="508" t="s">
        <v>700</v>
      </c>
      <c r="AH29" s="496" t="s">
        <v>701</v>
      </c>
      <c r="AI29" s="526" t="s">
        <v>707</v>
      </c>
      <c r="AJ29" s="502" t="s">
        <v>72</v>
      </c>
      <c r="AK29" s="486" t="s">
        <v>189</v>
      </c>
      <c r="AL29" s="486" t="s">
        <v>190</v>
      </c>
      <c r="AM29" s="488" t="s">
        <v>73</v>
      </c>
      <c r="AN29" s="511" t="s">
        <v>708</v>
      </c>
      <c r="AO29" s="486" t="s">
        <v>191</v>
      </c>
      <c r="AP29" s="486" t="s">
        <v>192</v>
      </c>
      <c r="AR29" s="10"/>
      <c r="AS29" s="10"/>
      <c r="AT29" s="10"/>
      <c r="AV29" s="483" t="s">
        <v>706</v>
      </c>
      <c r="AW29" s="483" t="s">
        <v>706</v>
      </c>
      <c r="AY29" s="56" t="s">
        <v>709</v>
      </c>
      <c r="AZ29" s="448"/>
      <c r="BA29" s="78"/>
      <c r="BB29" s="56" t="s">
        <v>710</v>
      </c>
      <c r="BC29" s="448"/>
      <c r="BD29" s="78"/>
      <c r="BE29" s="56" t="s">
        <v>711</v>
      </c>
      <c r="BF29" s="448"/>
      <c r="BG29" s="467"/>
      <c r="BH29" s="463" t="s">
        <v>721</v>
      </c>
      <c r="BI29" s="456" t="s">
        <v>721</v>
      </c>
      <c r="BJ29" s="456" t="s">
        <v>721</v>
      </c>
      <c r="BK29" s="456" t="s">
        <v>721</v>
      </c>
      <c r="BL29" s="458"/>
    </row>
    <row r="30" spans="1:66" ht="12" customHeight="1" x14ac:dyDescent="0.2">
      <c r="R30" s="15"/>
      <c r="S30" s="10" t="s">
        <v>1</v>
      </c>
      <c r="T30" s="10"/>
      <c r="U30" s="10"/>
      <c r="V30" s="10" t="s">
        <v>194</v>
      </c>
      <c r="W30" s="10"/>
      <c r="X30" s="10"/>
      <c r="Y30" s="10" t="s">
        <v>699</v>
      </c>
      <c r="Z30" s="10"/>
      <c r="AA30" s="439"/>
      <c r="AB30" s="491"/>
      <c r="AC30" s="494"/>
      <c r="AD30" s="497"/>
      <c r="AE30" s="509"/>
      <c r="AF30" s="497"/>
      <c r="AG30" s="509"/>
      <c r="AH30" s="497"/>
      <c r="AI30" s="527"/>
      <c r="AJ30" s="503"/>
      <c r="AK30" s="487"/>
      <c r="AL30" s="487"/>
      <c r="AM30" s="489"/>
      <c r="AN30" s="512"/>
      <c r="AO30" s="487"/>
      <c r="AP30" s="487"/>
      <c r="AR30" s="10"/>
      <c r="AS30" s="10"/>
      <c r="AT30" s="10"/>
      <c r="AV30" s="484"/>
      <c r="AW30" s="484"/>
      <c r="AY30" s="454" t="s">
        <v>730</v>
      </c>
      <c r="AZ30" s="455"/>
      <c r="BA30" s="78"/>
      <c r="BB30" s="454" t="s">
        <v>730</v>
      </c>
      <c r="BC30" s="455"/>
      <c r="BD30" s="78"/>
      <c r="BE30" s="454" t="s">
        <v>731</v>
      </c>
      <c r="BF30" s="455"/>
      <c r="BG30" s="467"/>
      <c r="BH30" s="464" t="s">
        <v>712</v>
      </c>
      <c r="BI30" s="457" t="s">
        <v>713</v>
      </c>
      <c r="BJ30" s="457" t="s">
        <v>714</v>
      </c>
      <c r="BK30" s="457" t="s">
        <v>731</v>
      </c>
      <c r="BL30" s="459"/>
    </row>
    <row r="31" spans="1:66" ht="12" customHeight="1" x14ac:dyDescent="0.2">
      <c r="R31" s="19" t="s">
        <v>70</v>
      </c>
      <c r="S31" s="73" t="s">
        <v>2</v>
      </c>
      <c r="T31" s="73" t="s">
        <v>3</v>
      </c>
      <c r="U31" s="14" t="s">
        <v>79</v>
      </c>
      <c r="V31" s="73" t="s">
        <v>2</v>
      </c>
      <c r="W31" s="73" t="s">
        <v>3</v>
      </c>
      <c r="X31" s="14" t="s">
        <v>79</v>
      </c>
      <c r="Y31" s="73" t="s">
        <v>2</v>
      </c>
      <c r="Z31" s="73" t="s">
        <v>3</v>
      </c>
      <c r="AA31" s="440" t="s">
        <v>79</v>
      </c>
      <c r="AB31" s="492"/>
      <c r="AC31" s="495"/>
      <c r="AD31" s="498"/>
      <c r="AE31" s="510"/>
      <c r="AF31" s="498"/>
      <c r="AG31" s="510"/>
      <c r="AH31" s="498"/>
      <c r="AI31" s="528"/>
      <c r="AJ31" s="503"/>
      <c r="AK31" s="487"/>
      <c r="AL31" s="487"/>
      <c r="AM31" s="489"/>
      <c r="AN31" s="513"/>
      <c r="AO31" s="487"/>
      <c r="AP31" s="487"/>
      <c r="AR31" s="10"/>
      <c r="AS31" s="10"/>
      <c r="AT31" s="10"/>
      <c r="AV31" s="485"/>
      <c r="AW31" s="485"/>
      <c r="AX31" s="447"/>
      <c r="AY31" s="450" t="s">
        <v>716</v>
      </c>
      <c r="AZ31" s="450" t="s">
        <v>717</v>
      </c>
      <c r="BA31" s="451" t="s">
        <v>718</v>
      </c>
      <c r="BB31" s="450" t="s">
        <v>716</v>
      </c>
      <c r="BC31" s="450" t="s">
        <v>717</v>
      </c>
      <c r="BD31" s="451" t="s">
        <v>718</v>
      </c>
      <c r="BE31" s="450" t="s">
        <v>716</v>
      </c>
      <c r="BF31" s="450" t="s">
        <v>717</v>
      </c>
      <c r="BG31" s="468" t="s">
        <v>718</v>
      </c>
      <c r="BH31" s="465" t="s">
        <v>715</v>
      </c>
      <c r="BI31" s="452" t="s">
        <v>715</v>
      </c>
      <c r="BJ31" s="452" t="s">
        <v>715</v>
      </c>
      <c r="BK31" s="452" t="s">
        <v>722</v>
      </c>
      <c r="BL31" s="453" t="s">
        <v>719</v>
      </c>
    </row>
    <row r="32" spans="1:66" ht="12" customHeight="1" x14ac:dyDescent="0.15">
      <c r="R32" s="57">
        <v>40614</v>
      </c>
      <c r="S32" s="73"/>
      <c r="T32" s="73"/>
      <c r="U32" s="14"/>
      <c r="V32" s="73"/>
      <c r="W32" s="73"/>
      <c r="X32" s="14"/>
      <c r="Y32" s="430"/>
      <c r="Z32" s="430"/>
      <c r="AA32" s="441"/>
      <c r="AB32" s="442"/>
      <c r="AC32" s="436"/>
      <c r="AD32" s="58"/>
      <c r="AE32" s="58"/>
      <c r="AF32" s="58"/>
      <c r="AG32" s="434"/>
      <c r="AH32" s="434"/>
      <c r="AI32" s="60"/>
      <c r="AJ32" s="224">
        <v>1</v>
      </c>
      <c r="AK32" s="225">
        <v>1</v>
      </c>
      <c r="AL32" s="225">
        <v>1</v>
      </c>
      <c r="AM32" s="225">
        <f>AK32+AL32</f>
        <v>2</v>
      </c>
      <c r="AN32" s="226">
        <v>5000</v>
      </c>
      <c r="AO32" s="226">
        <v>500</v>
      </c>
      <c r="AP32" s="226">
        <v>500</v>
      </c>
      <c r="AR32" s="10"/>
      <c r="AS32" s="10"/>
      <c r="AT32" s="10"/>
      <c r="AV32" s="10"/>
      <c r="AW32" s="10"/>
      <c r="AY32" s="10"/>
      <c r="AZ32" s="10"/>
      <c r="BA32" s="10"/>
      <c r="BB32" s="10"/>
      <c r="BC32" s="10"/>
      <c r="BD32" s="10"/>
      <c r="BE32" s="10"/>
      <c r="BF32" s="10"/>
      <c r="BG32" s="439"/>
      <c r="BH32" s="59"/>
      <c r="BI32" s="10"/>
      <c r="BJ32" s="10"/>
      <c r="BK32" s="10"/>
      <c r="BL32" s="10"/>
    </row>
    <row r="33" spans="1:64" ht="9.9499999999999993" customHeight="1" x14ac:dyDescent="0.15">
      <c r="A33" s="2"/>
      <c r="R33" s="57">
        <v>40923</v>
      </c>
      <c r="S33" s="227"/>
      <c r="T33" s="227"/>
      <c r="U33" s="227"/>
      <c r="V33" s="227"/>
      <c r="W33" s="227"/>
      <c r="X33" s="227"/>
      <c r="Y33" s="227"/>
      <c r="Z33" s="227"/>
      <c r="AA33" s="443"/>
      <c r="AB33" s="444">
        <f t="shared" ref="AB33:AB64" si="0">IF(MONTH(R33)&lt;=3,(INDEX(月値割合表,MATCH(MONTH(R33),月,0),2)*INDEX(年度別焼却量,MATCH(YEAR(R33)-1,年度,0),2)),(INDEX(月値割合表,MATCH(MONTH(R33),月,0),2)*INDEX(年度別焼却量,MATCH(YEAR(R33),年度,0),2)))</f>
        <v>1770.1754191650202</v>
      </c>
      <c r="AC33" s="437">
        <f t="shared" ref="AC33:AC64" si="1">AB33*飛灰発生率</f>
        <v>88.50877095825102</v>
      </c>
      <c r="AD33" s="52"/>
      <c r="AE33" s="52">
        <f t="shared" ref="AE33:AE64" si="2">AB33*主灰発生率</f>
        <v>177.01754191650204</v>
      </c>
      <c r="AF33" s="52"/>
      <c r="AG33" s="52">
        <f t="shared" ref="AG33:AG64" si="3">AB33*混合灰発生率</f>
        <v>53.105262574950608</v>
      </c>
      <c r="AH33" s="435"/>
      <c r="AI33" s="61"/>
      <c r="AJ33" s="228">
        <f t="shared" ref="AJ33:AJ64" si="4">1*2.71828^(-0.69315/半I131*(R33-事故日)/365.25)</f>
        <v>2.5299897218690568E-12</v>
      </c>
      <c r="AK33" s="229">
        <f t="shared" ref="AK33:AK64" si="5">1*2.71828^(-0.69315/半Cs134*(R33-事故日)/365.25)</f>
        <v>0.75247696235032346</v>
      </c>
      <c r="AL33" s="229">
        <f t="shared" ref="AL33:AL64" si="6">1*2.71828^(-0.69315/半Cs137*(R33-事故日)/365.25)</f>
        <v>0.98068769961179392</v>
      </c>
      <c r="AM33" s="229">
        <f>AK33+AL33</f>
        <v>1.7331646619621175</v>
      </c>
      <c r="AN33" s="52">
        <f t="shared" ref="AN33:AN64" si="7">2500*2.71828^(-0.69315/半Cs134*(R33-事故日)/365.25)+2500*2.71828^(-0.69315/半Cs137*(R33-事故日)/365.25)</f>
        <v>4332.9116549052933</v>
      </c>
      <c r="AO33" s="52">
        <f t="shared" ref="AO33:AO64" si="8">500*2.71828^(-0.69315/半Cs134*(R33-事故日)/365.25)</f>
        <v>376.23848117516172</v>
      </c>
      <c r="AP33" s="52">
        <f t="shared" ref="AP33:AP64" si="9">500*2.71828^(-0.69315/半Cs137*(R33-事故日)/365.25)</f>
        <v>490.34384980589698</v>
      </c>
      <c r="AR33" s="10"/>
      <c r="AS33" s="10"/>
      <c r="AT33" s="14"/>
      <c r="AV33" s="52"/>
      <c r="AW33" s="52"/>
      <c r="AY33" s="10"/>
      <c r="AZ33" s="10"/>
      <c r="BA33" s="10"/>
      <c r="BB33" s="10"/>
      <c r="BC33" s="10"/>
      <c r="BD33" s="10"/>
      <c r="BE33" s="10"/>
      <c r="BF33" s="10"/>
      <c r="BG33" s="439"/>
      <c r="BH33" s="59"/>
      <c r="BI33" s="10"/>
      <c r="BJ33" s="10"/>
      <c r="BK33" s="10"/>
      <c r="BL33" s="10"/>
    </row>
    <row r="34" spans="1:64" ht="9.9499999999999993" customHeight="1" x14ac:dyDescent="0.15">
      <c r="A34" s="2"/>
      <c r="R34" s="57">
        <v>40954</v>
      </c>
      <c r="S34" s="227"/>
      <c r="T34" s="227"/>
      <c r="U34" s="227"/>
      <c r="V34" s="227"/>
      <c r="W34" s="227"/>
      <c r="X34" s="227"/>
      <c r="Y34" s="227"/>
      <c r="Z34" s="227"/>
      <c r="AA34" s="443"/>
      <c r="AB34" s="444">
        <f t="shared" si="0"/>
        <v>1514.7028955426845</v>
      </c>
      <c r="AC34" s="437">
        <f t="shared" si="1"/>
        <v>75.735144777134224</v>
      </c>
      <c r="AD34" s="52"/>
      <c r="AE34" s="52">
        <f t="shared" si="2"/>
        <v>151.47028955426845</v>
      </c>
      <c r="AF34" s="52"/>
      <c r="AG34" s="52">
        <f t="shared" si="3"/>
        <v>45.441086866280536</v>
      </c>
      <c r="AH34" s="435"/>
      <c r="AI34" s="61"/>
      <c r="AJ34" s="228">
        <f t="shared" si="4"/>
        <v>1.7365112311999602E-13</v>
      </c>
      <c r="AK34" s="229">
        <f t="shared" si="5"/>
        <v>0.73131176331012648</v>
      </c>
      <c r="AL34" s="229">
        <f t="shared" si="6"/>
        <v>0.97877092547860978</v>
      </c>
      <c r="AM34" s="229">
        <f t="shared" ref="AM34:AM97" si="10">AK34+AL34</f>
        <v>1.7100826887887361</v>
      </c>
      <c r="AN34" s="52">
        <f t="shared" si="7"/>
        <v>4275.206721971841</v>
      </c>
      <c r="AO34" s="52">
        <f t="shared" si="8"/>
        <v>365.65588165506324</v>
      </c>
      <c r="AP34" s="52">
        <f t="shared" si="9"/>
        <v>489.3854627393049</v>
      </c>
      <c r="AR34" s="10"/>
      <c r="AS34" s="10"/>
      <c r="AT34" s="14"/>
      <c r="AV34" s="52"/>
      <c r="AW34" s="52"/>
      <c r="AY34" s="10"/>
      <c r="AZ34" s="10"/>
      <c r="BA34" s="10"/>
      <c r="BB34" s="10"/>
      <c r="BC34" s="10"/>
      <c r="BD34" s="10"/>
      <c r="BE34" s="10"/>
      <c r="BF34" s="10"/>
      <c r="BG34" s="439"/>
      <c r="BH34" s="59"/>
      <c r="BI34" s="10"/>
      <c r="BJ34" s="10"/>
      <c r="BK34" s="10"/>
      <c r="BL34" s="10"/>
    </row>
    <row r="35" spans="1:64" ht="9.9499999999999993" customHeight="1" x14ac:dyDescent="0.15">
      <c r="A35" s="2"/>
      <c r="R35" s="57">
        <v>40983</v>
      </c>
      <c r="S35" s="227"/>
      <c r="T35" s="227"/>
      <c r="U35" s="227"/>
      <c r="V35" s="227"/>
      <c r="W35" s="227"/>
      <c r="X35" s="227"/>
      <c r="Y35" s="227"/>
      <c r="Z35" s="227"/>
      <c r="AA35" s="443"/>
      <c r="AB35" s="444">
        <f t="shared" si="0"/>
        <v>1836.3243775090402</v>
      </c>
      <c r="AC35" s="437">
        <f t="shared" si="1"/>
        <v>91.816218875452023</v>
      </c>
      <c r="AD35" s="52"/>
      <c r="AE35" s="52">
        <f t="shared" si="2"/>
        <v>183.63243775090405</v>
      </c>
      <c r="AF35" s="52"/>
      <c r="AG35" s="52">
        <f t="shared" si="3"/>
        <v>55.089731325271202</v>
      </c>
      <c r="AH35" s="435"/>
      <c r="AI35" s="61"/>
      <c r="AJ35" s="228">
        <f t="shared" si="4"/>
        <v>1.4167628365199629E-14</v>
      </c>
      <c r="AK35" s="229">
        <f t="shared" si="5"/>
        <v>0.71205133808378474</v>
      </c>
      <c r="AL35" s="229">
        <f t="shared" si="6"/>
        <v>0.97698120595402671</v>
      </c>
      <c r="AM35" s="229">
        <f t="shared" si="10"/>
        <v>1.6890325440378113</v>
      </c>
      <c r="AN35" s="52">
        <f t="shared" si="7"/>
        <v>4222.5813600945285</v>
      </c>
      <c r="AO35" s="52">
        <f t="shared" si="8"/>
        <v>356.02566904189234</v>
      </c>
      <c r="AP35" s="52">
        <f t="shared" si="9"/>
        <v>488.49060297701334</v>
      </c>
      <c r="AQ35" s="473">
        <f>AO35/500</f>
        <v>0.71205133808378474</v>
      </c>
      <c r="AR35" s="10"/>
      <c r="AS35" s="10"/>
      <c r="AT35" s="14"/>
      <c r="AV35" s="52"/>
      <c r="AW35" s="52"/>
      <c r="AY35" s="10"/>
      <c r="AZ35" s="10"/>
      <c r="BA35" s="10"/>
      <c r="BB35" s="10"/>
      <c r="BC35" s="10"/>
      <c r="BD35" s="10"/>
      <c r="BE35" s="10"/>
      <c r="BF35" s="10"/>
      <c r="BG35" s="439"/>
      <c r="BH35" s="59"/>
      <c r="BI35" s="10"/>
      <c r="BJ35" s="10"/>
      <c r="BK35" s="10"/>
      <c r="BL35" s="10"/>
    </row>
    <row r="36" spans="1:64" ht="9.9499999999999993" customHeight="1" x14ac:dyDescent="0.15">
      <c r="A36" s="2"/>
      <c r="R36" s="57">
        <v>41014</v>
      </c>
      <c r="S36" s="52">
        <f t="shared" ref="S36:S96" si="11">U36*AR36/AT36</f>
        <v>820.11743767305529</v>
      </c>
      <c r="T36" s="52">
        <f t="shared" ref="T36:T96" si="12">U36*AS36/AT36</f>
        <v>1238.7995258111951</v>
      </c>
      <c r="U36" s="52">
        <f t="shared" ref="U36:U94" si="13">AT36*U37/AT37</f>
        <v>2058.9169634842506</v>
      </c>
      <c r="V36" s="227">
        <f t="shared" ref="V36:V96" si="14">X36*AR36/AT36</f>
        <v>152.71152287705158</v>
      </c>
      <c r="W36" s="227">
        <f t="shared" ref="W36:W96" si="15">X36*AS36/AT36</f>
        <v>230.67301515104995</v>
      </c>
      <c r="X36" s="227">
        <f t="shared" ref="X36:X94" si="16">AT36*X37/AT37</f>
        <v>383.38453802810153</v>
      </c>
      <c r="Y36" s="52">
        <f t="shared" ref="Y36:Y96" si="17">AA36*AR36/AT36</f>
        <v>282.79911643898419</v>
      </c>
      <c r="Z36" s="52">
        <f t="shared" ref="Z36:Z96" si="18">AA36*AS36/AT36</f>
        <v>427.17225027972188</v>
      </c>
      <c r="AA36" s="445">
        <f t="shared" ref="AA36:AA94" si="19">AT36*AA37/AT37</f>
        <v>709.97136671870612</v>
      </c>
      <c r="AB36" s="444">
        <f t="shared" si="0"/>
        <v>1616.9825640585625</v>
      </c>
      <c r="AC36" s="437">
        <f t="shared" si="1"/>
        <v>80.849128202928128</v>
      </c>
      <c r="AD36" s="52">
        <f t="shared" ref="AD36:AD97" si="20">(AC36*U36)/10^3</f>
        <v>166.46164153992166</v>
      </c>
      <c r="AE36" s="52">
        <f t="shared" si="2"/>
        <v>161.69825640585626</v>
      </c>
      <c r="AF36" s="52">
        <f t="shared" ref="AF36:AF97" si="21">(AE36*X36)/10^3</f>
        <v>61.992611332108709</v>
      </c>
      <c r="AG36" s="52">
        <f t="shared" si="3"/>
        <v>48.509476921756871</v>
      </c>
      <c r="AH36" s="435">
        <f t="shared" ref="AH36:AH97" si="22">(AG36*AA36)/10^3</f>
        <v>34.44033962894926</v>
      </c>
      <c r="AI36" s="61">
        <f>(AD36+AF36+AH36)</f>
        <v>262.89459250097963</v>
      </c>
      <c r="AJ36" s="228">
        <f t="shared" si="4"/>
        <v>9.7242473212345822E-16</v>
      </c>
      <c r="AK36" s="229">
        <f t="shared" si="5"/>
        <v>0.69202320559410779</v>
      </c>
      <c r="AL36" s="229">
        <f t="shared" si="6"/>
        <v>0.9750716762383782</v>
      </c>
      <c r="AM36" s="229">
        <f t="shared" si="10"/>
        <v>1.667094881832486</v>
      </c>
      <c r="AN36" s="52">
        <f t="shared" si="7"/>
        <v>4167.7372045812153</v>
      </c>
      <c r="AO36" s="52">
        <f t="shared" si="8"/>
        <v>346.01160279705391</v>
      </c>
      <c r="AP36" s="52">
        <f t="shared" si="9"/>
        <v>487.53583811918912</v>
      </c>
      <c r="AR36" s="10">
        <v>411.19404766024519</v>
      </c>
      <c r="AS36" s="10">
        <v>621.11469389456863</v>
      </c>
      <c r="AT36" s="52">
        <f>AS36+AR36</f>
        <v>1032.3087415548139</v>
      </c>
      <c r="AV36" s="52">
        <f t="shared" ref="AV36:AV67" ca="1" si="23">(AI36+BG36)*AO36/(AO36+AP36)*2.71828^(-0.69315/半Cs134*(NOW()-R36)/365.25)+(AI36+BG36)*AP36/(AO36+AP36)*2.71828^(-0.69315/半Cs137*(NOW()-R36)/365.25)</f>
        <v>137.10012117164379</v>
      </c>
      <c r="AW36" s="52">
        <f t="shared" ref="AW36:AW67" ca="1" si="24">AI36*AO36/(AO36+AP36)*2.71828^(-0.69315/半Cs134*(NOW()-R36)/365.25)+AI36*AP36/(AO36+AP36)*2.71828^(-0.69315/半Cs137*(NOW()-R36)/365.25)</f>
        <v>137.10012117164379</v>
      </c>
      <c r="AY36" s="227">
        <v>0</v>
      </c>
      <c r="AZ36" s="227">
        <v>0</v>
      </c>
      <c r="BA36" s="227">
        <v>0</v>
      </c>
      <c r="BB36" s="227">
        <v>0</v>
      </c>
      <c r="BC36" s="227">
        <v>0</v>
      </c>
      <c r="BD36" s="227">
        <v>0</v>
      </c>
      <c r="BE36" s="227">
        <v>0</v>
      </c>
      <c r="BF36" s="227">
        <v>0</v>
      </c>
      <c r="BG36" s="443">
        <v>0</v>
      </c>
      <c r="BH36" s="437">
        <v>0</v>
      </c>
      <c r="BI36" s="52">
        <v>0</v>
      </c>
      <c r="BJ36" s="52">
        <v>0</v>
      </c>
      <c r="BK36" s="52"/>
      <c r="BL36" s="34">
        <v>41000</v>
      </c>
    </row>
    <row r="37" spans="1:64" ht="9.9499999999999993" customHeight="1" x14ac:dyDescent="0.15">
      <c r="A37" s="2"/>
      <c r="R37" s="57">
        <v>41044</v>
      </c>
      <c r="S37" s="52">
        <f t="shared" si="11"/>
        <v>1150.405431522483</v>
      </c>
      <c r="T37" s="52">
        <f t="shared" si="12"/>
        <v>1787.072687533514</v>
      </c>
      <c r="U37" s="52">
        <f t="shared" si="13"/>
        <v>2937.4781190559966</v>
      </c>
      <c r="V37" s="227">
        <f t="shared" si="14"/>
        <v>214.21342518004838</v>
      </c>
      <c r="W37" s="227">
        <f t="shared" si="15"/>
        <v>332.76525905796433</v>
      </c>
      <c r="X37" s="227">
        <f t="shared" si="16"/>
        <v>546.97868423801265</v>
      </c>
      <c r="Y37" s="52">
        <f t="shared" si="17"/>
        <v>396.69152811120045</v>
      </c>
      <c r="Z37" s="52">
        <f t="shared" si="18"/>
        <v>616.23196121845217</v>
      </c>
      <c r="AA37" s="445">
        <f t="shared" si="19"/>
        <v>1012.9234893296525</v>
      </c>
      <c r="AB37" s="444">
        <f t="shared" si="0"/>
        <v>1816.8874001550219</v>
      </c>
      <c r="AC37" s="437">
        <f t="shared" si="1"/>
        <v>90.844370007751095</v>
      </c>
      <c r="AD37" s="52">
        <f t="shared" si="20"/>
        <v>266.85334913719566</v>
      </c>
      <c r="AE37" s="52">
        <f t="shared" si="2"/>
        <v>181.68874001550219</v>
      </c>
      <c r="AF37" s="52">
        <f t="shared" si="21"/>
        <v>99.379867954541737</v>
      </c>
      <c r="AG37" s="52">
        <f t="shared" si="3"/>
        <v>54.506622004650652</v>
      </c>
      <c r="AH37" s="435">
        <f t="shared" si="22"/>
        <v>55.211037752523161</v>
      </c>
      <c r="AI37" s="61">
        <f t="shared" ref="AI37:AI100" si="25">(AD37+AF37+AH37)</f>
        <v>421.44425484426057</v>
      </c>
      <c r="AJ37" s="228">
        <f t="shared" si="4"/>
        <v>7.2768797051916521E-17</v>
      </c>
      <c r="AK37" s="229">
        <f t="shared" si="5"/>
        <v>0.67317767880632884</v>
      </c>
      <c r="AL37" s="229">
        <f t="shared" si="6"/>
        <v>0.97322729789583196</v>
      </c>
      <c r="AM37" s="229">
        <f t="shared" si="10"/>
        <v>1.6464049767021609</v>
      </c>
      <c r="AN37" s="52">
        <f t="shared" si="7"/>
        <v>4116.0124417554016</v>
      </c>
      <c r="AO37" s="52">
        <f t="shared" si="8"/>
        <v>336.5888394031644</v>
      </c>
      <c r="AP37" s="52">
        <f t="shared" si="9"/>
        <v>486.61364894791598</v>
      </c>
      <c r="AR37" s="10">
        <v>576.79527846674182</v>
      </c>
      <c r="AS37" s="10">
        <v>896.01027620500838</v>
      </c>
      <c r="AT37" s="52">
        <f t="shared" ref="AT37:AT100" si="26">AS37+AR37</f>
        <v>1472.8055546717501</v>
      </c>
      <c r="AV37" s="52">
        <f t="shared" ca="1" si="23"/>
        <v>222.54609150417051</v>
      </c>
      <c r="AW37" s="52">
        <f t="shared" ca="1" si="24"/>
        <v>222.54609150417051</v>
      </c>
      <c r="AY37" s="227">
        <v>0</v>
      </c>
      <c r="AZ37" s="227">
        <v>0</v>
      </c>
      <c r="BA37" s="227">
        <v>0</v>
      </c>
      <c r="BB37" s="227">
        <v>0</v>
      </c>
      <c r="BC37" s="227">
        <v>0</v>
      </c>
      <c r="BD37" s="227">
        <v>0</v>
      </c>
      <c r="BE37" s="227">
        <v>0</v>
      </c>
      <c r="BF37" s="227">
        <v>0</v>
      </c>
      <c r="BG37" s="443">
        <v>0</v>
      </c>
      <c r="BH37" s="437">
        <v>0</v>
      </c>
      <c r="BI37" s="52">
        <v>0</v>
      </c>
      <c r="BJ37" s="52">
        <v>0</v>
      </c>
      <c r="BK37" s="52"/>
      <c r="BL37" s="34">
        <v>41030</v>
      </c>
    </row>
    <row r="38" spans="1:64" ht="9.9499999999999993" customHeight="1" x14ac:dyDescent="0.15">
      <c r="A38" s="2"/>
      <c r="R38" s="57">
        <v>41075</v>
      </c>
      <c r="S38" s="52">
        <f t="shared" si="11"/>
        <v>1153.3028887868618</v>
      </c>
      <c r="T38" s="52">
        <f t="shared" si="12"/>
        <v>1844.6406849255666</v>
      </c>
      <c r="U38" s="52">
        <f t="shared" si="13"/>
        <v>2997.9435737124286</v>
      </c>
      <c r="V38" s="227">
        <f t="shared" si="14"/>
        <v>214.75295170513959</v>
      </c>
      <c r="W38" s="227">
        <f t="shared" si="15"/>
        <v>343.48481719303618</v>
      </c>
      <c r="X38" s="227">
        <f t="shared" si="16"/>
        <v>558.23776889817577</v>
      </c>
      <c r="Y38" s="52">
        <f t="shared" si="17"/>
        <v>397.6906513058139</v>
      </c>
      <c r="Z38" s="52">
        <f t="shared" si="18"/>
        <v>636.08299480191863</v>
      </c>
      <c r="AA38" s="445">
        <f t="shared" si="19"/>
        <v>1033.7736461077325</v>
      </c>
      <c r="AB38" s="444">
        <f t="shared" si="0"/>
        <v>1783.0029452013887</v>
      </c>
      <c r="AC38" s="437">
        <f t="shared" si="1"/>
        <v>89.150147260069446</v>
      </c>
      <c r="AD38" s="52">
        <f t="shared" si="20"/>
        <v>267.26711107384187</v>
      </c>
      <c r="AE38" s="52">
        <f t="shared" si="2"/>
        <v>178.30029452013889</v>
      </c>
      <c r="AF38" s="52">
        <f t="shared" si="21"/>
        <v>99.533958606809975</v>
      </c>
      <c r="AG38" s="52">
        <f t="shared" si="3"/>
        <v>53.49008835604166</v>
      </c>
      <c r="AH38" s="435">
        <f t="shared" si="22"/>
        <v>55.296643670449953</v>
      </c>
      <c r="AI38" s="61">
        <f t="shared" si="25"/>
        <v>422.09771335110179</v>
      </c>
      <c r="AJ38" s="228">
        <f t="shared" si="4"/>
        <v>4.9946382101588171E-18</v>
      </c>
      <c r="AK38" s="229">
        <f t="shared" si="5"/>
        <v>0.6542429601714207</v>
      </c>
      <c r="AL38" s="229">
        <f t="shared" si="6"/>
        <v>0.9713251052701326</v>
      </c>
      <c r="AM38" s="229">
        <f t="shared" si="10"/>
        <v>1.6255680654415534</v>
      </c>
      <c r="AN38" s="52">
        <f t="shared" si="7"/>
        <v>4063.9201636038833</v>
      </c>
      <c r="AO38" s="52">
        <f t="shared" si="8"/>
        <v>327.12148008571035</v>
      </c>
      <c r="AP38" s="52">
        <f t="shared" si="9"/>
        <v>485.66255263506628</v>
      </c>
      <c r="AR38" s="10">
        <v>578.2480181912415</v>
      </c>
      <c r="AS38" s="10">
        <v>924.87396910549933</v>
      </c>
      <c r="AT38" s="52">
        <f t="shared" si="26"/>
        <v>1503.1219872967408</v>
      </c>
      <c r="AV38" s="52">
        <f t="shared" ca="1" si="23"/>
        <v>225.74822496091315</v>
      </c>
      <c r="AW38" s="52">
        <f t="shared" ca="1" si="24"/>
        <v>225.74822496091315</v>
      </c>
      <c r="AY38" s="227">
        <v>0</v>
      </c>
      <c r="AZ38" s="227">
        <v>0</v>
      </c>
      <c r="BA38" s="227">
        <v>0</v>
      </c>
      <c r="BB38" s="227">
        <v>0</v>
      </c>
      <c r="BC38" s="227">
        <v>0</v>
      </c>
      <c r="BD38" s="227">
        <v>0</v>
      </c>
      <c r="BE38" s="227">
        <v>0</v>
      </c>
      <c r="BF38" s="227">
        <v>0</v>
      </c>
      <c r="BG38" s="443">
        <v>0</v>
      </c>
      <c r="BH38" s="437">
        <v>0</v>
      </c>
      <c r="BI38" s="52">
        <v>0</v>
      </c>
      <c r="BJ38" s="52">
        <v>0</v>
      </c>
      <c r="BK38" s="52"/>
      <c r="BL38" s="34">
        <v>41061</v>
      </c>
    </row>
    <row r="39" spans="1:64" ht="9.9499999999999993" customHeight="1" x14ac:dyDescent="0.15">
      <c r="A39" s="2"/>
      <c r="R39" s="57">
        <v>41105</v>
      </c>
      <c r="S39" s="52">
        <f t="shared" si="11"/>
        <v>1021.4815306538138</v>
      </c>
      <c r="T39" s="52">
        <f t="shared" si="12"/>
        <v>1680.9735108470966</v>
      </c>
      <c r="U39" s="52">
        <f t="shared" si="13"/>
        <v>2702.4550415009103</v>
      </c>
      <c r="V39" s="227">
        <f t="shared" si="14"/>
        <v>190.20690570795131</v>
      </c>
      <c r="W39" s="227">
        <f t="shared" si="15"/>
        <v>313.00886064049354</v>
      </c>
      <c r="X39" s="227">
        <f t="shared" si="16"/>
        <v>503.21576634844479</v>
      </c>
      <c r="Y39" s="52">
        <f t="shared" si="17"/>
        <v>352.23501057028011</v>
      </c>
      <c r="Z39" s="52">
        <f t="shared" si="18"/>
        <v>579.64603822313597</v>
      </c>
      <c r="AA39" s="445">
        <f t="shared" si="19"/>
        <v>931.88104879341608</v>
      </c>
      <c r="AB39" s="444">
        <f t="shared" si="0"/>
        <v>1896.970790455827</v>
      </c>
      <c r="AC39" s="437">
        <f t="shared" si="1"/>
        <v>94.848539522791356</v>
      </c>
      <c r="AD39" s="52">
        <f t="shared" si="20"/>
        <v>256.32391381236584</v>
      </c>
      <c r="AE39" s="52">
        <f t="shared" si="2"/>
        <v>189.69707904558271</v>
      </c>
      <c r="AF39" s="52">
        <f t="shared" si="21"/>
        <v>95.458561005984421</v>
      </c>
      <c r="AG39" s="52">
        <f t="shared" si="3"/>
        <v>56.909123713674809</v>
      </c>
      <c r="AH39" s="435">
        <f t="shared" si="22"/>
        <v>53.03253389221355</v>
      </c>
      <c r="AI39" s="61">
        <f t="shared" si="25"/>
        <v>404.8150087105638</v>
      </c>
      <c r="AJ39" s="228">
        <f t="shared" si="4"/>
        <v>3.7376035620682686E-19</v>
      </c>
      <c r="AK39" s="229">
        <f t="shared" si="5"/>
        <v>0.6364262841814281</v>
      </c>
      <c r="AL39" s="229">
        <f t="shared" si="6"/>
        <v>0.96948781368286929</v>
      </c>
      <c r="AM39" s="229">
        <f t="shared" si="10"/>
        <v>1.6059140978642974</v>
      </c>
      <c r="AN39" s="52">
        <f t="shared" si="7"/>
        <v>4014.7852446607435</v>
      </c>
      <c r="AO39" s="52">
        <f t="shared" si="8"/>
        <v>318.21314209071403</v>
      </c>
      <c r="AP39" s="52">
        <f t="shared" si="9"/>
        <v>484.74390684143464</v>
      </c>
      <c r="AR39" s="10">
        <v>512.15485234831783</v>
      </c>
      <c r="AS39" s="10">
        <v>842.81380956372755</v>
      </c>
      <c r="AT39" s="52">
        <f t="shared" si="26"/>
        <v>1354.9686619120453</v>
      </c>
      <c r="AV39" s="52">
        <f t="shared" ca="1" si="23"/>
        <v>219.15470494164694</v>
      </c>
      <c r="AW39" s="52">
        <f t="shared" ca="1" si="24"/>
        <v>219.15470494164694</v>
      </c>
      <c r="AY39" s="227">
        <v>0</v>
      </c>
      <c r="AZ39" s="227">
        <v>0</v>
      </c>
      <c r="BA39" s="227">
        <v>0</v>
      </c>
      <c r="BB39" s="227">
        <v>0</v>
      </c>
      <c r="BC39" s="227">
        <v>0</v>
      </c>
      <c r="BD39" s="227">
        <v>0</v>
      </c>
      <c r="BE39" s="227">
        <v>0</v>
      </c>
      <c r="BF39" s="227">
        <v>0</v>
      </c>
      <c r="BG39" s="443">
        <v>0</v>
      </c>
      <c r="BH39" s="437">
        <v>0</v>
      </c>
      <c r="BI39" s="52">
        <v>0</v>
      </c>
      <c r="BJ39" s="52">
        <v>0</v>
      </c>
      <c r="BK39" s="52"/>
      <c r="BL39" s="34">
        <v>41091</v>
      </c>
    </row>
    <row r="40" spans="1:64" ht="9.9499999999999993" customHeight="1" x14ac:dyDescent="0.15">
      <c r="A40" s="2"/>
      <c r="R40" s="57">
        <v>41136</v>
      </c>
      <c r="S40" s="52">
        <f t="shared" si="11"/>
        <v>824.27826229361176</v>
      </c>
      <c r="T40" s="52">
        <f t="shared" si="12"/>
        <v>1397.0910072113497</v>
      </c>
      <c r="U40" s="52">
        <f t="shared" si="13"/>
        <v>2221.3692695049617</v>
      </c>
      <c r="V40" s="227">
        <f t="shared" si="14"/>
        <v>153.48629711674133</v>
      </c>
      <c r="W40" s="227">
        <f t="shared" si="15"/>
        <v>260.14798065314756</v>
      </c>
      <c r="X40" s="227">
        <f t="shared" si="16"/>
        <v>413.63427776988891</v>
      </c>
      <c r="Y40" s="52">
        <f t="shared" si="17"/>
        <v>284.23388354952095</v>
      </c>
      <c r="Z40" s="52">
        <f t="shared" si="18"/>
        <v>481.75551972805101</v>
      </c>
      <c r="AA40" s="445">
        <f t="shared" si="19"/>
        <v>765.98940327757202</v>
      </c>
      <c r="AB40" s="444">
        <f t="shared" si="0"/>
        <v>1923.6152589675237</v>
      </c>
      <c r="AC40" s="437">
        <f t="shared" si="1"/>
        <v>96.180762948376184</v>
      </c>
      <c r="AD40" s="52">
        <f t="shared" si="20"/>
        <v>213.65299113106431</v>
      </c>
      <c r="AE40" s="52">
        <f t="shared" si="2"/>
        <v>192.36152589675237</v>
      </c>
      <c r="AF40" s="52">
        <f t="shared" si="21"/>
        <v>79.567320835016943</v>
      </c>
      <c r="AG40" s="52">
        <f t="shared" si="3"/>
        <v>57.708457769025706</v>
      </c>
      <c r="AH40" s="435">
        <f t="shared" si="22"/>
        <v>44.204067130564965</v>
      </c>
      <c r="AI40" s="61">
        <f t="shared" si="25"/>
        <v>337.42437909664619</v>
      </c>
      <c r="AJ40" s="228">
        <f t="shared" si="4"/>
        <v>2.5653821860231441E-20</v>
      </c>
      <c r="AK40" s="229">
        <f t="shared" si="5"/>
        <v>0.61852528567505549</v>
      </c>
      <c r="AL40" s="229">
        <f t="shared" si="6"/>
        <v>0.96759292995541935</v>
      </c>
      <c r="AM40" s="229">
        <f t="shared" si="10"/>
        <v>1.5861182156304747</v>
      </c>
      <c r="AN40" s="52">
        <f t="shared" si="7"/>
        <v>3965.2955390761872</v>
      </c>
      <c r="AO40" s="52">
        <f t="shared" si="8"/>
        <v>309.26264283752772</v>
      </c>
      <c r="AP40" s="52">
        <f t="shared" si="9"/>
        <v>483.79646497770966</v>
      </c>
      <c r="AR40" s="10">
        <v>413.28022000427598</v>
      </c>
      <c r="AS40" s="10">
        <v>700.47956526194685</v>
      </c>
      <c r="AT40" s="52">
        <f t="shared" si="26"/>
        <v>1113.7597852662229</v>
      </c>
      <c r="AV40" s="52">
        <f t="shared" ca="1" si="23"/>
        <v>184.95130852063127</v>
      </c>
      <c r="AW40" s="52">
        <f t="shared" ca="1" si="24"/>
        <v>184.95130852063127</v>
      </c>
      <c r="AY40" s="227">
        <v>0</v>
      </c>
      <c r="AZ40" s="227">
        <v>0</v>
      </c>
      <c r="BA40" s="227">
        <v>0</v>
      </c>
      <c r="BB40" s="227">
        <v>0</v>
      </c>
      <c r="BC40" s="227">
        <v>0</v>
      </c>
      <c r="BD40" s="227">
        <v>0</v>
      </c>
      <c r="BE40" s="227">
        <v>0</v>
      </c>
      <c r="BF40" s="227">
        <v>0</v>
      </c>
      <c r="BG40" s="443">
        <v>0</v>
      </c>
      <c r="BH40" s="437">
        <v>0</v>
      </c>
      <c r="BI40" s="52">
        <v>0</v>
      </c>
      <c r="BJ40" s="52">
        <v>0</v>
      </c>
      <c r="BK40" s="52"/>
      <c r="BL40" s="34">
        <v>41122</v>
      </c>
    </row>
    <row r="41" spans="1:64" ht="9.9499999999999993" customHeight="1" x14ac:dyDescent="0.15">
      <c r="A41" s="2"/>
      <c r="R41" s="57">
        <v>41167</v>
      </c>
      <c r="S41" s="52">
        <f t="shared" si="11"/>
        <v>714.6626690515709</v>
      </c>
      <c r="T41" s="52">
        <f t="shared" si="12"/>
        <v>1247.780845844256</v>
      </c>
      <c r="U41" s="52">
        <f t="shared" si="13"/>
        <v>1962.4435148958266</v>
      </c>
      <c r="V41" s="227">
        <f t="shared" si="14"/>
        <v>133.07511768546476</v>
      </c>
      <c r="W41" s="227">
        <f t="shared" si="15"/>
        <v>232.34539888134393</v>
      </c>
      <c r="X41" s="227">
        <f t="shared" si="16"/>
        <v>365.42051656680866</v>
      </c>
      <c r="Y41" s="52">
        <f t="shared" si="17"/>
        <v>246.43540312123105</v>
      </c>
      <c r="Z41" s="52">
        <f t="shared" si="18"/>
        <v>430.26925718767393</v>
      </c>
      <c r="AA41" s="445">
        <f t="shared" si="19"/>
        <v>676.70466030890498</v>
      </c>
      <c r="AB41" s="444">
        <f t="shared" si="0"/>
        <v>1783.6620834119938</v>
      </c>
      <c r="AC41" s="437">
        <f t="shared" si="1"/>
        <v>89.183104170599691</v>
      </c>
      <c r="AD41" s="52">
        <f t="shared" si="20"/>
        <v>175.01680441787229</v>
      </c>
      <c r="AE41" s="52">
        <f t="shared" si="2"/>
        <v>178.36620834119938</v>
      </c>
      <c r="AF41" s="52">
        <f t="shared" si="21"/>
        <v>65.178671990104093</v>
      </c>
      <c r="AG41" s="52">
        <f t="shared" si="3"/>
        <v>53.509862502359809</v>
      </c>
      <c r="AH41" s="435">
        <f t="shared" si="22"/>
        <v>36.210373327835612</v>
      </c>
      <c r="AI41" s="61">
        <f t="shared" si="25"/>
        <v>276.40584973581201</v>
      </c>
      <c r="AJ41" s="228">
        <f t="shared" si="4"/>
        <v>1.7608035873989329E-21</v>
      </c>
      <c r="AK41" s="229">
        <f t="shared" si="5"/>
        <v>0.60112779520329729</v>
      </c>
      <c r="AL41" s="229">
        <f t="shared" si="6"/>
        <v>0.96570174981690582</v>
      </c>
      <c r="AM41" s="229">
        <f t="shared" si="10"/>
        <v>1.566829545020203</v>
      </c>
      <c r="AN41" s="52">
        <f t="shared" si="7"/>
        <v>3917.0738625505078</v>
      </c>
      <c r="AO41" s="52">
        <f t="shared" si="8"/>
        <v>300.56389760164865</v>
      </c>
      <c r="AP41" s="52">
        <f t="shared" si="9"/>
        <v>482.85087490845291</v>
      </c>
      <c r="AQ41" s="474">
        <f>AO41/500</f>
        <v>0.60112779520329729</v>
      </c>
      <c r="AR41" s="10">
        <v>358.32067713714514</v>
      </c>
      <c r="AS41" s="10">
        <v>625.61778719326082</v>
      </c>
      <c r="AT41" s="52">
        <f t="shared" si="26"/>
        <v>983.93846433040596</v>
      </c>
      <c r="AV41" s="52">
        <f t="shared" ca="1" si="23"/>
        <v>153.37055226494286</v>
      </c>
      <c r="AW41" s="52">
        <f t="shared" ca="1" si="24"/>
        <v>153.37055226494286</v>
      </c>
      <c r="AY41" s="227">
        <v>0</v>
      </c>
      <c r="AZ41" s="227">
        <v>0</v>
      </c>
      <c r="BA41" s="227">
        <v>0</v>
      </c>
      <c r="BB41" s="227">
        <v>0</v>
      </c>
      <c r="BC41" s="227">
        <v>0</v>
      </c>
      <c r="BD41" s="227">
        <v>0</v>
      </c>
      <c r="BE41" s="227">
        <v>0</v>
      </c>
      <c r="BF41" s="227">
        <v>0</v>
      </c>
      <c r="BG41" s="443">
        <v>0</v>
      </c>
      <c r="BH41" s="437">
        <v>0</v>
      </c>
      <c r="BI41" s="52">
        <v>0</v>
      </c>
      <c r="BJ41" s="52">
        <v>0</v>
      </c>
      <c r="BK41" s="52"/>
      <c r="BL41" s="34">
        <v>41153</v>
      </c>
    </row>
    <row r="42" spans="1:64" ht="9.9499999999999993" customHeight="1" x14ac:dyDescent="0.15">
      <c r="A42" s="2"/>
      <c r="R42" s="57">
        <v>41197</v>
      </c>
      <c r="S42" s="52">
        <f t="shared" si="11"/>
        <v>615.61690290138267</v>
      </c>
      <c r="T42" s="52">
        <f t="shared" si="12"/>
        <v>1106.2191980749353</v>
      </c>
      <c r="U42" s="52">
        <f t="shared" si="13"/>
        <v>1721.836100976318</v>
      </c>
      <c r="V42" s="227">
        <f t="shared" si="14"/>
        <v>114.63211295405043</v>
      </c>
      <c r="W42" s="227">
        <f t="shared" si="15"/>
        <v>205.98564377947051</v>
      </c>
      <c r="X42" s="227">
        <f t="shared" si="16"/>
        <v>320.61775673352093</v>
      </c>
      <c r="Y42" s="52">
        <f t="shared" si="17"/>
        <v>212.28169065564899</v>
      </c>
      <c r="Z42" s="52">
        <f t="shared" si="18"/>
        <v>381.45489588790838</v>
      </c>
      <c r="AA42" s="445">
        <f t="shared" si="19"/>
        <v>593.73658654355734</v>
      </c>
      <c r="AB42" s="444">
        <f t="shared" si="0"/>
        <v>1835.2753716210957</v>
      </c>
      <c r="AC42" s="437">
        <f t="shared" si="1"/>
        <v>91.763768581054791</v>
      </c>
      <c r="AD42" s="52">
        <f t="shared" si="20"/>
        <v>158.00216950449652</v>
      </c>
      <c r="AE42" s="52">
        <f t="shared" si="2"/>
        <v>183.52753716210958</v>
      </c>
      <c r="AF42" s="52">
        <f t="shared" si="21"/>
        <v>58.842187263743469</v>
      </c>
      <c r="AG42" s="52">
        <f t="shared" si="3"/>
        <v>55.058261148632866</v>
      </c>
      <c r="AH42" s="435">
        <f t="shared" si="22"/>
        <v>32.690104035413036</v>
      </c>
      <c r="AI42" s="61">
        <f t="shared" si="25"/>
        <v>249.53446080365305</v>
      </c>
      <c r="AJ42" s="228">
        <f t="shared" si="4"/>
        <v>1.3176501447049805E-22</v>
      </c>
      <c r="AK42" s="229">
        <f t="shared" si="5"/>
        <v>0.58475757831489616</v>
      </c>
      <c r="AL42" s="229">
        <f t="shared" si="6"/>
        <v>0.96387509498103519</v>
      </c>
      <c r="AM42" s="229">
        <f t="shared" si="10"/>
        <v>1.5486326732959315</v>
      </c>
      <c r="AN42" s="52">
        <f t="shared" si="7"/>
        <v>3871.5816832398286</v>
      </c>
      <c r="AO42" s="52">
        <f t="shared" si="8"/>
        <v>292.37878915744807</v>
      </c>
      <c r="AP42" s="52">
        <f t="shared" si="9"/>
        <v>481.9375474905176</v>
      </c>
      <c r="AR42" s="10">
        <v>308.66068014639461</v>
      </c>
      <c r="AS42" s="10">
        <v>554.64099257116402</v>
      </c>
      <c r="AT42" s="52">
        <f t="shared" si="26"/>
        <v>863.30167271755863</v>
      </c>
      <c r="AV42" s="52">
        <f t="shared" ca="1" si="23"/>
        <v>594.40561854403165</v>
      </c>
      <c r="AW42" s="52">
        <f t="shared" ca="1" si="24"/>
        <v>140.08725201176213</v>
      </c>
      <c r="AY42" s="227">
        <v>227.82557242467655</v>
      </c>
      <c r="AZ42" s="227">
        <v>426.47107836065271</v>
      </c>
      <c r="BA42" s="227">
        <v>654.29665078532935</v>
      </c>
      <c r="BB42" s="227">
        <v>51.226928951859506</v>
      </c>
      <c r="BC42" s="227">
        <v>103.74412305355129</v>
      </c>
      <c r="BD42" s="227">
        <v>154.9710520054108</v>
      </c>
      <c r="BE42" s="227">
        <v>279.0525013765361</v>
      </c>
      <c r="BF42" s="227">
        <v>530.21520141420399</v>
      </c>
      <c r="BG42" s="443">
        <v>809.26770279074015</v>
      </c>
      <c r="BH42" s="437">
        <v>1799</v>
      </c>
      <c r="BI42" s="52">
        <v>2069</v>
      </c>
      <c r="BJ42" s="52">
        <v>2069</v>
      </c>
      <c r="BK42" s="52">
        <f t="shared" ref="BK42:BK54" si="27">SUM(BH42:BJ42)/10</f>
        <v>593.70000000000005</v>
      </c>
      <c r="BL42" s="34">
        <v>41183</v>
      </c>
    </row>
    <row r="43" spans="1:64" ht="9.9499999999999993" customHeight="1" x14ac:dyDescent="0.15">
      <c r="A43" s="2"/>
      <c r="R43" s="57">
        <v>41228</v>
      </c>
      <c r="S43" s="52">
        <f t="shared" si="11"/>
        <v>479.08365569773616</v>
      </c>
      <c r="T43" s="52">
        <f t="shared" si="12"/>
        <v>886.89836670166596</v>
      </c>
      <c r="U43" s="52">
        <f t="shared" si="13"/>
        <v>1365.982022399402</v>
      </c>
      <c r="V43" s="227">
        <f t="shared" si="14"/>
        <v>89.208680716130075</v>
      </c>
      <c r="W43" s="227">
        <f t="shared" si="15"/>
        <v>165.14659242031001</v>
      </c>
      <c r="X43" s="227">
        <f t="shared" si="16"/>
        <v>254.3552731364401</v>
      </c>
      <c r="Y43" s="52">
        <f t="shared" si="17"/>
        <v>165.2012605854261</v>
      </c>
      <c r="Z43" s="52">
        <f t="shared" si="18"/>
        <v>305.82702300057412</v>
      </c>
      <c r="AA43" s="445">
        <f t="shared" si="19"/>
        <v>471.02828358600027</v>
      </c>
      <c r="AB43" s="444">
        <f t="shared" si="0"/>
        <v>1660.1138347803885</v>
      </c>
      <c r="AC43" s="437">
        <f t="shared" si="1"/>
        <v>83.005691739019426</v>
      </c>
      <c r="AD43" s="52">
        <f t="shared" si="20"/>
        <v>113.38428267232709</v>
      </c>
      <c r="AE43" s="52">
        <f t="shared" si="2"/>
        <v>166.01138347803885</v>
      </c>
      <c r="AF43" s="52">
        <f t="shared" si="21"/>
        <v>42.225870788314872</v>
      </c>
      <c r="AG43" s="52">
        <f t="shared" si="3"/>
        <v>49.803415043411654</v>
      </c>
      <c r="AH43" s="435">
        <f t="shared" si="22"/>
        <v>23.458817104619378</v>
      </c>
      <c r="AI43" s="61">
        <f t="shared" si="25"/>
        <v>179.06897056526134</v>
      </c>
      <c r="AJ43" s="228">
        <f t="shared" si="4"/>
        <v>9.0439666821337877E-24</v>
      </c>
      <c r="AK43" s="229">
        <f t="shared" si="5"/>
        <v>0.56830988469163757</v>
      </c>
      <c r="AL43" s="229">
        <f t="shared" si="6"/>
        <v>0.96199118142689222</v>
      </c>
      <c r="AM43" s="229">
        <f t="shared" si="10"/>
        <v>1.5303010661185299</v>
      </c>
      <c r="AN43" s="52">
        <f t="shared" si="7"/>
        <v>3825.7526652963243</v>
      </c>
      <c r="AO43" s="52">
        <f t="shared" si="8"/>
        <v>284.15494234581877</v>
      </c>
      <c r="AP43" s="52">
        <f t="shared" si="9"/>
        <v>480.99559071344612</v>
      </c>
      <c r="AR43" s="10">
        <v>240.20504686885241</v>
      </c>
      <c r="AS43" s="10">
        <v>444.67696029248822</v>
      </c>
      <c r="AT43" s="52">
        <f t="shared" si="26"/>
        <v>684.88200716134065</v>
      </c>
      <c r="AV43" s="52">
        <f t="shared" ca="1" si="23"/>
        <v>402.69962969420982</v>
      </c>
      <c r="AW43" s="52">
        <f t="shared" ca="1" si="24"/>
        <v>101.73255684645018</v>
      </c>
      <c r="AY43" s="227">
        <v>190.29940010581961</v>
      </c>
      <c r="AZ43" s="227">
        <v>277.84056276936258</v>
      </c>
      <c r="BA43" s="227">
        <v>468.13996287518228</v>
      </c>
      <c r="BB43" s="227">
        <v>21.834670930766887</v>
      </c>
      <c r="BC43" s="227">
        <v>39.785607944712112</v>
      </c>
      <c r="BD43" s="227">
        <v>61.620278875479002</v>
      </c>
      <c r="BE43" s="227">
        <v>212.13407103658648</v>
      </c>
      <c r="BF43" s="227">
        <v>317.62617071407465</v>
      </c>
      <c r="BG43" s="443">
        <v>529.76024175066129</v>
      </c>
      <c r="BH43" s="437">
        <v>1984.5</v>
      </c>
      <c r="BI43" s="52">
        <v>1607</v>
      </c>
      <c r="BJ43" s="52">
        <v>1607</v>
      </c>
      <c r="BK43" s="52">
        <f t="shared" si="27"/>
        <v>519.85</v>
      </c>
      <c r="BL43" s="34">
        <v>41214</v>
      </c>
    </row>
    <row r="44" spans="1:64" ht="9.9499999999999993" customHeight="1" x14ac:dyDescent="0.15">
      <c r="A44" s="2"/>
      <c r="R44" s="57">
        <v>41258</v>
      </c>
      <c r="S44" s="52">
        <f t="shared" si="11"/>
        <v>330.75921325914021</v>
      </c>
      <c r="T44" s="52">
        <f t="shared" si="12"/>
        <v>630.30849001228967</v>
      </c>
      <c r="U44" s="52">
        <f t="shared" si="13"/>
        <v>961.06770327142988</v>
      </c>
      <c r="V44" s="227">
        <f t="shared" si="14"/>
        <v>61.589646606874325</v>
      </c>
      <c r="W44" s="227">
        <f t="shared" si="15"/>
        <v>117.36778779539175</v>
      </c>
      <c r="X44" s="227">
        <f t="shared" si="16"/>
        <v>178.95743440226607</v>
      </c>
      <c r="Y44" s="52">
        <f t="shared" si="17"/>
        <v>114.05490112384136</v>
      </c>
      <c r="Z44" s="52">
        <f t="shared" si="18"/>
        <v>217.34775517665142</v>
      </c>
      <c r="AA44" s="445">
        <f t="shared" si="19"/>
        <v>331.40265630049277</v>
      </c>
      <c r="AB44" s="444">
        <f t="shared" si="0"/>
        <v>1666.1724024129376</v>
      </c>
      <c r="AC44" s="437">
        <f t="shared" si="1"/>
        <v>83.308620120646879</v>
      </c>
      <c r="AD44" s="52">
        <f t="shared" si="20"/>
        <v>80.06522420206214</v>
      </c>
      <c r="AE44" s="52">
        <f t="shared" si="2"/>
        <v>166.61724024129376</v>
      </c>
      <c r="AF44" s="52">
        <f t="shared" si="21"/>
        <v>29.817393840767934</v>
      </c>
      <c r="AG44" s="52">
        <f t="shared" si="3"/>
        <v>49.985172072388124</v>
      </c>
      <c r="AH44" s="435">
        <f t="shared" si="22"/>
        <v>16.565218800426631</v>
      </c>
      <c r="AI44" s="61">
        <f t="shared" si="25"/>
        <v>126.44783684325671</v>
      </c>
      <c r="AJ44" s="228">
        <f t="shared" si="4"/>
        <v>6.7678099321822357E-25</v>
      </c>
      <c r="AK44" s="229">
        <f t="shared" si="5"/>
        <v>0.5528333817808414</v>
      </c>
      <c r="AL44" s="229">
        <f t="shared" si="6"/>
        <v>0.96017154524630988</v>
      </c>
      <c r="AM44" s="229">
        <f t="shared" si="10"/>
        <v>1.5130049270271513</v>
      </c>
      <c r="AN44" s="52">
        <f t="shared" si="7"/>
        <v>3782.5123175678782</v>
      </c>
      <c r="AO44" s="52">
        <f t="shared" si="8"/>
        <v>276.41669089042068</v>
      </c>
      <c r="AP44" s="52">
        <f t="shared" si="9"/>
        <v>480.08577262315492</v>
      </c>
      <c r="AR44" s="10">
        <v>165.83749284351126</v>
      </c>
      <c r="AS44" s="10">
        <v>316.02681198700947</v>
      </c>
      <c r="AT44" s="52">
        <f t="shared" si="26"/>
        <v>481.86430483052072</v>
      </c>
      <c r="AV44" s="52">
        <f t="shared" ca="1" si="23"/>
        <v>521.99680169553051</v>
      </c>
      <c r="AW44" s="52">
        <f t="shared" ca="1" si="24"/>
        <v>72.658690350187769</v>
      </c>
      <c r="AY44" s="227">
        <v>217.18753828259196</v>
      </c>
      <c r="AZ44" s="227">
        <v>506.63949971959244</v>
      </c>
      <c r="BA44" s="227">
        <v>723.82703800218428</v>
      </c>
      <c r="BB44" s="227">
        <v>20.404535029593006</v>
      </c>
      <c r="BC44" s="227">
        <v>37.751035201488065</v>
      </c>
      <c r="BD44" s="227">
        <v>58.155570231081072</v>
      </c>
      <c r="BE44" s="227">
        <v>237.59207331218499</v>
      </c>
      <c r="BF44" s="227">
        <v>544.39053492108053</v>
      </c>
      <c r="BG44" s="443">
        <v>781.98260823326541</v>
      </c>
      <c r="BH44" s="437">
        <v>1264</v>
      </c>
      <c r="BI44" s="52">
        <v>2864.8888888888887</v>
      </c>
      <c r="BJ44" s="52">
        <v>2268</v>
      </c>
      <c r="BK44" s="52">
        <f t="shared" si="27"/>
        <v>639.68888888888887</v>
      </c>
      <c r="BL44" s="34">
        <v>41244</v>
      </c>
    </row>
    <row r="45" spans="1:64" ht="9.9499999999999993" customHeight="1" x14ac:dyDescent="0.15">
      <c r="A45" s="2"/>
      <c r="R45" s="57">
        <v>41289</v>
      </c>
      <c r="S45" s="52">
        <f t="shared" si="11"/>
        <v>278.81727771692078</v>
      </c>
      <c r="T45" s="52">
        <f t="shared" si="12"/>
        <v>547.47448548371779</v>
      </c>
      <c r="U45" s="52">
        <f t="shared" si="13"/>
        <v>826.29176320063868</v>
      </c>
      <c r="V45" s="227">
        <f t="shared" si="14"/>
        <v>51.91769998866797</v>
      </c>
      <c r="W45" s="227">
        <f t="shared" si="15"/>
        <v>101.94352488317494</v>
      </c>
      <c r="X45" s="227">
        <f t="shared" si="16"/>
        <v>153.86122487184292</v>
      </c>
      <c r="Y45" s="52">
        <f t="shared" si="17"/>
        <v>96.143888867903641</v>
      </c>
      <c r="Z45" s="52">
        <f t="shared" si="18"/>
        <v>188.78430533921286</v>
      </c>
      <c r="AA45" s="445">
        <f t="shared" si="19"/>
        <v>284.92819420711652</v>
      </c>
      <c r="AB45" s="444">
        <f t="shared" si="0"/>
        <v>1526.6330718652512</v>
      </c>
      <c r="AC45" s="437">
        <f t="shared" si="1"/>
        <v>76.331653593262558</v>
      </c>
      <c r="AD45" s="52">
        <f t="shared" si="20"/>
        <v>63.072216635597286</v>
      </c>
      <c r="AE45" s="52">
        <f t="shared" si="2"/>
        <v>152.66330718652512</v>
      </c>
      <c r="AF45" s="52">
        <f t="shared" si="21"/>
        <v>23.488963436705173</v>
      </c>
      <c r="AG45" s="52">
        <f t="shared" si="3"/>
        <v>45.798992155957535</v>
      </c>
      <c r="AH45" s="435">
        <f t="shared" si="22"/>
        <v>13.049424131502875</v>
      </c>
      <c r="AI45" s="61">
        <f t="shared" si="25"/>
        <v>99.610604203805337</v>
      </c>
      <c r="AJ45" s="228">
        <f t="shared" si="4"/>
        <v>4.6452275502443482E-26</v>
      </c>
      <c r="AK45" s="229">
        <f t="shared" si="5"/>
        <v>0.53728363189227357</v>
      </c>
      <c r="AL45" s="229">
        <f t="shared" si="6"/>
        <v>0.95829487035574479</v>
      </c>
      <c r="AM45" s="229">
        <f t="shared" si="10"/>
        <v>1.4955785022480184</v>
      </c>
      <c r="AN45" s="52">
        <f t="shared" si="7"/>
        <v>3738.946255620046</v>
      </c>
      <c r="AO45" s="52">
        <f t="shared" si="8"/>
        <v>268.64181594613677</v>
      </c>
      <c r="AP45" s="52">
        <f t="shared" si="9"/>
        <v>479.14743517787241</v>
      </c>
      <c r="AR45" s="10">
        <v>139.794619301506</v>
      </c>
      <c r="AS45" s="10">
        <v>274.49513854442</v>
      </c>
      <c r="AT45" s="52">
        <f t="shared" si="26"/>
        <v>414.28975784592603</v>
      </c>
      <c r="AV45" s="52">
        <f t="shared" ca="1" si="23"/>
        <v>624.3438898434099</v>
      </c>
      <c r="AW45" s="52">
        <f t="shared" ca="1" si="24"/>
        <v>57.90457310037106</v>
      </c>
      <c r="AY45" s="227">
        <v>299.37725622789719</v>
      </c>
      <c r="AZ45" s="227">
        <v>533.4961199356419</v>
      </c>
      <c r="BA45" s="227">
        <v>832.87337616353921</v>
      </c>
      <c r="BB45" s="227">
        <v>50.834536725978296</v>
      </c>
      <c r="BC45" s="227">
        <v>90.711887905166293</v>
      </c>
      <c r="BD45" s="227">
        <v>141.54642463114459</v>
      </c>
      <c r="BE45" s="227">
        <v>350.21179295387554</v>
      </c>
      <c r="BF45" s="227">
        <v>624.20800784080825</v>
      </c>
      <c r="BG45" s="443">
        <v>974.41980079468374</v>
      </c>
      <c r="BH45" s="437">
        <v>3662.5</v>
      </c>
      <c r="BI45" s="52">
        <v>3372.666666666667</v>
      </c>
      <c r="BJ45" s="52">
        <v>1804</v>
      </c>
      <c r="BK45" s="52">
        <f t="shared" si="27"/>
        <v>883.91666666666674</v>
      </c>
      <c r="BL45" s="34">
        <v>41275</v>
      </c>
    </row>
    <row r="46" spans="1:64" ht="9.9499999999999993" customHeight="1" x14ac:dyDescent="0.15">
      <c r="A46" s="2"/>
      <c r="R46" s="57">
        <v>41320</v>
      </c>
      <c r="S46" s="52">
        <f t="shared" si="11"/>
        <v>237.72254171187575</v>
      </c>
      <c r="T46" s="52">
        <f t="shared" si="12"/>
        <v>481.02070726056525</v>
      </c>
      <c r="U46" s="52">
        <f t="shared" si="13"/>
        <v>718.74324897244105</v>
      </c>
      <c r="V46" s="227">
        <f t="shared" si="14"/>
        <v>44.265576732556127</v>
      </c>
      <c r="W46" s="227">
        <f t="shared" si="15"/>
        <v>89.56937307610518</v>
      </c>
      <c r="X46" s="227">
        <f t="shared" si="16"/>
        <v>133.83494980866132</v>
      </c>
      <c r="Y46" s="52">
        <f t="shared" si="17"/>
        <v>81.973290245474317</v>
      </c>
      <c r="Z46" s="52">
        <f t="shared" si="18"/>
        <v>165.86920940019476</v>
      </c>
      <c r="AA46" s="445">
        <f t="shared" si="19"/>
        <v>247.84249964566911</v>
      </c>
      <c r="AB46" s="444">
        <f t="shared" si="0"/>
        <v>1306.3086908506841</v>
      </c>
      <c r="AC46" s="437">
        <f t="shared" si="1"/>
        <v>65.315434542534206</v>
      </c>
      <c r="AD46" s="52">
        <f t="shared" si="20"/>
        <v>46.945027631147838</v>
      </c>
      <c r="AE46" s="52">
        <f t="shared" si="2"/>
        <v>130.63086908506841</v>
      </c>
      <c r="AF46" s="52">
        <f t="shared" si="21"/>
        <v>17.482975807461937</v>
      </c>
      <c r="AG46" s="52">
        <f t="shared" si="3"/>
        <v>39.189260725520519</v>
      </c>
      <c r="AH46" s="435">
        <f t="shared" si="22"/>
        <v>9.7127643374788537</v>
      </c>
      <c r="AI46" s="61">
        <f t="shared" si="25"/>
        <v>74.140767776088637</v>
      </c>
      <c r="AJ46" s="228">
        <f t="shared" si="4"/>
        <v>3.1883488469350934E-27</v>
      </c>
      <c r="AK46" s="229">
        <f t="shared" si="5"/>
        <v>0.52217125559503663</v>
      </c>
      <c r="AL46" s="229">
        <f t="shared" si="6"/>
        <v>0.95642186346457236</v>
      </c>
      <c r="AM46" s="229">
        <f t="shared" si="10"/>
        <v>1.4785931190596089</v>
      </c>
      <c r="AN46" s="52">
        <f t="shared" si="7"/>
        <v>3696.4827976490224</v>
      </c>
      <c r="AO46" s="52">
        <f t="shared" si="8"/>
        <v>261.08562779751833</v>
      </c>
      <c r="AP46" s="52">
        <f t="shared" si="9"/>
        <v>478.21093173228616</v>
      </c>
      <c r="AR46" s="10">
        <v>119.19036183883253</v>
      </c>
      <c r="AS46" s="10">
        <v>241.17625420582388</v>
      </c>
      <c r="AT46" s="52">
        <f t="shared" si="26"/>
        <v>360.36661604465644</v>
      </c>
      <c r="AV46" s="52">
        <f t="shared" ca="1" si="23"/>
        <v>566.2677086498004</v>
      </c>
      <c r="AW46" s="52">
        <f t="shared" ca="1" si="24"/>
        <v>43.593817522907194</v>
      </c>
      <c r="AY46" s="227">
        <v>233.36936232087481</v>
      </c>
      <c r="AZ46" s="227">
        <v>521.53941498524455</v>
      </c>
      <c r="BA46" s="227">
        <v>754.9087773061193</v>
      </c>
      <c r="BB46" s="227">
        <v>44.742692437676546</v>
      </c>
      <c r="BC46" s="227">
        <v>89.269156771671589</v>
      </c>
      <c r="BD46" s="227">
        <v>134.01184920934813</v>
      </c>
      <c r="BE46" s="227">
        <v>278.11205475855138</v>
      </c>
      <c r="BF46" s="227">
        <v>610.80857175691608</v>
      </c>
      <c r="BG46" s="443">
        <v>888.92062651546746</v>
      </c>
      <c r="BH46" s="437">
        <v>2512.5</v>
      </c>
      <c r="BI46" s="52">
        <v>5997.1111111111113</v>
      </c>
      <c r="BJ46" s="52">
        <v>2532</v>
      </c>
      <c r="BK46" s="52">
        <f t="shared" si="27"/>
        <v>1104.161111111111</v>
      </c>
      <c r="BL46" s="34">
        <v>41306</v>
      </c>
    </row>
    <row r="47" spans="1:64" ht="9.9499999999999993" customHeight="1" x14ac:dyDescent="0.15">
      <c r="A47" s="2"/>
      <c r="R47" s="57">
        <v>41348</v>
      </c>
      <c r="S47" s="52">
        <f t="shared" si="11"/>
        <v>207.77747493928135</v>
      </c>
      <c r="T47" s="52">
        <f t="shared" si="12"/>
        <v>431.93087474259437</v>
      </c>
      <c r="U47" s="52">
        <f t="shared" si="13"/>
        <v>639.70834968187569</v>
      </c>
      <c r="V47" s="227">
        <f t="shared" si="14"/>
        <v>38.68959878179718</v>
      </c>
      <c r="W47" s="227">
        <f t="shared" si="15"/>
        <v>80.428507710689914</v>
      </c>
      <c r="X47" s="227">
        <f t="shared" si="16"/>
        <v>119.1181064924871</v>
      </c>
      <c r="Y47" s="52">
        <f t="shared" si="17"/>
        <v>71.647405151476249</v>
      </c>
      <c r="Z47" s="52">
        <f t="shared" si="18"/>
        <v>148.94168094572203</v>
      </c>
      <c r="AA47" s="445">
        <f t="shared" si="19"/>
        <v>220.5890860971983</v>
      </c>
      <c r="AB47" s="444">
        <f t="shared" si="0"/>
        <v>1583.681196239869</v>
      </c>
      <c r="AC47" s="437">
        <f t="shared" si="1"/>
        <v>79.18405981199345</v>
      </c>
      <c r="AD47" s="52">
        <f t="shared" si="20"/>
        <v>50.654704223441264</v>
      </c>
      <c r="AE47" s="52">
        <f t="shared" si="2"/>
        <v>158.3681196239869</v>
      </c>
      <c r="AF47" s="52">
        <f t="shared" si="21"/>
        <v>18.864510538385009</v>
      </c>
      <c r="AG47" s="52">
        <f t="shared" si="3"/>
        <v>47.510435887196067</v>
      </c>
      <c r="AH47" s="435">
        <f t="shared" si="22"/>
        <v>10.480283632436114</v>
      </c>
      <c r="AI47" s="61">
        <f t="shared" si="25"/>
        <v>79.999498394262389</v>
      </c>
      <c r="AJ47" s="228">
        <f t="shared" si="4"/>
        <v>2.8360622067534579E-28</v>
      </c>
      <c r="AK47" s="229">
        <f t="shared" si="5"/>
        <v>0.50888705937041046</v>
      </c>
      <c r="AL47" s="229">
        <f t="shared" si="6"/>
        <v>0.95473326206495868</v>
      </c>
      <c r="AM47" s="229">
        <f t="shared" si="10"/>
        <v>1.4636203214353691</v>
      </c>
      <c r="AN47" s="52">
        <f t="shared" si="7"/>
        <v>3659.0508035884232</v>
      </c>
      <c r="AO47" s="52">
        <f t="shared" si="8"/>
        <v>254.44352968520522</v>
      </c>
      <c r="AP47" s="52">
        <f t="shared" si="9"/>
        <v>477.36663103247935</v>
      </c>
      <c r="AQ47" s="473">
        <f>AO47/500</f>
        <v>0.50888705937041046</v>
      </c>
      <c r="AR47" s="10">
        <v>104.17637402677464</v>
      </c>
      <c r="AS47" s="10">
        <v>216.56338048215233</v>
      </c>
      <c r="AT47" s="52">
        <f t="shared" si="26"/>
        <v>320.73975450892698</v>
      </c>
      <c r="AV47" s="52">
        <f t="shared" ca="1" si="23"/>
        <v>934.14365146817602</v>
      </c>
      <c r="AW47" s="52">
        <f t="shared" ca="1" si="24"/>
        <v>47.519880168375607</v>
      </c>
      <c r="AY47" s="227">
        <v>378.12281200344603</v>
      </c>
      <c r="AZ47" s="227">
        <v>860.81369160466181</v>
      </c>
      <c r="BA47" s="227">
        <v>1238.9365036081081</v>
      </c>
      <c r="BB47" s="227">
        <v>83.286446291381907</v>
      </c>
      <c r="BC47" s="227">
        <v>170.40406677418983</v>
      </c>
      <c r="BD47" s="227">
        <v>253.69051306557176</v>
      </c>
      <c r="BE47" s="227">
        <v>461.40925829482796</v>
      </c>
      <c r="BF47" s="227">
        <v>1031.2177583788516</v>
      </c>
      <c r="BG47" s="443">
        <v>1492.6270166736797</v>
      </c>
      <c r="BH47" s="437">
        <v>5833.5</v>
      </c>
      <c r="BI47" s="52">
        <v>5414.7407407407409</v>
      </c>
      <c r="BJ47" s="52">
        <v>2865</v>
      </c>
      <c r="BK47" s="52">
        <f t="shared" si="27"/>
        <v>1411.3240740740741</v>
      </c>
      <c r="BL47" s="34">
        <v>41334</v>
      </c>
    </row>
    <row r="48" spans="1:64" ht="9.9499999999999993" customHeight="1" x14ac:dyDescent="0.15">
      <c r="A48" s="2"/>
      <c r="R48" s="57">
        <v>41379</v>
      </c>
      <c r="S48" s="52">
        <f t="shared" si="11"/>
        <v>332.33477303635777</v>
      </c>
      <c r="T48" s="52">
        <f t="shared" si="12"/>
        <v>711.82730473168215</v>
      </c>
      <c r="U48" s="52">
        <f t="shared" si="13"/>
        <v>1044.1620777680398</v>
      </c>
      <c r="V48" s="227">
        <f t="shared" si="14"/>
        <v>61.883026703321747</v>
      </c>
      <c r="W48" s="227">
        <f t="shared" si="15"/>
        <v>132.54715329486487</v>
      </c>
      <c r="X48" s="227">
        <f t="shared" si="16"/>
        <v>194.43017999818659</v>
      </c>
      <c r="Y48" s="52">
        <f t="shared" si="17"/>
        <v>114.59819759874395</v>
      </c>
      <c r="Z48" s="52">
        <f t="shared" si="18"/>
        <v>245.45769128678671</v>
      </c>
      <c r="AA48" s="445">
        <f t="shared" si="19"/>
        <v>360.05588888553063</v>
      </c>
      <c r="AB48" s="444">
        <f t="shared" si="0"/>
        <v>1588.0299697057847</v>
      </c>
      <c r="AC48" s="437">
        <f t="shared" si="1"/>
        <v>79.401498485289238</v>
      </c>
      <c r="AD48" s="52">
        <f t="shared" si="20"/>
        <v>82.908033636295471</v>
      </c>
      <c r="AE48" s="52">
        <f t="shared" si="2"/>
        <v>158.80299697057848</v>
      </c>
      <c r="AF48" s="52">
        <f t="shared" si="21"/>
        <v>30.876095285241053</v>
      </c>
      <c r="AG48" s="52">
        <f t="shared" si="3"/>
        <v>47.640899091173537</v>
      </c>
      <c r="AH48" s="435">
        <f t="shared" si="22"/>
        <v>17.153386269578359</v>
      </c>
      <c r="AI48" s="61">
        <f t="shared" si="25"/>
        <v>130.93751519111487</v>
      </c>
      <c r="AJ48" s="228">
        <f t="shared" si="4"/>
        <v>1.9465904670833763E-29</v>
      </c>
      <c r="AK48" s="229">
        <f t="shared" si="5"/>
        <v>0.49457340401687827</v>
      </c>
      <c r="AL48" s="229">
        <f t="shared" si="6"/>
        <v>0.95286721640991368</v>
      </c>
      <c r="AM48" s="229">
        <f t="shared" si="10"/>
        <v>1.447440620426792</v>
      </c>
      <c r="AN48" s="52">
        <f t="shared" si="7"/>
        <v>3618.6015510669795</v>
      </c>
      <c r="AO48" s="52">
        <f t="shared" si="8"/>
        <v>247.28670200843914</v>
      </c>
      <c r="AP48" s="52">
        <f t="shared" si="9"/>
        <v>476.43360820495684</v>
      </c>
      <c r="AR48" s="10">
        <v>166.62745385685463</v>
      </c>
      <c r="AS48" s="10">
        <v>356.89906984320146</v>
      </c>
      <c r="AT48" s="52">
        <f t="shared" si="26"/>
        <v>523.52652370005603</v>
      </c>
      <c r="AV48" s="52">
        <f t="shared" ca="1" si="23"/>
        <v>990.83666274126972</v>
      </c>
      <c r="AW48" s="52">
        <f t="shared" ca="1" si="24"/>
        <v>78.646580100676019</v>
      </c>
      <c r="AY48" s="227">
        <v>395.19645876906765</v>
      </c>
      <c r="AZ48" s="227">
        <v>852.92305330538306</v>
      </c>
      <c r="BA48" s="227">
        <v>1248.1195120744508</v>
      </c>
      <c r="BB48" s="227">
        <v>87.907938977207351</v>
      </c>
      <c r="BC48" s="227">
        <v>182.66417737059777</v>
      </c>
      <c r="BD48" s="227">
        <v>270.57211634780504</v>
      </c>
      <c r="BE48" s="227">
        <v>483.10439774627503</v>
      </c>
      <c r="BF48" s="227">
        <v>1035.5872306759809</v>
      </c>
      <c r="BG48" s="443">
        <v>1518.6916284222559</v>
      </c>
      <c r="BH48" s="437">
        <v>8183.5</v>
      </c>
      <c r="BI48" s="52">
        <v>4941.333333333333</v>
      </c>
      <c r="BJ48" s="52">
        <v>2278</v>
      </c>
      <c r="BK48" s="52">
        <f t="shared" si="27"/>
        <v>1540.2833333333333</v>
      </c>
      <c r="BL48" s="34">
        <v>41365</v>
      </c>
    </row>
    <row r="49" spans="1:64" ht="9.9499999999999993" customHeight="1" x14ac:dyDescent="0.15">
      <c r="A49" s="2"/>
      <c r="R49" s="57">
        <v>41409</v>
      </c>
      <c r="S49" s="52">
        <f t="shared" si="11"/>
        <v>468.8355863829587</v>
      </c>
      <c r="T49" s="52">
        <f t="shared" si="12"/>
        <v>1033.689705086952</v>
      </c>
      <c r="U49" s="52">
        <f t="shared" si="13"/>
        <v>1502.5252914699106</v>
      </c>
      <c r="V49" s="227">
        <f t="shared" si="14"/>
        <v>87.300419533378474</v>
      </c>
      <c r="W49" s="227">
        <f t="shared" si="15"/>
        <v>192.48015198170819</v>
      </c>
      <c r="X49" s="227">
        <f t="shared" si="16"/>
        <v>279.78057151508665</v>
      </c>
      <c r="Y49" s="52">
        <f t="shared" si="17"/>
        <v>161.66744358033046</v>
      </c>
      <c r="Z49" s="52">
        <f t="shared" si="18"/>
        <v>356.44472589205213</v>
      </c>
      <c r="AA49" s="445">
        <f t="shared" si="19"/>
        <v>518.11216947238256</v>
      </c>
      <c r="AB49" s="444">
        <f t="shared" si="0"/>
        <v>1784.3554452344144</v>
      </c>
      <c r="AC49" s="437">
        <f t="shared" si="1"/>
        <v>89.217772261720725</v>
      </c>
      <c r="AD49" s="52">
        <f t="shared" si="20"/>
        <v>134.05195927183806</v>
      </c>
      <c r="AE49" s="52">
        <f t="shared" si="2"/>
        <v>178.43554452344145</v>
      </c>
      <c r="AF49" s="52">
        <f t="shared" si="21"/>
        <v>49.922798625374142</v>
      </c>
      <c r="AG49" s="52">
        <f t="shared" si="3"/>
        <v>53.530663357032431</v>
      </c>
      <c r="AH49" s="435">
        <f t="shared" si="22"/>
        <v>27.734888125207846</v>
      </c>
      <c r="AI49" s="61">
        <f t="shared" si="25"/>
        <v>211.70964602242006</v>
      </c>
      <c r="AJ49" s="228">
        <f t="shared" si="4"/>
        <v>1.4566787738220304E-30</v>
      </c>
      <c r="AK49" s="229">
        <f t="shared" si="5"/>
        <v>0.48110493033192242</v>
      </c>
      <c r="AL49" s="229">
        <f t="shared" si="6"/>
        <v>0.95106483849237566</v>
      </c>
      <c r="AM49" s="229">
        <f t="shared" si="10"/>
        <v>1.432169768824298</v>
      </c>
      <c r="AN49" s="52">
        <f t="shared" si="7"/>
        <v>3580.4244220607452</v>
      </c>
      <c r="AO49" s="52">
        <f t="shared" si="8"/>
        <v>240.55246516596122</v>
      </c>
      <c r="AP49" s="52">
        <f t="shared" si="9"/>
        <v>475.53241924618783</v>
      </c>
      <c r="AR49" s="10">
        <v>235.06682530609376</v>
      </c>
      <c r="AS49" s="10">
        <v>518.27583993998246</v>
      </c>
      <c r="AT49" s="52">
        <f t="shared" si="26"/>
        <v>753.34266524607619</v>
      </c>
      <c r="AV49" s="52">
        <f t="shared" ca="1" si="23"/>
        <v>1578.9767586006296</v>
      </c>
      <c r="AW49" s="52">
        <f t="shared" ca="1" si="24"/>
        <v>128.51761207697882</v>
      </c>
      <c r="AY49" s="227">
        <v>630.7498266959542</v>
      </c>
      <c r="AZ49" s="227">
        <v>1237.5984796660177</v>
      </c>
      <c r="BA49" s="227">
        <v>1868.3483063619719</v>
      </c>
      <c r="BB49" s="227">
        <v>169.92282476833503</v>
      </c>
      <c r="BC49" s="227">
        <v>351.09938017807877</v>
      </c>
      <c r="BD49" s="227">
        <v>521.02220494641381</v>
      </c>
      <c r="BE49" s="227">
        <v>800.67265146428929</v>
      </c>
      <c r="BF49" s="227">
        <v>1588.6978598440965</v>
      </c>
      <c r="BG49" s="443">
        <v>2389.3705113083856</v>
      </c>
      <c r="BH49" s="437">
        <v>15199.5</v>
      </c>
      <c r="BI49" s="52">
        <v>8679.2592592592591</v>
      </c>
      <c r="BJ49" s="52">
        <v>2905</v>
      </c>
      <c r="BK49" s="52">
        <f t="shared" si="27"/>
        <v>2678.3759259259259</v>
      </c>
      <c r="BL49" s="34">
        <v>41395</v>
      </c>
    </row>
    <row r="50" spans="1:64" ht="9.9499999999999993" customHeight="1" x14ac:dyDescent="0.15">
      <c r="A50" s="2"/>
      <c r="R50" s="57">
        <v>41440</v>
      </c>
      <c r="S50" s="52">
        <f t="shared" si="11"/>
        <v>472.88769550522716</v>
      </c>
      <c r="T50" s="52">
        <f t="shared" si="12"/>
        <v>1074.3059799897899</v>
      </c>
      <c r="U50" s="52">
        <f t="shared" si="13"/>
        <v>1547.193675495017</v>
      </c>
      <c r="V50" s="227">
        <f t="shared" si="14"/>
        <v>88.054950197525017</v>
      </c>
      <c r="W50" s="227">
        <f t="shared" si="15"/>
        <v>200.04318248085733</v>
      </c>
      <c r="X50" s="227">
        <f t="shared" si="16"/>
        <v>288.09813267838234</v>
      </c>
      <c r="Y50" s="52">
        <f t="shared" si="17"/>
        <v>163.06472258800923</v>
      </c>
      <c r="Z50" s="52">
        <f t="shared" si="18"/>
        <v>370.45033792751343</v>
      </c>
      <c r="AA50" s="445">
        <f t="shared" si="19"/>
        <v>533.51506051552269</v>
      </c>
      <c r="AB50" s="444">
        <f t="shared" si="0"/>
        <v>1751.0777023758549</v>
      </c>
      <c r="AC50" s="437">
        <f t="shared" si="1"/>
        <v>87.553885118792749</v>
      </c>
      <c r="AD50" s="52">
        <f t="shared" si="20"/>
        <v>135.46281732081343</v>
      </c>
      <c r="AE50" s="52">
        <f t="shared" si="2"/>
        <v>175.1077702375855</v>
      </c>
      <c r="AF50" s="52">
        <f t="shared" si="21"/>
        <v>50.448221622923597</v>
      </c>
      <c r="AG50" s="52">
        <f t="shared" si="3"/>
        <v>52.532331071275642</v>
      </c>
      <c r="AH50" s="435">
        <f t="shared" si="22"/>
        <v>28.026789790513096</v>
      </c>
      <c r="AI50" s="61">
        <f t="shared" si="25"/>
        <v>213.93782873425013</v>
      </c>
      <c r="AJ50" s="228">
        <f t="shared" si="4"/>
        <v>9.9982186849511643E-32</v>
      </c>
      <c r="AK50" s="229">
        <f t="shared" si="5"/>
        <v>0.4675727132419929</v>
      </c>
      <c r="AL50" s="229">
        <f t="shared" si="6"/>
        <v>0.94920596284610759</v>
      </c>
      <c r="AM50" s="229">
        <f t="shared" si="10"/>
        <v>1.4167786760881005</v>
      </c>
      <c r="AN50" s="52">
        <f t="shared" si="7"/>
        <v>3541.9466902202512</v>
      </c>
      <c r="AO50" s="52">
        <f t="shared" si="8"/>
        <v>233.78635662099646</v>
      </c>
      <c r="AP50" s="52">
        <f t="shared" si="9"/>
        <v>474.60298142305379</v>
      </c>
      <c r="AR50" s="10">
        <v>237.09848940078018</v>
      </c>
      <c r="AS50" s="10">
        <v>538.64020449436373</v>
      </c>
      <c r="AT50" s="52">
        <f t="shared" si="26"/>
        <v>775.73869389514391</v>
      </c>
      <c r="AV50" s="52">
        <f t="shared" ca="1" si="23"/>
        <v>1639.4315791201129</v>
      </c>
      <c r="AW50" s="52">
        <f t="shared" ca="1" si="24"/>
        <v>131.28106033476178</v>
      </c>
      <c r="AY50" s="227">
        <v>607.07155551375172</v>
      </c>
      <c r="AZ50" s="227">
        <v>1277.2366415054137</v>
      </c>
      <c r="BA50" s="227">
        <v>1884.3081970191656</v>
      </c>
      <c r="BB50" s="227">
        <v>184.15289072471268</v>
      </c>
      <c r="BC50" s="227">
        <v>389.24641835505503</v>
      </c>
      <c r="BD50" s="227">
        <v>573.3993090797677</v>
      </c>
      <c r="BE50" s="227">
        <v>791.22444623846445</v>
      </c>
      <c r="BF50" s="227">
        <v>1666.4830598604688</v>
      </c>
      <c r="BG50" s="443">
        <v>2457.7075060989332</v>
      </c>
      <c r="BH50" s="437">
        <v>13235.531147540984</v>
      </c>
      <c r="BI50" s="52">
        <v>9665.8644808743175</v>
      </c>
      <c r="BJ50" s="52">
        <v>2384.5311475409835</v>
      </c>
      <c r="BK50" s="52">
        <f t="shared" si="27"/>
        <v>2528.5926775956286</v>
      </c>
      <c r="BL50" s="34">
        <v>41426</v>
      </c>
    </row>
    <row r="51" spans="1:64" ht="9.9499999999999993" customHeight="1" x14ac:dyDescent="0.15">
      <c r="A51" s="2"/>
      <c r="R51" s="57">
        <v>41470</v>
      </c>
      <c r="S51" s="52">
        <f t="shared" si="11"/>
        <v>421.52984438315957</v>
      </c>
      <c r="T51" s="52">
        <f t="shared" si="12"/>
        <v>985.80863425117695</v>
      </c>
      <c r="U51" s="52">
        <f t="shared" si="13"/>
        <v>1407.3384786343363</v>
      </c>
      <c r="V51" s="227">
        <f t="shared" si="14"/>
        <v>78.491764126519314</v>
      </c>
      <c r="W51" s="227">
        <f t="shared" si="15"/>
        <v>183.56436637780521</v>
      </c>
      <c r="X51" s="227">
        <f t="shared" si="16"/>
        <v>262.05613050432453</v>
      </c>
      <c r="Y51" s="52">
        <f t="shared" si="17"/>
        <v>145.35511875281352</v>
      </c>
      <c r="Z51" s="52">
        <f t="shared" si="18"/>
        <v>339.93401181075035</v>
      </c>
      <c r="AA51" s="445">
        <f t="shared" si="19"/>
        <v>485.28913056356384</v>
      </c>
      <c r="AB51" s="444">
        <f t="shared" si="0"/>
        <v>1863.0049166017002</v>
      </c>
      <c r="AC51" s="437">
        <f t="shared" si="1"/>
        <v>93.150245830085012</v>
      </c>
      <c r="AD51" s="52">
        <f t="shared" si="20"/>
        <v>131.09392525092625</v>
      </c>
      <c r="AE51" s="52">
        <f t="shared" si="2"/>
        <v>186.30049166017002</v>
      </c>
      <c r="AF51" s="52">
        <f t="shared" si="21"/>
        <v>48.821185955517336</v>
      </c>
      <c r="AG51" s="52">
        <f t="shared" si="3"/>
        <v>55.890147498051</v>
      </c>
      <c r="AH51" s="435">
        <f t="shared" si="22"/>
        <v>27.122881086398511</v>
      </c>
      <c r="AI51" s="61">
        <f t="shared" si="25"/>
        <v>207.03799229284209</v>
      </c>
      <c r="AJ51" s="228">
        <f t="shared" si="4"/>
        <v>7.4818988280679646E-33</v>
      </c>
      <c r="AK51" s="229">
        <f t="shared" si="5"/>
        <v>0.45483953605746263</v>
      </c>
      <c r="AL51" s="229">
        <f t="shared" si="6"/>
        <v>0.94741051030333334</v>
      </c>
      <c r="AM51" s="229">
        <f t="shared" si="10"/>
        <v>1.4022500463607961</v>
      </c>
      <c r="AN51" s="52">
        <f t="shared" si="7"/>
        <v>3505.6251159019898</v>
      </c>
      <c r="AO51" s="52">
        <f t="shared" si="8"/>
        <v>227.41976802873131</v>
      </c>
      <c r="AP51" s="52">
        <f t="shared" si="9"/>
        <v>473.70525515166668</v>
      </c>
      <c r="AR51" s="10">
        <v>211.3484666455829</v>
      </c>
      <c r="AS51" s="10">
        <v>494.26902040553642</v>
      </c>
      <c r="AT51" s="52">
        <f t="shared" si="26"/>
        <v>705.61748705111927</v>
      </c>
      <c r="AV51" s="52">
        <f t="shared" ca="1" si="23"/>
        <v>1285.7194104532109</v>
      </c>
      <c r="AW51" s="52">
        <f t="shared" ca="1" si="24"/>
        <v>128.36336342811998</v>
      </c>
      <c r="AY51" s="227">
        <v>433.30968510331769</v>
      </c>
      <c r="AZ51" s="227">
        <v>1008.8960116473447</v>
      </c>
      <c r="BA51" s="227">
        <v>1442.2056967506624</v>
      </c>
      <c r="BB51" s="227">
        <v>132.82380111000299</v>
      </c>
      <c r="BC51" s="227">
        <v>291.67659291759458</v>
      </c>
      <c r="BD51" s="227">
        <v>424.50039402759757</v>
      </c>
      <c r="BE51" s="227">
        <v>566.13348621332079</v>
      </c>
      <c r="BF51" s="227">
        <v>1300.5726045649392</v>
      </c>
      <c r="BG51" s="443">
        <v>1866.7060907782602</v>
      </c>
      <c r="BH51" s="437">
        <v>13235.531147540984</v>
      </c>
      <c r="BI51" s="52">
        <v>8260.6792956891313</v>
      </c>
      <c r="BJ51" s="52">
        <v>2384.5311475409835</v>
      </c>
      <c r="BK51" s="52">
        <f t="shared" si="27"/>
        <v>2388.0741590771095</v>
      </c>
      <c r="BL51" s="34">
        <v>41456</v>
      </c>
    </row>
    <row r="52" spans="1:64" ht="9.9499999999999993" customHeight="1" x14ac:dyDescent="0.15">
      <c r="A52" s="2"/>
      <c r="R52" s="57">
        <v>41501</v>
      </c>
      <c r="S52" s="52">
        <f t="shared" si="11"/>
        <v>342.51330498594962</v>
      </c>
      <c r="T52" s="52">
        <f t="shared" si="12"/>
        <v>825.27249520653072</v>
      </c>
      <c r="U52" s="52">
        <f t="shared" si="13"/>
        <v>1167.7858001924803</v>
      </c>
      <c r="V52" s="227">
        <f t="shared" si="14"/>
        <v>63.778339549107812</v>
      </c>
      <c r="W52" s="227">
        <f t="shared" si="15"/>
        <v>153.6714301419056</v>
      </c>
      <c r="X52" s="227">
        <f t="shared" si="16"/>
        <v>217.44976969101342</v>
      </c>
      <c r="Y52" s="52">
        <f t="shared" si="17"/>
        <v>118.10803620205149</v>
      </c>
      <c r="Z52" s="52">
        <f t="shared" si="18"/>
        <v>284.57672248501029</v>
      </c>
      <c r="AA52" s="445">
        <f t="shared" si="19"/>
        <v>402.68475868706184</v>
      </c>
      <c r="AB52" s="444">
        <f t="shared" si="0"/>
        <v>1889.1723073107592</v>
      </c>
      <c r="AC52" s="437">
        <f t="shared" si="1"/>
        <v>94.458615365537966</v>
      </c>
      <c r="AD52" s="52">
        <f t="shared" si="20"/>
        <v>110.30742972971846</v>
      </c>
      <c r="AE52" s="52">
        <f t="shared" si="2"/>
        <v>188.91723073107593</v>
      </c>
      <c r="AF52" s="52">
        <f t="shared" si="21"/>
        <v>41.080008313136503</v>
      </c>
      <c r="AG52" s="52">
        <f t="shared" si="3"/>
        <v>56.675169219322775</v>
      </c>
      <c r="AH52" s="435">
        <f t="shared" si="22"/>
        <v>22.822226840631387</v>
      </c>
      <c r="AI52" s="61">
        <f t="shared" si="25"/>
        <v>174.20966488348637</v>
      </c>
      <c r="AJ52" s="228">
        <f t="shared" si="4"/>
        <v>5.1353573626550779E-34</v>
      </c>
      <c r="AK52" s="229">
        <f t="shared" si="5"/>
        <v>0.44204609546901141</v>
      </c>
      <c r="AL52" s="229">
        <f t="shared" si="6"/>
        <v>0.94555877711612712</v>
      </c>
      <c r="AM52" s="229">
        <f t="shared" si="10"/>
        <v>1.3876048725851384</v>
      </c>
      <c r="AN52" s="52">
        <f t="shared" si="7"/>
        <v>3469.0121814628465</v>
      </c>
      <c r="AO52" s="52">
        <f t="shared" si="8"/>
        <v>221.0230477345057</v>
      </c>
      <c r="AP52" s="52">
        <f t="shared" si="9"/>
        <v>472.77938855806354</v>
      </c>
      <c r="AR52" s="10">
        <v>171.73081047303268</v>
      </c>
      <c r="AS52" s="10">
        <v>413.77871282615791</v>
      </c>
      <c r="AT52" s="52">
        <f t="shared" si="26"/>
        <v>585.50952329919062</v>
      </c>
      <c r="AV52" s="52">
        <f t="shared" ca="1" si="23"/>
        <v>1409.3024196582408</v>
      </c>
      <c r="AW52" s="52">
        <f t="shared" ca="1" si="24"/>
        <v>109.14979710922785</v>
      </c>
      <c r="AY52" s="227">
        <v>513.77462161895664</v>
      </c>
      <c r="AZ52" s="227">
        <v>1142.2302556410073</v>
      </c>
      <c r="BA52" s="227">
        <v>1656.0048772599639</v>
      </c>
      <c r="BB52" s="227">
        <v>128.85485449734168</v>
      </c>
      <c r="BC52" s="227">
        <v>290.26233599137151</v>
      </c>
      <c r="BD52" s="227">
        <v>419.11719048871316</v>
      </c>
      <c r="BE52" s="227">
        <v>642.62947611629829</v>
      </c>
      <c r="BF52" s="227">
        <v>1432.4925916323787</v>
      </c>
      <c r="BG52" s="443">
        <v>2075.1220677486772</v>
      </c>
      <c r="BH52" s="437">
        <v>13235.531147540984</v>
      </c>
      <c r="BI52" s="52">
        <v>7935.4200364298722</v>
      </c>
      <c r="BJ52" s="52">
        <v>2384.5311475409835</v>
      </c>
      <c r="BK52" s="52">
        <f t="shared" si="27"/>
        <v>2355.5482331511839</v>
      </c>
      <c r="BL52" s="34">
        <v>41487</v>
      </c>
    </row>
    <row r="53" spans="1:64" ht="9.9499999999999993" customHeight="1" x14ac:dyDescent="0.15">
      <c r="A53" s="2"/>
      <c r="R53" s="57">
        <v>41532</v>
      </c>
      <c r="S53" s="52">
        <f t="shared" si="11"/>
        <v>299.19023918832409</v>
      </c>
      <c r="T53" s="52">
        <f t="shared" si="12"/>
        <v>742.51397216078681</v>
      </c>
      <c r="U53" s="52">
        <f t="shared" si="13"/>
        <v>1041.7042113491109</v>
      </c>
      <c r="V53" s="227">
        <f t="shared" si="14"/>
        <v>55.711285917825826</v>
      </c>
      <c r="W53" s="227">
        <f t="shared" si="15"/>
        <v>138.2612224023533</v>
      </c>
      <c r="X53" s="227">
        <f t="shared" si="16"/>
        <v>193.97250832017914</v>
      </c>
      <c r="Y53" s="52">
        <f t="shared" si="17"/>
        <v>103.16904799597376</v>
      </c>
      <c r="Z53" s="52">
        <f t="shared" si="18"/>
        <v>256.03930074509873</v>
      </c>
      <c r="AA53" s="445">
        <f t="shared" si="19"/>
        <v>359.20834874107248</v>
      </c>
      <c r="AB53" s="444">
        <f t="shared" si="0"/>
        <v>1751.7250385041998</v>
      </c>
      <c r="AC53" s="437">
        <f t="shared" si="1"/>
        <v>87.586251925209993</v>
      </c>
      <c r="AD53" s="52">
        <f t="shared" si="20"/>
        <v>91.238967486775422</v>
      </c>
      <c r="AE53" s="52">
        <f t="shared" si="2"/>
        <v>175.17250385041999</v>
      </c>
      <c r="AF53" s="52">
        <f t="shared" si="21"/>
        <v>33.978649960592207</v>
      </c>
      <c r="AG53" s="52">
        <f t="shared" si="3"/>
        <v>52.551751155125991</v>
      </c>
      <c r="AH53" s="435">
        <f t="shared" si="22"/>
        <v>18.877027755884555</v>
      </c>
      <c r="AI53" s="61">
        <f t="shared" si="25"/>
        <v>144.09464520325218</v>
      </c>
      <c r="AJ53" s="228">
        <f t="shared" si="4"/>
        <v>3.5247596697301142E-35</v>
      </c>
      <c r="AK53" s="229">
        <f t="shared" si="5"/>
        <v>0.42961250073632934</v>
      </c>
      <c r="AL53" s="229">
        <f t="shared" si="6"/>
        <v>0.94371066317924501</v>
      </c>
      <c r="AM53" s="229">
        <f t="shared" si="10"/>
        <v>1.3733231639155743</v>
      </c>
      <c r="AN53" s="52">
        <f t="shared" si="7"/>
        <v>3433.3079097889358</v>
      </c>
      <c r="AO53" s="52">
        <f t="shared" si="8"/>
        <v>214.80625036816468</v>
      </c>
      <c r="AP53" s="52">
        <f t="shared" si="9"/>
        <v>471.85533158962249</v>
      </c>
      <c r="AQ53" s="474">
        <f>AO53/500</f>
        <v>0.42961250073632934</v>
      </c>
      <c r="AR53" s="10">
        <v>150.0093033277615</v>
      </c>
      <c r="AS53" s="10">
        <v>372.28488461770411</v>
      </c>
      <c r="AT53" s="52">
        <f t="shared" si="26"/>
        <v>522.29418794546564</v>
      </c>
      <c r="AV53" s="52">
        <f t="shared" ca="1" si="23"/>
        <v>620.08298472695708</v>
      </c>
      <c r="AW53" s="52">
        <f t="shared" ca="1" si="24"/>
        <v>91.220321859395412</v>
      </c>
      <c r="AY53" s="227">
        <v>193.93903755281158</v>
      </c>
      <c r="AZ53" s="227">
        <v>464.13935902877745</v>
      </c>
      <c r="BA53" s="227">
        <v>658.078396581589</v>
      </c>
      <c r="BB53" s="227">
        <v>52.661316419429888</v>
      </c>
      <c r="BC53" s="227">
        <v>124.66928593466562</v>
      </c>
      <c r="BD53" s="227">
        <v>177.33060235409553</v>
      </c>
      <c r="BE53" s="227">
        <v>246.60035397224146</v>
      </c>
      <c r="BF53" s="227">
        <v>588.80864496344304</v>
      </c>
      <c r="BG53" s="443">
        <v>835.40899893568462</v>
      </c>
      <c r="BH53" s="437">
        <v>6096.1978142076496</v>
      </c>
      <c r="BI53" s="52">
        <v>6081.827443837281</v>
      </c>
      <c r="BJ53" s="52">
        <v>2384.5311475409835</v>
      </c>
      <c r="BK53" s="52">
        <f t="shared" si="27"/>
        <v>1456.2556405585915</v>
      </c>
      <c r="BL53" s="34">
        <v>41518</v>
      </c>
    </row>
    <row r="54" spans="1:64" ht="9.9499999999999993" customHeight="1" thickBot="1" x14ac:dyDescent="0.2">
      <c r="A54" s="2"/>
      <c r="R54" s="57">
        <v>41562</v>
      </c>
      <c r="S54" s="52">
        <f t="shared" si="11"/>
        <v>259.71723958982136</v>
      </c>
      <c r="T54" s="52">
        <f t="shared" si="12"/>
        <v>663.25952181278706</v>
      </c>
      <c r="U54" s="52">
        <f t="shared" si="13"/>
        <v>922.97676140260842</v>
      </c>
      <c r="V54" s="227">
        <f t="shared" si="14"/>
        <v>48.361141165001193</v>
      </c>
      <c r="W54" s="227">
        <f t="shared" si="15"/>
        <v>123.50349716513961</v>
      </c>
      <c r="X54" s="227">
        <f t="shared" si="16"/>
        <v>171.86463833014079</v>
      </c>
      <c r="Y54" s="227">
        <f t="shared" si="17"/>
        <v>89.557668824076288</v>
      </c>
      <c r="Z54" s="52">
        <f t="shared" si="18"/>
        <v>228.7101799354437</v>
      </c>
      <c r="AA54" s="445">
        <f t="shared" si="19"/>
        <v>318.26784875951995</v>
      </c>
      <c r="AB54" s="444">
        <f t="shared" si="0"/>
        <v>1802.4141741405119</v>
      </c>
      <c r="AC54" s="437">
        <f t="shared" si="1"/>
        <v>90.120708707025599</v>
      </c>
      <c r="AD54" s="52">
        <f t="shared" si="20"/>
        <v>83.17931985771834</v>
      </c>
      <c r="AE54" s="52">
        <f t="shared" si="2"/>
        <v>180.2414174140512</v>
      </c>
      <c r="AF54" s="52">
        <f t="shared" si="21"/>
        <v>30.977126015977852</v>
      </c>
      <c r="AG54" s="52">
        <f t="shared" si="3"/>
        <v>54.072425224215358</v>
      </c>
      <c r="AH54" s="435">
        <f t="shared" si="22"/>
        <v>17.209514453321027</v>
      </c>
      <c r="AI54" s="61">
        <f t="shared" si="25"/>
        <v>131.36596032701721</v>
      </c>
      <c r="AJ54" s="228">
        <f t="shared" si="4"/>
        <v>2.6376593744512754E-36</v>
      </c>
      <c r="AK54" s="229">
        <f t="shared" si="5"/>
        <v>0.4179130753044315</v>
      </c>
      <c r="AL54" s="229">
        <f t="shared" si="6"/>
        <v>0.94192560516636903</v>
      </c>
      <c r="AM54" s="229">
        <f t="shared" si="10"/>
        <v>1.3598386804708005</v>
      </c>
      <c r="AN54" s="52">
        <f t="shared" si="7"/>
        <v>3399.5967011770008</v>
      </c>
      <c r="AO54" s="52">
        <f t="shared" si="8"/>
        <v>208.95653765221576</v>
      </c>
      <c r="AP54" s="52">
        <f t="shared" si="9"/>
        <v>470.9628025831845</v>
      </c>
      <c r="AR54" s="10">
        <v>130.21815911766831</v>
      </c>
      <c r="AS54" s="10">
        <v>332.54794361795223</v>
      </c>
      <c r="AT54" s="52">
        <f t="shared" si="26"/>
        <v>462.76610273562051</v>
      </c>
      <c r="AV54" s="52">
        <f t="shared" ca="1" si="23"/>
        <v>463.61840290860977</v>
      </c>
      <c r="AW54" s="52">
        <f t="shared" ca="1" si="24"/>
        <v>83.986978639642331</v>
      </c>
      <c r="AY54" s="227">
        <v>132.41203653926317</v>
      </c>
      <c r="AZ54" s="227">
        <v>410.96135419797503</v>
      </c>
      <c r="BA54" s="227">
        <v>464.75881878988201</v>
      </c>
      <c r="BB54" s="227">
        <v>48.480251063581662</v>
      </c>
      <c r="BC54" s="227">
        <v>111.08306479809792</v>
      </c>
      <c r="BD54" s="227">
        <v>129.03140235121987</v>
      </c>
      <c r="BE54" s="227">
        <v>180.89228760284482</v>
      </c>
      <c r="BF54" s="227">
        <v>522.04441899607286</v>
      </c>
      <c r="BG54" s="443">
        <v>593.79022114110194</v>
      </c>
      <c r="BH54" s="437">
        <v>4517</v>
      </c>
      <c r="BI54" s="52">
        <v>6096.1978142076496</v>
      </c>
      <c r="BJ54" s="52">
        <v>1530.1333333333334</v>
      </c>
      <c r="BK54" s="52">
        <f t="shared" si="27"/>
        <v>1214.3331147540982</v>
      </c>
      <c r="BL54" s="34">
        <v>41548</v>
      </c>
    </row>
    <row r="55" spans="1:64" ht="9.9499999999999993" customHeight="1" thickTop="1" x14ac:dyDescent="0.15">
      <c r="A55" s="2"/>
      <c r="B55" s="2" t="s">
        <v>82</v>
      </c>
      <c r="E55" s="12"/>
      <c r="F55" s="2"/>
      <c r="K55" s="476">
        <f ca="1">SUM(AV33:AV119)/10/1000</f>
        <v>1.5008975219572571</v>
      </c>
      <c r="L55" s="477"/>
      <c r="R55" s="57">
        <v>41593</v>
      </c>
      <c r="S55" s="52">
        <f t="shared" si="11"/>
        <v>203.83660271954565</v>
      </c>
      <c r="T55" s="52">
        <f t="shared" si="12"/>
        <v>535.97575357009407</v>
      </c>
      <c r="U55" s="52">
        <f t="shared" si="13"/>
        <v>739.81235628963975</v>
      </c>
      <c r="V55" s="227">
        <f t="shared" si="14"/>
        <v>37.955781196053309</v>
      </c>
      <c r="W55" s="227">
        <f t="shared" si="15"/>
        <v>99.802381699258845</v>
      </c>
      <c r="X55" s="227">
        <f t="shared" si="16"/>
        <v>137.75816289531215</v>
      </c>
      <c r="Y55" s="227">
        <f t="shared" si="17"/>
        <v>70.288483696395005</v>
      </c>
      <c r="Z55" s="52">
        <f t="shared" si="18"/>
        <v>184.81922536899785</v>
      </c>
      <c r="AA55" s="445">
        <f t="shared" si="19"/>
        <v>255.10770906539287</v>
      </c>
      <c r="AB55" s="444">
        <f t="shared" si="0"/>
        <v>1630.3889611137297</v>
      </c>
      <c r="AC55" s="437">
        <f t="shared" si="1"/>
        <v>81.519448055686496</v>
      </c>
      <c r="AD55" s="52">
        <f t="shared" si="20"/>
        <v>60.309094949508321</v>
      </c>
      <c r="AE55" s="52">
        <f t="shared" si="2"/>
        <v>163.03889611137299</v>
      </c>
      <c r="AF55" s="52">
        <f t="shared" si="21"/>
        <v>22.459938808782397</v>
      </c>
      <c r="AG55" s="52">
        <f t="shared" si="3"/>
        <v>48.911668833411888</v>
      </c>
      <c r="AH55" s="435">
        <f t="shared" si="22"/>
        <v>12.477743782656884</v>
      </c>
      <c r="AI55" s="61">
        <f t="shared" si="25"/>
        <v>95.246777540947605</v>
      </c>
      <c r="AJ55" s="228">
        <f t="shared" si="4"/>
        <v>1.8104125436647108E-37</v>
      </c>
      <c r="AK55" s="229">
        <f t="shared" si="5"/>
        <v>0.40615827899453316</v>
      </c>
      <c r="AL55" s="229">
        <f t="shared" si="6"/>
        <v>0.94008459233824704</v>
      </c>
      <c r="AM55" s="229">
        <f t="shared" si="10"/>
        <v>1.3462428713327803</v>
      </c>
      <c r="AN55" s="52">
        <f t="shared" si="7"/>
        <v>3365.6071783319503</v>
      </c>
      <c r="AO55" s="52">
        <f t="shared" si="8"/>
        <v>203.07913949726657</v>
      </c>
      <c r="AP55" s="52">
        <f t="shared" si="9"/>
        <v>470.04229616912352</v>
      </c>
      <c r="AR55" s="10">
        <v>102.20048237405877</v>
      </c>
      <c r="AS55" s="10">
        <v>268.72985432861498</v>
      </c>
      <c r="AT55" s="52">
        <f t="shared" si="26"/>
        <v>370.93033670267374</v>
      </c>
      <c r="AV55" s="52">
        <f t="shared" ca="1" si="23"/>
        <v>61.509667338411475</v>
      </c>
      <c r="AW55" s="52">
        <f t="shared" ca="1" si="24"/>
        <v>61.509667338411475</v>
      </c>
      <c r="AY55" s="227">
        <v>0</v>
      </c>
      <c r="AZ55" s="227">
        <v>0</v>
      </c>
      <c r="BA55" s="227">
        <v>0</v>
      </c>
      <c r="BB55" s="227">
        <v>0</v>
      </c>
      <c r="BC55" s="227">
        <v>0</v>
      </c>
      <c r="BD55" s="227">
        <v>0</v>
      </c>
      <c r="BE55" s="227">
        <v>0</v>
      </c>
      <c r="BF55" s="227">
        <v>0</v>
      </c>
      <c r="BG55" s="443">
        <v>0</v>
      </c>
      <c r="BH55" s="437">
        <v>0</v>
      </c>
      <c r="BI55" s="52">
        <v>0</v>
      </c>
      <c r="BJ55" s="52">
        <v>0</v>
      </c>
      <c r="BK55" s="52"/>
      <c r="BL55" s="34">
        <v>41579</v>
      </c>
    </row>
    <row r="56" spans="1:64" ht="9.9499999999999993" customHeight="1" thickBot="1" x14ac:dyDescent="0.2">
      <c r="A56" s="2"/>
      <c r="B56" s="2"/>
      <c r="C56" s="524" t="s">
        <v>725</v>
      </c>
      <c r="D56" s="525"/>
      <c r="E56" s="525"/>
      <c r="F56" s="525"/>
      <c r="G56" s="525"/>
      <c r="H56" s="525"/>
      <c r="I56" s="525"/>
      <c r="K56" s="478"/>
      <c r="L56" s="479"/>
      <c r="M56" s="2" t="s">
        <v>80</v>
      </c>
      <c r="R56" s="57">
        <v>41623</v>
      </c>
      <c r="S56" s="52">
        <f t="shared" si="11"/>
        <v>141.94293380611049</v>
      </c>
      <c r="T56" s="52">
        <f t="shared" si="12"/>
        <v>383.86482311579488</v>
      </c>
      <c r="U56" s="52">
        <f t="shared" si="13"/>
        <v>525.80775692190537</v>
      </c>
      <c r="V56" s="227">
        <f t="shared" si="14"/>
        <v>26.430753191482623</v>
      </c>
      <c r="W56" s="227">
        <f t="shared" si="15"/>
        <v>71.478277407768644</v>
      </c>
      <c r="X56" s="227">
        <f t="shared" si="16"/>
        <v>97.909030599251281</v>
      </c>
      <c r="Y56" s="227">
        <f t="shared" si="17"/>
        <v>48.945839243486347</v>
      </c>
      <c r="Z56" s="52">
        <f t="shared" si="18"/>
        <v>132.36718038475678</v>
      </c>
      <c r="AA56" s="445">
        <f t="shared" si="19"/>
        <v>181.31301962824313</v>
      </c>
      <c r="AB56" s="444">
        <f t="shared" si="0"/>
        <v>1636.3390481386809</v>
      </c>
      <c r="AC56" s="437">
        <f t="shared" si="1"/>
        <v>81.81695240693405</v>
      </c>
      <c r="AD56" s="52">
        <f t="shared" si="20"/>
        <v>43.019988223276279</v>
      </c>
      <c r="AE56" s="52">
        <f t="shared" si="2"/>
        <v>163.6339048138681</v>
      </c>
      <c r="AF56" s="227">
        <f t="shared" si="21"/>
        <v>16.021236993495982</v>
      </c>
      <c r="AG56" s="52">
        <f t="shared" si="3"/>
        <v>49.090171444160426</v>
      </c>
      <c r="AH56" s="227">
        <f t="shared" si="22"/>
        <v>8.9006872186088781</v>
      </c>
      <c r="AI56" s="61">
        <f t="shared" si="25"/>
        <v>67.941912435381141</v>
      </c>
      <c r="AJ56" s="228">
        <f t="shared" si="4"/>
        <v>1.3547736767502706E-38</v>
      </c>
      <c r="AK56" s="229">
        <f t="shared" si="5"/>
        <v>0.395097570820306</v>
      </c>
      <c r="AL56" s="229">
        <f t="shared" si="6"/>
        <v>0.93830639315092268</v>
      </c>
      <c r="AM56" s="229">
        <f t="shared" si="10"/>
        <v>1.3334039639712287</v>
      </c>
      <c r="AN56" s="52">
        <f t="shared" si="7"/>
        <v>3333.5099099280715</v>
      </c>
      <c r="AO56" s="52">
        <f t="shared" si="8"/>
        <v>197.54878541015299</v>
      </c>
      <c r="AP56" s="52">
        <f t="shared" si="9"/>
        <v>469.15319657546132</v>
      </c>
      <c r="AR56" s="10">
        <v>71.167965473467731</v>
      </c>
      <c r="AS56" s="10">
        <v>192.46381447420555</v>
      </c>
      <c r="AT56" s="52">
        <f t="shared" si="26"/>
        <v>263.63177994767329</v>
      </c>
      <c r="AV56" s="52">
        <f t="shared" ca="1" si="23"/>
        <v>44.298857851142813</v>
      </c>
      <c r="AW56" s="52">
        <f t="shared" ca="1" si="24"/>
        <v>44.298857851142813</v>
      </c>
      <c r="AY56" s="227">
        <v>0</v>
      </c>
      <c r="AZ56" s="227">
        <v>0</v>
      </c>
      <c r="BA56" s="227">
        <v>0</v>
      </c>
      <c r="BB56" s="227">
        <v>0</v>
      </c>
      <c r="BC56" s="227">
        <v>0</v>
      </c>
      <c r="BD56" s="227">
        <v>0</v>
      </c>
      <c r="BE56" s="227">
        <v>0</v>
      </c>
      <c r="BF56" s="227">
        <v>0</v>
      </c>
      <c r="BG56" s="443">
        <v>0</v>
      </c>
      <c r="BH56" s="437">
        <v>0</v>
      </c>
      <c r="BI56" s="52">
        <v>0</v>
      </c>
      <c r="BJ56" s="52">
        <v>0</v>
      </c>
      <c r="BK56" s="52"/>
      <c r="BL56" s="34">
        <v>41609</v>
      </c>
    </row>
    <row r="57" spans="1:64" ht="9.9499999999999993" customHeight="1" thickTop="1" thickBot="1" x14ac:dyDescent="0.2">
      <c r="A57" s="2"/>
      <c r="B57" s="2"/>
      <c r="C57" s="525"/>
      <c r="D57" s="525"/>
      <c r="E57" s="525"/>
      <c r="F57" s="525"/>
      <c r="G57" s="525"/>
      <c r="H57" s="525"/>
      <c r="I57" s="525"/>
      <c r="R57" s="57">
        <v>41654</v>
      </c>
      <c r="S57" s="52">
        <f t="shared" si="11"/>
        <v>120.81155638249923</v>
      </c>
      <c r="T57" s="52">
        <f t="shared" si="12"/>
        <v>336.27273353696063</v>
      </c>
      <c r="U57" s="52">
        <f t="shared" si="13"/>
        <v>457.08428991945988</v>
      </c>
      <c r="V57" s="227">
        <f t="shared" si="14"/>
        <v>22.495944981568805</v>
      </c>
      <c r="W57" s="227">
        <f t="shared" si="15"/>
        <v>62.616302106882273</v>
      </c>
      <c r="X57" s="227">
        <f t="shared" si="16"/>
        <v>85.112247088451085</v>
      </c>
      <c r="Y57" s="227">
        <f t="shared" si="17"/>
        <v>41.659157373275569</v>
      </c>
      <c r="Z57" s="52">
        <f t="shared" si="18"/>
        <v>115.95611501274496</v>
      </c>
      <c r="AA57" s="445">
        <f t="shared" si="19"/>
        <v>157.61527238602054</v>
      </c>
      <c r="AB57" s="444">
        <f t="shared" si="0"/>
        <v>1499.2982143116176</v>
      </c>
      <c r="AC57" s="437">
        <f t="shared" si="1"/>
        <v>74.964910715580885</v>
      </c>
      <c r="AD57" s="52">
        <f t="shared" si="20"/>
        <v>34.265282983306996</v>
      </c>
      <c r="AE57" s="52">
        <f t="shared" si="2"/>
        <v>149.92982143116177</v>
      </c>
      <c r="AF57" s="227">
        <f t="shared" si="21"/>
        <v>12.760864007576389</v>
      </c>
      <c r="AG57" s="52">
        <f t="shared" si="3"/>
        <v>44.978946429348525</v>
      </c>
      <c r="AH57" s="227">
        <f t="shared" si="22"/>
        <v>7.0893688930979932</v>
      </c>
      <c r="AI57" s="61">
        <f t="shared" si="25"/>
        <v>54.115515883981374</v>
      </c>
      <c r="AJ57" s="228">
        <f t="shared" si="4"/>
        <v>9.2987717897641595E-40</v>
      </c>
      <c r="AK57" s="229">
        <f t="shared" si="5"/>
        <v>0.38398451468023381</v>
      </c>
      <c r="AL57" s="229">
        <f t="shared" si="6"/>
        <v>0.93647245414658431</v>
      </c>
      <c r="AM57" s="229">
        <f t="shared" si="10"/>
        <v>1.3204569688268182</v>
      </c>
      <c r="AN57" s="52">
        <f t="shared" si="7"/>
        <v>3301.1424220670451</v>
      </c>
      <c r="AO57" s="52">
        <f t="shared" si="8"/>
        <v>191.99225734011691</v>
      </c>
      <c r="AP57" s="52">
        <f t="shared" si="9"/>
        <v>468.23622707329213</v>
      </c>
      <c r="AR57" s="10">
        <v>60.573023558679431</v>
      </c>
      <c r="AS57" s="10">
        <v>168.60188561916837</v>
      </c>
      <c r="AT57" s="52">
        <f t="shared" si="26"/>
        <v>229.17490917784781</v>
      </c>
      <c r="AV57" s="52">
        <f t="shared" ca="1" si="23"/>
        <v>35.629854892716473</v>
      </c>
      <c r="AW57" s="52">
        <f t="shared" ca="1" si="24"/>
        <v>35.629854892716473</v>
      </c>
      <c r="AY57" s="227">
        <v>0</v>
      </c>
      <c r="AZ57" s="227">
        <v>0</v>
      </c>
      <c r="BA57" s="227">
        <v>0</v>
      </c>
      <c r="BB57" s="227">
        <v>0</v>
      </c>
      <c r="BC57" s="227">
        <v>0</v>
      </c>
      <c r="BD57" s="227">
        <v>0</v>
      </c>
      <c r="BE57" s="227">
        <v>0</v>
      </c>
      <c r="BF57" s="227">
        <v>0</v>
      </c>
      <c r="BG57" s="443">
        <v>0</v>
      </c>
      <c r="BH57" s="437">
        <v>0</v>
      </c>
      <c r="BI57" s="52">
        <v>0</v>
      </c>
      <c r="BJ57" s="52">
        <v>0</v>
      </c>
      <c r="BK57" s="52"/>
      <c r="BL57" s="34">
        <v>41640</v>
      </c>
    </row>
    <row r="58" spans="1:64" ht="9.9499999999999993" customHeight="1" thickTop="1" x14ac:dyDescent="0.15">
      <c r="A58" s="2"/>
      <c r="K58" s="476">
        <f ca="1">SUM(AW36:AW119)/10/1000</f>
        <v>0.45918121850172355</v>
      </c>
      <c r="L58" s="477"/>
      <c r="R58" s="57">
        <v>41685</v>
      </c>
      <c r="S58" s="52">
        <f t="shared" si="11"/>
        <v>104.05132524684083</v>
      </c>
      <c r="T58" s="52">
        <f t="shared" si="12"/>
        <v>297.98237854361383</v>
      </c>
      <c r="U58" s="52">
        <f t="shared" si="13"/>
        <v>402.03370379045469</v>
      </c>
      <c r="V58" s="227">
        <f t="shared" si="14"/>
        <v>19.375074356308279</v>
      </c>
      <c r="W58" s="227">
        <f t="shared" si="15"/>
        <v>55.486373935707356</v>
      </c>
      <c r="X58" s="227">
        <f t="shared" si="16"/>
        <v>74.861448292015638</v>
      </c>
      <c r="Y58" s="227">
        <f t="shared" si="17"/>
        <v>35.879767326496811</v>
      </c>
      <c r="Z58" s="52">
        <f t="shared" si="18"/>
        <v>102.75254432538401</v>
      </c>
      <c r="AA58" s="445">
        <f t="shared" si="19"/>
        <v>138.63231165188083</v>
      </c>
      <c r="AB58" s="444">
        <f t="shared" si="0"/>
        <v>1282.9188124027812</v>
      </c>
      <c r="AC58" s="437">
        <f t="shared" si="1"/>
        <v>64.145940620139058</v>
      </c>
      <c r="AD58" s="52">
        <f t="shared" si="20"/>
        <v>25.788830090637081</v>
      </c>
      <c r="AE58" s="52">
        <f t="shared" si="2"/>
        <v>128.29188124027812</v>
      </c>
      <c r="AF58" s="227">
        <f t="shared" si="21"/>
        <v>9.604116033754492</v>
      </c>
      <c r="AG58" s="52">
        <f t="shared" si="3"/>
        <v>38.487564372083433</v>
      </c>
      <c r="AH58" s="227">
        <f t="shared" si="22"/>
        <v>5.3356200187524951</v>
      </c>
      <c r="AI58" s="61">
        <f t="shared" si="25"/>
        <v>40.728566143144064</v>
      </c>
      <c r="AJ58" s="228">
        <f t="shared" si="4"/>
        <v>6.3824060270733533E-41</v>
      </c>
      <c r="AK58" s="229">
        <f t="shared" si="5"/>
        <v>0.37318403959834423</v>
      </c>
      <c r="AL58" s="229">
        <f t="shared" si="6"/>
        <v>0.93464209961347622</v>
      </c>
      <c r="AM58" s="229">
        <f t="shared" si="10"/>
        <v>1.3078261392118204</v>
      </c>
      <c r="AN58" s="52">
        <f t="shared" si="7"/>
        <v>3269.5653480295514</v>
      </c>
      <c r="AO58" s="52">
        <f t="shared" si="8"/>
        <v>186.59201979917211</v>
      </c>
      <c r="AP58" s="52">
        <f t="shared" si="9"/>
        <v>467.32104980673813</v>
      </c>
      <c r="AR58" s="10">
        <v>52.16970598022786</v>
      </c>
      <c r="AS58" s="10">
        <v>149.40370090462912</v>
      </c>
      <c r="AT58" s="52">
        <f t="shared" si="26"/>
        <v>201.57340688485698</v>
      </c>
      <c r="AV58" s="52">
        <f t="shared" ca="1" si="23"/>
        <v>27.074822076609038</v>
      </c>
      <c r="AW58" s="52">
        <f t="shared" ca="1" si="24"/>
        <v>27.074822076609038</v>
      </c>
      <c r="AY58" s="227">
        <v>0</v>
      </c>
      <c r="AZ58" s="227">
        <v>0</v>
      </c>
      <c r="BA58" s="227">
        <v>0</v>
      </c>
      <c r="BB58" s="227">
        <v>0</v>
      </c>
      <c r="BC58" s="227">
        <v>0</v>
      </c>
      <c r="BD58" s="227">
        <v>0</v>
      </c>
      <c r="BE58" s="227">
        <v>0</v>
      </c>
      <c r="BF58" s="227">
        <v>0</v>
      </c>
      <c r="BG58" s="443">
        <v>0</v>
      </c>
      <c r="BH58" s="437">
        <v>0</v>
      </c>
      <c r="BI58" s="52">
        <v>0</v>
      </c>
      <c r="BJ58" s="52">
        <v>0</v>
      </c>
      <c r="BK58" s="52"/>
      <c r="BL58" s="34">
        <v>41671</v>
      </c>
    </row>
    <row r="59" spans="1:64" ht="9.9499999999999993" customHeight="1" thickBot="1" x14ac:dyDescent="0.2">
      <c r="A59" s="2"/>
      <c r="G59" s="2" t="s">
        <v>723</v>
      </c>
      <c r="K59" s="478"/>
      <c r="L59" s="479"/>
      <c r="M59" s="2" t="s">
        <v>80</v>
      </c>
      <c r="R59" s="57">
        <v>41713</v>
      </c>
      <c r="S59" s="52">
        <f t="shared" si="11"/>
        <v>86.612495619028877</v>
      </c>
      <c r="T59" s="52">
        <f t="shared" si="12"/>
        <v>254.40592740898529</v>
      </c>
      <c r="U59" s="52">
        <f t="shared" si="13"/>
        <v>341.01842302801418</v>
      </c>
      <c r="V59" s="227">
        <f t="shared" si="14"/>
        <v>16.127844011819157</v>
      </c>
      <c r="W59" s="227">
        <f t="shared" si="15"/>
        <v>47.372138207190318</v>
      </c>
      <c r="X59" s="227">
        <f t="shared" si="16"/>
        <v>63.499982219009482</v>
      </c>
      <c r="Y59" s="227">
        <f t="shared" si="17"/>
        <v>29.866377799665109</v>
      </c>
      <c r="Z59" s="52">
        <f t="shared" si="18"/>
        <v>87.726181865167277</v>
      </c>
      <c r="AA59" s="445">
        <f t="shared" si="19"/>
        <v>117.59255966483239</v>
      </c>
      <c r="AB59" s="444">
        <f t="shared" si="0"/>
        <v>1555.3248736189441</v>
      </c>
      <c r="AC59" s="437">
        <f t="shared" si="1"/>
        <v>77.766243680947213</v>
      </c>
      <c r="AD59" s="52">
        <f t="shared" si="20"/>
        <v>26.51972178488889</v>
      </c>
      <c r="AE59" s="52">
        <f t="shared" si="2"/>
        <v>155.53248736189443</v>
      </c>
      <c r="AF59" s="227">
        <f t="shared" si="21"/>
        <v>9.8763101819586137</v>
      </c>
      <c r="AG59" s="52">
        <f t="shared" si="3"/>
        <v>46.659746208568322</v>
      </c>
      <c r="AH59" s="227">
        <f t="shared" si="22"/>
        <v>5.4868389899770076</v>
      </c>
      <c r="AI59" s="61">
        <f t="shared" si="25"/>
        <v>41.882870956824512</v>
      </c>
      <c r="AJ59" s="228">
        <f t="shared" si="4"/>
        <v>5.6772020222751268E-42</v>
      </c>
      <c r="AK59" s="229">
        <f t="shared" si="5"/>
        <v>0.36369012365256159</v>
      </c>
      <c r="AL59" s="229">
        <f t="shared" si="6"/>
        <v>0.93299195126593826</v>
      </c>
      <c r="AM59" s="229">
        <f t="shared" si="10"/>
        <v>1.2966820749185</v>
      </c>
      <c r="AN59" s="52">
        <f t="shared" si="7"/>
        <v>3241.7051872962493</v>
      </c>
      <c r="AO59" s="52">
        <f t="shared" si="8"/>
        <v>181.84506182628078</v>
      </c>
      <c r="AP59" s="52">
        <f t="shared" si="9"/>
        <v>466.49597563296913</v>
      </c>
      <c r="AQ59" s="473">
        <f>AO59/500</f>
        <v>0.36369012365256159</v>
      </c>
      <c r="AR59" s="10">
        <v>43.42614973849841</v>
      </c>
      <c r="AS59" s="10">
        <v>127.5551503170972</v>
      </c>
      <c r="AT59" s="52">
        <f t="shared" si="26"/>
        <v>170.98130005559563</v>
      </c>
      <c r="AV59" s="52">
        <f t="shared" ca="1" si="23"/>
        <v>28.081444247475915</v>
      </c>
      <c r="AW59" s="52">
        <f t="shared" ca="1" si="24"/>
        <v>28.081444247475915</v>
      </c>
      <c r="AY59" s="227">
        <v>0</v>
      </c>
      <c r="AZ59" s="227">
        <v>0</v>
      </c>
      <c r="BA59" s="227">
        <v>0</v>
      </c>
      <c r="BB59" s="227">
        <v>0</v>
      </c>
      <c r="BC59" s="227">
        <v>0</v>
      </c>
      <c r="BD59" s="227">
        <v>0</v>
      </c>
      <c r="BE59" s="227">
        <v>0</v>
      </c>
      <c r="BF59" s="227">
        <v>0</v>
      </c>
      <c r="BG59" s="443">
        <v>0</v>
      </c>
      <c r="BH59" s="437">
        <v>0</v>
      </c>
      <c r="BI59" s="52">
        <v>0</v>
      </c>
      <c r="BJ59" s="52">
        <v>0</v>
      </c>
      <c r="BK59" s="52"/>
      <c r="BL59" s="34">
        <v>41699</v>
      </c>
    </row>
    <row r="60" spans="1:64" ht="9.9499999999999993" customHeight="1" thickTop="1" x14ac:dyDescent="0.15">
      <c r="A60" s="2"/>
      <c r="R60" s="57">
        <v>41744</v>
      </c>
      <c r="S60" s="52">
        <f t="shared" si="11"/>
        <v>148.54876915809166</v>
      </c>
      <c r="T60" s="52">
        <f t="shared" si="12"/>
        <v>448.53198787529402</v>
      </c>
      <c r="U60" s="52">
        <f t="shared" si="13"/>
        <v>597.08075703338568</v>
      </c>
      <c r="V60" s="227">
        <f t="shared" si="14"/>
        <v>27.660805291506701</v>
      </c>
      <c r="W60" s="227">
        <f t="shared" si="15"/>
        <v>83.519749466433979</v>
      </c>
      <c r="X60" s="227">
        <f t="shared" si="16"/>
        <v>111.18055475794068</v>
      </c>
      <c r="Y60" s="227">
        <f t="shared" si="17"/>
        <v>51.22371350279019</v>
      </c>
      <c r="Z60" s="52">
        <f t="shared" si="18"/>
        <v>154.66620271561848</v>
      </c>
      <c r="AA60" s="445">
        <f t="shared" si="19"/>
        <v>205.8899162184087</v>
      </c>
      <c r="AB60" s="444">
        <f t="shared" si="0"/>
        <v>1605.6394928463783</v>
      </c>
      <c r="AC60" s="437">
        <f t="shared" si="1"/>
        <v>80.281974642318914</v>
      </c>
      <c r="AD60" s="52">
        <f t="shared" si="20"/>
        <v>47.934822195570852</v>
      </c>
      <c r="AE60" s="52">
        <f t="shared" si="2"/>
        <v>160.56394928463783</v>
      </c>
      <c r="AF60" s="227">
        <f t="shared" si="21"/>
        <v>17.851588955591886</v>
      </c>
      <c r="AG60" s="52">
        <f t="shared" si="3"/>
        <v>48.169184785391344</v>
      </c>
      <c r="AH60" s="227">
        <f t="shared" si="22"/>
        <v>9.9175494197732714</v>
      </c>
      <c r="AI60" s="61">
        <f t="shared" si="25"/>
        <v>75.703960570936005</v>
      </c>
      <c r="AJ60" s="228">
        <f t="shared" si="4"/>
        <v>3.8966660568837107E-43</v>
      </c>
      <c r="AK60" s="229">
        <f t="shared" si="5"/>
        <v>0.35346047644579887</v>
      </c>
      <c r="AL60" s="229">
        <f t="shared" si="6"/>
        <v>0.93116839944677765</v>
      </c>
      <c r="AM60" s="229">
        <f t="shared" si="10"/>
        <v>1.2846288758925766</v>
      </c>
      <c r="AN60" s="52">
        <f t="shared" si="7"/>
        <v>3211.5721897314411</v>
      </c>
      <c r="AO60" s="52">
        <f t="shared" si="8"/>
        <v>176.73023822289943</v>
      </c>
      <c r="AP60" s="52">
        <f t="shared" si="9"/>
        <v>465.58419972338885</v>
      </c>
      <c r="AR60" s="10">
        <v>74.480027931577709</v>
      </c>
      <c r="AS60" s="10">
        <v>224.88691878426286</v>
      </c>
      <c r="AT60" s="52">
        <f t="shared" si="26"/>
        <v>299.36694671584058</v>
      </c>
      <c r="AV60" s="52">
        <f t="shared" ca="1" si="23"/>
        <v>51.233900990588694</v>
      </c>
      <c r="AW60" s="52">
        <f t="shared" ca="1" si="24"/>
        <v>51.233900990588694</v>
      </c>
      <c r="AY60" s="10"/>
      <c r="AZ60" s="10"/>
      <c r="BA60" s="10"/>
      <c r="BB60" s="10"/>
      <c r="BC60" s="10"/>
      <c r="BD60" s="10"/>
      <c r="BE60" s="10"/>
      <c r="BF60" s="10"/>
      <c r="BG60" s="439"/>
      <c r="BH60" s="59"/>
      <c r="BI60" s="10"/>
      <c r="BJ60" s="10"/>
      <c r="BK60" s="10"/>
      <c r="BL60" s="10"/>
    </row>
    <row r="61" spans="1:64" ht="9.9499999999999993" customHeight="1" x14ac:dyDescent="0.15">
      <c r="A61" s="2"/>
      <c r="R61" s="57">
        <v>41774</v>
      </c>
      <c r="S61" s="52">
        <f t="shared" si="11"/>
        <v>211.92985210281537</v>
      </c>
      <c r="T61" s="52">
        <f t="shared" si="12"/>
        <v>656.95810774581344</v>
      </c>
      <c r="U61" s="52">
        <f t="shared" si="13"/>
        <v>868.88795984862884</v>
      </c>
      <c r="V61" s="227">
        <f t="shared" si="14"/>
        <v>39.462800046731104</v>
      </c>
      <c r="W61" s="227">
        <f t="shared" si="15"/>
        <v>122.33013040784101</v>
      </c>
      <c r="X61" s="227">
        <f t="shared" si="16"/>
        <v>161.79293045457212</v>
      </c>
      <c r="Y61" s="227">
        <f t="shared" si="17"/>
        <v>73.079259345798349</v>
      </c>
      <c r="Z61" s="52">
        <f t="shared" si="18"/>
        <v>226.53727853303894</v>
      </c>
      <c r="AA61" s="445">
        <f t="shared" si="19"/>
        <v>299.61653787883728</v>
      </c>
      <c r="AB61" s="444">
        <f t="shared" si="0"/>
        <v>1804.1420041176332</v>
      </c>
      <c r="AC61" s="437">
        <f t="shared" si="1"/>
        <v>90.207100205881659</v>
      </c>
      <c r="AD61" s="52">
        <f t="shared" si="20"/>
        <v>78.379863261749335</v>
      </c>
      <c r="AE61" s="52">
        <f t="shared" si="2"/>
        <v>180.41420041176332</v>
      </c>
      <c r="AF61" s="227">
        <f t="shared" si="21"/>
        <v>29.189742180237658</v>
      </c>
      <c r="AG61" s="52">
        <f t="shared" si="3"/>
        <v>54.124260123528991</v>
      </c>
      <c r="AH61" s="227">
        <f t="shared" si="22"/>
        <v>16.216523433465365</v>
      </c>
      <c r="AI61" s="61">
        <f t="shared" si="25"/>
        <v>123.78612887545236</v>
      </c>
      <c r="AJ61" s="228">
        <f t="shared" si="4"/>
        <v>2.915965545767943E-44</v>
      </c>
      <c r="AK61" s="229">
        <f t="shared" si="5"/>
        <v>0.34383486154815712</v>
      </c>
      <c r="AL61" s="229">
        <f t="shared" si="6"/>
        <v>0.92940706551507268</v>
      </c>
      <c r="AM61" s="229">
        <f t="shared" si="10"/>
        <v>1.2732419270632298</v>
      </c>
      <c r="AN61" s="52">
        <f t="shared" si="7"/>
        <v>3183.1048176580744</v>
      </c>
      <c r="AO61" s="52">
        <f t="shared" si="8"/>
        <v>171.91743077407855</v>
      </c>
      <c r="AP61" s="52">
        <f t="shared" si="9"/>
        <v>464.70353275753632</v>
      </c>
      <c r="AR61" s="10">
        <v>106.25831094806493</v>
      </c>
      <c r="AS61" s="10">
        <v>329.388513227673</v>
      </c>
      <c r="AT61" s="52">
        <f t="shared" si="26"/>
        <v>435.64682417573795</v>
      </c>
      <c r="AV61" s="52">
        <f t="shared" ca="1" si="23"/>
        <v>84.523515905404224</v>
      </c>
      <c r="AW61" s="52">
        <f t="shared" ca="1" si="24"/>
        <v>84.523515905404224</v>
      </c>
      <c r="AY61" s="10"/>
      <c r="AZ61" s="10"/>
      <c r="BA61" s="10"/>
      <c r="BB61" s="10"/>
      <c r="BC61" s="10"/>
      <c r="BD61" s="10"/>
      <c r="BE61" s="10"/>
      <c r="BF61" s="10"/>
      <c r="BG61" s="439"/>
      <c r="BH61" s="59"/>
      <c r="BI61" s="10"/>
      <c r="BJ61" s="10"/>
      <c r="BK61" s="10"/>
      <c r="BL61" s="10"/>
    </row>
    <row r="62" spans="1:64" ht="9.9499999999999993" customHeight="1" x14ac:dyDescent="0.15">
      <c r="A62" s="2"/>
      <c r="R62" s="57">
        <v>41805</v>
      </c>
      <c r="S62" s="52">
        <f t="shared" si="11"/>
        <v>216.45475508255231</v>
      </c>
      <c r="T62" s="52">
        <f t="shared" si="12"/>
        <v>689.10616063717089</v>
      </c>
      <c r="U62" s="52">
        <f t="shared" si="13"/>
        <v>905.5609157197232</v>
      </c>
      <c r="V62" s="227">
        <f t="shared" si="14"/>
        <v>40.305368187785568</v>
      </c>
      <c r="W62" s="227">
        <f t="shared" si="15"/>
        <v>128.31631956692135</v>
      </c>
      <c r="X62" s="227">
        <f t="shared" si="16"/>
        <v>168.62168775470693</v>
      </c>
      <c r="Y62" s="227">
        <f t="shared" si="17"/>
        <v>74.639570718121433</v>
      </c>
      <c r="Z62" s="52">
        <f t="shared" si="18"/>
        <v>237.62281401281737</v>
      </c>
      <c r="AA62" s="445">
        <f t="shared" si="19"/>
        <v>312.26238473093883</v>
      </c>
      <c r="AB62" s="444">
        <f t="shared" si="0"/>
        <v>1770.4952473272756</v>
      </c>
      <c r="AC62" s="437">
        <f t="shared" si="1"/>
        <v>88.524762366363788</v>
      </c>
      <c r="AD62" s="52">
        <f t="shared" si="20"/>
        <v>80.164564872355285</v>
      </c>
      <c r="AE62" s="52">
        <f t="shared" si="2"/>
        <v>177.04952473272758</v>
      </c>
      <c r="AF62" s="227">
        <f t="shared" si="21"/>
        <v>29.854389676601251</v>
      </c>
      <c r="AG62" s="52">
        <f t="shared" si="3"/>
        <v>53.114857419818264</v>
      </c>
      <c r="AH62" s="227">
        <f t="shared" si="22"/>
        <v>16.58577204255625</v>
      </c>
      <c r="AI62" s="61">
        <f t="shared" si="25"/>
        <v>126.60472659151279</v>
      </c>
      <c r="AJ62" s="228">
        <f t="shared" si="4"/>
        <v>2.0014337909156898E-45</v>
      </c>
      <c r="AK62" s="229">
        <f t="shared" si="5"/>
        <v>0.33416369067417462</v>
      </c>
      <c r="AL62" s="229">
        <f t="shared" si="6"/>
        <v>0.92759052042831058</v>
      </c>
      <c r="AM62" s="229">
        <f t="shared" si="10"/>
        <v>1.2617542111024851</v>
      </c>
      <c r="AN62" s="52">
        <f t="shared" si="7"/>
        <v>3154.3855277562134</v>
      </c>
      <c r="AO62" s="52">
        <f t="shared" si="8"/>
        <v>167.08184533708732</v>
      </c>
      <c r="AP62" s="52">
        <f t="shared" si="9"/>
        <v>463.79526021415529</v>
      </c>
      <c r="AR62" s="10">
        <v>108.52702648322915</v>
      </c>
      <c r="AS62" s="10">
        <v>345.50704380092827</v>
      </c>
      <c r="AT62" s="52">
        <f t="shared" si="26"/>
        <v>454.03407028415745</v>
      </c>
      <c r="AV62" s="52">
        <f t="shared" ca="1" si="23"/>
        <v>87.23517978861635</v>
      </c>
      <c r="AW62" s="52">
        <f t="shared" ca="1" si="24"/>
        <v>87.23517978861635</v>
      </c>
      <c r="AY62" s="10"/>
      <c r="AZ62" s="10"/>
      <c r="BA62" s="10"/>
      <c r="BB62" s="10"/>
      <c r="BC62" s="10"/>
      <c r="BD62" s="10"/>
      <c r="BE62" s="10"/>
      <c r="BF62" s="10"/>
      <c r="BG62" s="439"/>
      <c r="BH62" s="59"/>
      <c r="BI62" s="10"/>
      <c r="BJ62" s="10"/>
      <c r="BK62" s="10"/>
      <c r="BL62" s="10"/>
    </row>
    <row r="63" spans="1:64" ht="9.9499999999999993" customHeight="1" x14ac:dyDescent="0.15">
      <c r="A63" s="2"/>
      <c r="R63" s="57">
        <v>41835</v>
      </c>
      <c r="S63" s="52">
        <f t="shared" si="11"/>
        <v>195.38380977236613</v>
      </c>
      <c r="T63" s="52">
        <f t="shared" si="12"/>
        <v>638.00693488150682</v>
      </c>
      <c r="U63" s="52">
        <f t="shared" si="13"/>
        <v>833.39074465387296</v>
      </c>
      <c r="V63" s="227">
        <f t="shared" si="14"/>
        <v>36.3818128541647</v>
      </c>
      <c r="W63" s="227">
        <f t="shared" si="15"/>
        <v>118.80129132276323</v>
      </c>
      <c r="X63" s="227">
        <f t="shared" si="16"/>
        <v>155.18310417692794</v>
      </c>
      <c r="Y63" s="227">
        <f t="shared" si="17"/>
        <v>67.373727507712417</v>
      </c>
      <c r="Z63" s="52">
        <f t="shared" si="18"/>
        <v>220.00239133845051</v>
      </c>
      <c r="AA63" s="445">
        <f t="shared" si="19"/>
        <v>287.37611884616291</v>
      </c>
      <c r="AB63" s="444">
        <f t="shared" si="0"/>
        <v>1883.6636124801007</v>
      </c>
      <c r="AC63" s="437">
        <f t="shared" si="1"/>
        <v>94.183180624005047</v>
      </c>
      <c r="AD63" s="52">
        <f t="shared" si="20"/>
        <v>78.491391034109782</v>
      </c>
      <c r="AE63" s="52">
        <f t="shared" si="2"/>
        <v>188.36636124801009</v>
      </c>
      <c r="AF63" s="227">
        <f t="shared" si="21"/>
        <v>29.231276660978793</v>
      </c>
      <c r="AG63" s="52">
        <f t="shared" si="3"/>
        <v>56.509908374403018</v>
      </c>
      <c r="AH63" s="227">
        <f t="shared" si="22"/>
        <v>16.239598144988218</v>
      </c>
      <c r="AI63" s="61">
        <f t="shared" si="25"/>
        <v>123.9622658400768</v>
      </c>
      <c r="AJ63" s="228">
        <f t="shared" si="4"/>
        <v>1.4977193044643912E-46</v>
      </c>
      <c r="AK63" s="229">
        <f t="shared" si="5"/>
        <v>0.32506357563006016</v>
      </c>
      <c r="AL63" s="229">
        <f t="shared" si="6"/>
        <v>0.92583595416582898</v>
      </c>
      <c r="AM63" s="229">
        <f t="shared" si="10"/>
        <v>1.2508995297958891</v>
      </c>
      <c r="AN63" s="52">
        <f t="shared" si="7"/>
        <v>3127.2488244897231</v>
      </c>
      <c r="AO63" s="52">
        <f t="shared" si="8"/>
        <v>162.53178781503007</v>
      </c>
      <c r="AP63" s="52">
        <f t="shared" si="9"/>
        <v>462.91797708291449</v>
      </c>
      <c r="AR63" s="10">
        <v>97.962384284294274</v>
      </c>
      <c r="AS63" s="10">
        <v>319.88669175672192</v>
      </c>
      <c r="AT63" s="52">
        <f t="shared" si="26"/>
        <v>417.84907604101619</v>
      </c>
      <c r="AV63" s="52">
        <f t="shared" ca="1" si="23"/>
        <v>86.155613683668321</v>
      </c>
      <c r="AW63" s="52">
        <f t="shared" ca="1" si="24"/>
        <v>86.155613683668321</v>
      </c>
      <c r="AY63" s="10"/>
      <c r="AZ63" s="10"/>
      <c r="BA63" s="10"/>
      <c r="BB63" s="10"/>
      <c r="BC63" s="10"/>
      <c r="BD63" s="10"/>
      <c r="BE63" s="10"/>
      <c r="BF63" s="10"/>
      <c r="BG63" s="439"/>
      <c r="BH63" s="59"/>
      <c r="BI63" s="10"/>
      <c r="BJ63" s="10"/>
      <c r="BK63" s="10"/>
      <c r="BL63" s="10"/>
    </row>
    <row r="64" spans="1:64" ht="9.9499999999999993" customHeight="1" x14ac:dyDescent="0.15">
      <c r="A64" s="2"/>
      <c r="R64" s="57">
        <v>41866</v>
      </c>
      <c r="S64" s="52">
        <f t="shared" si="11"/>
        <v>160.9546326861703</v>
      </c>
      <c r="T64" s="52">
        <f t="shared" si="12"/>
        <v>539.29523438347167</v>
      </c>
      <c r="U64" s="52">
        <f t="shared" si="13"/>
        <v>700.24986706964194</v>
      </c>
      <c r="V64" s="227">
        <f t="shared" si="14"/>
        <v>29.970862638114443</v>
      </c>
      <c r="W64" s="227">
        <f t="shared" si="15"/>
        <v>100.42049191968084</v>
      </c>
      <c r="X64" s="227">
        <f t="shared" si="16"/>
        <v>130.3913545577953</v>
      </c>
      <c r="Y64" s="227">
        <f t="shared" si="17"/>
        <v>55.501597477989712</v>
      </c>
      <c r="Z64" s="52">
        <f t="shared" si="18"/>
        <v>185.96387392533492</v>
      </c>
      <c r="AA64" s="445">
        <f t="shared" si="19"/>
        <v>241.46547140332464</v>
      </c>
      <c r="AB64" s="444">
        <f t="shared" si="0"/>
        <v>1910.1211710581613</v>
      </c>
      <c r="AC64" s="437">
        <f t="shared" si="1"/>
        <v>95.506058552908073</v>
      </c>
      <c r="AD64" s="52">
        <f t="shared" si="20"/>
        <v>66.878104806019309</v>
      </c>
      <c r="AE64" s="52">
        <f t="shared" si="2"/>
        <v>191.01211710581615</v>
      </c>
      <c r="AF64" s="227">
        <f t="shared" si="21"/>
        <v>24.906328686379588</v>
      </c>
      <c r="AG64" s="52">
        <f t="shared" si="3"/>
        <v>57.303635131744834</v>
      </c>
      <c r="AH64" s="227">
        <f t="shared" si="22"/>
        <v>13.836849270210882</v>
      </c>
      <c r="AI64" s="61">
        <f t="shared" si="25"/>
        <v>105.62128276260978</v>
      </c>
      <c r="AJ64" s="228">
        <f t="shared" si="4"/>
        <v>1.0279908929693119E-47</v>
      </c>
      <c r="AK64" s="229">
        <f t="shared" si="5"/>
        <v>0.31592039168800445</v>
      </c>
      <c r="AL64" s="229">
        <f t="shared" si="6"/>
        <v>0.92402638888911615</v>
      </c>
      <c r="AM64" s="229">
        <f t="shared" si="10"/>
        <v>1.2399467805771205</v>
      </c>
      <c r="AN64" s="52">
        <f t="shared" si="7"/>
        <v>3099.8669514428011</v>
      </c>
      <c r="AO64" s="52">
        <f t="shared" si="8"/>
        <v>157.96019584400221</v>
      </c>
      <c r="AP64" s="52">
        <f t="shared" si="9"/>
        <v>462.01319444455805</v>
      </c>
      <c r="AR64" s="10">
        <v>80.700133741429894</v>
      </c>
      <c r="AS64" s="10">
        <v>270.39419005552747</v>
      </c>
      <c r="AT64" s="52">
        <f t="shared" si="26"/>
        <v>351.09432379695738</v>
      </c>
      <c r="AV64" s="52">
        <f t="shared" ca="1" si="23"/>
        <v>74.056792113733508</v>
      </c>
      <c r="AW64" s="52">
        <f t="shared" ca="1" si="24"/>
        <v>74.056792113733508</v>
      </c>
      <c r="AY64" s="10"/>
      <c r="AZ64" s="10"/>
      <c r="BA64" s="10"/>
      <c r="BB64" s="10"/>
      <c r="BC64" s="10"/>
      <c r="BD64" s="10"/>
      <c r="BE64" s="10"/>
      <c r="BF64" s="10"/>
      <c r="BG64" s="439"/>
      <c r="BH64" s="59"/>
      <c r="BI64" s="10"/>
      <c r="BJ64" s="10"/>
      <c r="BK64" s="10"/>
      <c r="BL64" s="10"/>
    </row>
    <row r="65" spans="1:64" ht="9.9499999999999993" customHeight="1" x14ac:dyDescent="0.15">
      <c r="A65" s="2"/>
      <c r="R65" s="57">
        <v>41897</v>
      </c>
      <c r="S65" s="52">
        <f t="shared" si="11"/>
        <v>142.59607099913592</v>
      </c>
      <c r="T65" s="52">
        <f t="shared" si="12"/>
        <v>489.85999177616247</v>
      </c>
      <c r="U65" s="52">
        <f t="shared" si="13"/>
        <v>632.45606277529839</v>
      </c>
      <c r="V65" s="227">
        <f t="shared" si="14"/>
        <v>26.552371841218392</v>
      </c>
      <c r="W65" s="227">
        <f t="shared" si="15"/>
        <v>91.215308813492271</v>
      </c>
      <c r="X65" s="227">
        <f t="shared" si="16"/>
        <v>117.76768065471066</v>
      </c>
      <c r="Y65" s="227">
        <f t="shared" si="17"/>
        <v>49.171058965219245</v>
      </c>
      <c r="Z65" s="52">
        <f t="shared" si="18"/>
        <v>168.9172385435042</v>
      </c>
      <c r="AA65" s="445">
        <f t="shared" si="19"/>
        <v>218.08829750872346</v>
      </c>
      <c r="AB65" s="444">
        <f t="shared" ref="AB65:AB96" si="28">IF(MONTH(R65)&lt;=3,(INDEX(月値割合表,MATCH(MONTH(R65),月,0),2)*INDEX(年度別焼却量,MATCH(YEAR(R65)-1,年度,0),2)),(INDEX(月値割合表,MATCH(MONTH(R65),月,0),2)*INDEX(年度別焼却量,MATCH(YEAR(R65),年度,0),2)))</f>
        <v>1771.1497617083921</v>
      </c>
      <c r="AC65" s="437">
        <f t="shared" ref="AC65:AC96" si="29">AB65*飛灰発生率</f>
        <v>88.557488085419607</v>
      </c>
      <c r="AD65" s="52">
        <f t="shared" si="20"/>
        <v>56.008720243774889</v>
      </c>
      <c r="AE65" s="52">
        <f t="shared" ref="AE65:AE96" si="30">AB65*主灰発生率</f>
        <v>177.11497617083921</v>
      </c>
      <c r="AF65" s="227">
        <f t="shared" si="21"/>
        <v>20.858419952854081</v>
      </c>
      <c r="AG65" s="52">
        <f t="shared" ref="AG65:AG96" si="31">AB65*混合灰発生率</f>
        <v>53.134492851251764</v>
      </c>
      <c r="AH65" s="227">
        <f t="shared" si="22"/>
        <v>11.588011084918936</v>
      </c>
      <c r="AI65" s="61">
        <f t="shared" si="25"/>
        <v>88.455151281547899</v>
      </c>
      <c r="AJ65" s="228">
        <f t="shared" ref="AJ65:AJ96" si="32">1*2.71828^(-0.69315/半I131*(R65-事故日)/365.25)</f>
        <v>7.0558299734662538E-49</v>
      </c>
      <c r="AK65" s="229">
        <f t="shared" ref="AK65:AK96" si="33">1*2.71828^(-0.69315/半Cs134*(R65-事故日)/365.25)</f>
        <v>0.30703438147707562</v>
      </c>
      <c r="AL65" s="229">
        <f t="shared" ref="AL65:AL96" si="34">1*2.71828^(-0.69315/半Cs137*(R65-事故日)/365.25)</f>
        <v>0.92222036044468558</v>
      </c>
      <c r="AM65" s="229">
        <f t="shared" si="10"/>
        <v>1.2292547419217612</v>
      </c>
      <c r="AN65" s="52">
        <f t="shared" ref="AN65:AN96" si="35">2500*2.71828^(-0.69315/半Cs134*(R65-事故日)/365.25)+2500*2.71828^(-0.69315/半Cs137*(R65-事故日)/365.25)</f>
        <v>3073.1368548044029</v>
      </c>
      <c r="AO65" s="52">
        <f t="shared" ref="AO65:AO96" si="36">500*2.71828^(-0.69315/半Cs134*(R65-事故日)/365.25)</f>
        <v>153.51719073853781</v>
      </c>
      <c r="AP65" s="52">
        <f t="shared" ref="AP65:AP96" si="37">500*2.71828^(-0.69315/半Cs137*(R65-事故日)/365.25)</f>
        <v>461.11018022234282</v>
      </c>
      <c r="AQ65" s="474">
        <f>AO65/500</f>
        <v>0.30703438147707562</v>
      </c>
      <c r="AR65" s="10">
        <v>71.495438239855417</v>
      </c>
      <c r="AS65" s="10">
        <v>245.60813311904602</v>
      </c>
      <c r="AT65" s="52">
        <f t="shared" si="26"/>
        <v>317.10357135890143</v>
      </c>
      <c r="AV65" s="52">
        <f t="shared" ca="1" si="23"/>
        <v>62.560144179291271</v>
      </c>
      <c r="AW65" s="52">
        <f t="shared" ca="1" si="24"/>
        <v>62.560144179291271</v>
      </c>
      <c r="AY65" s="10"/>
      <c r="AZ65" s="10"/>
      <c r="BA65" s="10"/>
      <c r="BB65" s="10"/>
      <c r="BC65" s="10"/>
      <c r="BD65" s="10"/>
      <c r="BE65" s="10"/>
      <c r="BF65" s="10"/>
      <c r="BG65" s="439"/>
      <c r="BH65" s="59"/>
      <c r="BI65" s="10"/>
      <c r="BJ65" s="10"/>
      <c r="BK65" s="10"/>
      <c r="BL65" s="10"/>
    </row>
    <row r="66" spans="1:64" ht="9.9499999999999993" customHeight="1" x14ac:dyDescent="0.15">
      <c r="A66" s="2"/>
      <c r="R66" s="57">
        <v>41927</v>
      </c>
      <c r="S66" s="52">
        <f t="shared" si="11"/>
        <v>125.57446176196216</v>
      </c>
      <c r="T66" s="52">
        <f t="shared" si="12"/>
        <v>441.69171361288335</v>
      </c>
      <c r="U66" s="52">
        <f t="shared" si="13"/>
        <v>567.26617537484549</v>
      </c>
      <c r="V66" s="227">
        <f t="shared" si="14"/>
        <v>23.382830810848109</v>
      </c>
      <c r="W66" s="227">
        <f t="shared" si="15"/>
        <v>82.246043224467883</v>
      </c>
      <c r="X66" s="227">
        <f t="shared" si="16"/>
        <v>105.62887403531599</v>
      </c>
      <c r="Y66" s="227">
        <f t="shared" si="17"/>
        <v>43.301538538607609</v>
      </c>
      <c r="Z66" s="52">
        <f t="shared" si="18"/>
        <v>152.30748745271831</v>
      </c>
      <c r="AA66" s="445">
        <f t="shared" si="19"/>
        <v>195.60902599132592</v>
      </c>
      <c r="AB66" s="444">
        <f t="shared" si="28"/>
        <v>1822.4009846629492</v>
      </c>
      <c r="AC66" s="437">
        <f t="shared" si="29"/>
        <v>91.120049233147469</v>
      </c>
      <c r="AD66" s="52">
        <f t="shared" si="20"/>
        <v>51.689321828455185</v>
      </c>
      <c r="AE66" s="52">
        <f t="shared" si="30"/>
        <v>182.24009846629494</v>
      </c>
      <c r="AF66" s="227">
        <f t="shared" si="21"/>
        <v>19.249816405079851</v>
      </c>
      <c r="AG66" s="52">
        <f t="shared" si="31"/>
        <v>54.672029539888477</v>
      </c>
      <c r="AH66" s="227">
        <f t="shared" si="22"/>
        <v>10.694342447266584</v>
      </c>
      <c r="AI66" s="61">
        <f t="shared" si="25"/>
        <v>81.633480680801611</v>
      </c>
      <c r="AJ66" s="228">
        <f t="shared" si="32"/>
        <v>5.2800411426269812E-50</v>
      </c>
      <c r="AK66" s="229">
        <f t="shared" si="33"/>
        <v>0.29867306553546963</v>
      </c>
      <c r="AL66" s="229">
        <f t="shared" si="34"/>
        <v>0.92047595200650678</v>
      </c>
      <c r="AM66" s="229">
        <f t="shared" si="10"/>
        <v>1.2191490175419764</v>
      </c>
      <c r="AN66" s="52">
        <f t="shared" si="35"/>
        <v>3047.8725438549413</v>
      </c>
      <c r="AO66" s="52">
        <f t="shared" si="36"/>
        <v>149.33653276773481</v>
      </c>
      <c r="AP66" s="52">
        <f t="shared" si="37"/>
        <v>460.23797600325338</v>
      </c>
      <c r="AR66" s="10">
        <v>62.961069772110726</v>
      </c>
      <c r="AS66" s="10">
        <v>221.45731232564722</v>
      </c>
      <c r="AT66" s="52">
        <f t="shared" si="26"/>
        <v>284.41838209775796</v>
      </c>
      <c r="AV66" s="52">
        <f t="shared" ca="1" si="23"/>
        <v>58.214078197043612</v>
      </c>
      <c r="AW66" s="52">
        <f t="shared" ca="1" si="24"/>
        <v>58.214078197043612</v>
      </c>
      <c r="AY66" s="10"/>
      <c r="AZ66" s="10"/>
      <c r="BA66" s="10"/>
      <c r="BB66" s="10"/>
      <c r="BC66" s="10"/>
      <c r="BD66" s="10"/>
      <c r="BE66" s="10"/>
      <c r="BF66" s="10"/>
      <c r="BG66" s="439"/>
      <c r="BH66" s="59"/>
      <c r="BI66" s="10"/>
      <c r="BJ66" s="10"/>
      <c r="BK66" s="10"/>
      <c r="BL66" s="10"/>
    </row>
    <row r="67" spans="1:64" ht="9.9499999999999993" customHeight="1" x14ac:dyDescent="0.15">
      <c r="A67" s="2"/>
      <c r="R67" s="57">
        <v>41958</v>
      </c>
      <c r="S67" s="52">
        <f t="shared" si="11"/>
        <v>100.08767330354843</v>
      </c>
      <c r="T67" s="52">
        <f t="shared" si="12"/>
        <v>360.48058098942249</v>
      </c>
      <c r="U67" s="52">
        <f t="shared" si="13"/>
        <v>460.56825429297089</v>
      </c>
      <c r="V67" s="227">
        <f t="shared" si="14"/>
        <v>18.637015028936592</v>
      </c>
      <c r="W67" s="227">
        <f t="shared" si="15"/>
        <v>67.123970253202756</v>
      </c>
      <c r="X67" s="227">
        <f t="shared" si="16"/>
        <v>85.760985282139345</v>
      </c>
      <c r="Y67" s="227">
        <f t="shared" si="17"/>
        <v>34.512990794327024</v>
      </c>
      <c r="Z67" s="52">
        <f t="shared" si="18"/>
        <v>124.30364861704216</v>
      </c>
      <c r="AA67" s="445">
        <f t="shared" si="19"/>
        <v>158.81663941136918</v>
      </c>
      <c r="AB67" s="444">
        <f t="shared" si="28"/>
        <v>1648.4681993438619</v>
      </c>
      <c r="AC67" s="437">
        <f t="shared" si="29"/>
        <v>82.423409967193095</v>
      </c>
      <c r="AD67" s="52">
        <f t="shared" si="20"/>
        <v>37.96160604146398</v>
      </c>
      <c r="AE67" s="52">
        <f t="shared" si="30"/>
        <v>164.84681993438619</v>
      </c>
      <c r="AF67" s="227">
        <f t="shared" si="21"/>
        <v>14.137425698200367</v>
      </c>
      <c r="AG67" s="52">
        <f t="shared" si="31"/>
        <v>49.454045980315854</v>
      </c>
      <c r="AH67" s="227">
        <f t="shared" si="22"/>
        <v>7.8541253878890949</v>
      </c>
      <c r="AI67" s="61">
        <f t="shared" si="25"/>
        <v>59.953157127553439</v>
      </c>
      <c r="AJ67" s="228">
        <f t="shared" si="32"/>
        <v>3.6240664007900018E-51</v>
      </c>
      <c r="AK67" s="229">
        <f t="shared" si="33"/>
        <v>0.29027217727404131</v>
      </c>
      <c r="AL67" s="229">
        <f t="shared" si="34"/>
        <v>0.91867686296345807</v>
      </c>
      <c r="AM67" s="229">
        <f t="shared" si="10"/>
        <v>1.2089490402374994</v>
      </c>
      <c r="AN67" s="52">
        <f t="shared" si="35"/>
        <v>3022.3726005937483</v>
      </c>
      <c r="AO67" s="52">
        <f t="shared" si="36"/>
        <v>145.13608863702066</v>
      </c>
      <c r="AP67" s="52">
        <f t="shared" si="37"/>
        <v>459.33843148172906</v>
      </c>
      <c r="AR67" s="10">
        <v>50.182392930644177</v>
      </c>
      <c r="AS67" s="10">
        <v>180.73932145684876</v>
      </c>
      <c r="AT67" s="52">
        <f t="shared" si="26"/>
        <v>230.92171438749293</v>
      </c>
      <c r="AV67" s="52">
        <f t="shared" ca="1" si="23"/>
        <v>43.114223304888498</v>
      </c>
      <c r="AW67" s="52">
        <f t="shared" ca="1" si="24"/>
        <v>43.114223304888498</v>
      </c>
      <c r="AY67" s="10"/>
      <c r="AZ67" s="10"/>
      <c r="BA67" s="10"/>
      <c r="BB67" s="10"/>
      <c r="BC67" s="10"/>
      <c r="BD67" s="10"/>
      <c r="BE67" s="10"/>
      <c r="BF67" s="10"/>
      <c r="BG67" s="439"/>
      <c r="BH67" s="59"/>
      <c r="BI67" s="10"/>
      <c r="BJ67" s="10"/>
      <c r="BK67" s="10"/>
      <c r="BL67" s="10"/>
    </row>
    <row r="68" spans="1:64" ht="9.9499999999999993" customHeight="1" x14ac:dyDescent="0.15">
      <c r="A68" s="2"/>
      <c r="R68" s="57">
        <v>41988</v>
      </c>
      <c r="S68" s="227">
        <f t="shared" si="11"/>
        <v>70.781485073135187</v>
      </c>
      <c r="T68" s="52">
        <f t="shared" si="12"/>
        <v>260.66287738076613</v>
      </c>
      <c r="U68" s="52">
        <f t="shared" si="13"/>
        <v>331.44436245390136</v>
      </c>
      <c r="V68" s="227">
        <f t="shared" si="14"/>
        <v>13.180000668790681</v>
      </c>
      <c r="W68" s="227">
        <f t="shared" si="15"/>
        <v>48.537225443315045</v>
      </c>
      <c r="X68" s="227">
        <f t="shared" si="16"/>
        <v>61.717226112105728</v>
      </c>
      <c r="Y68" s="227">
        <f t="shared" si="17"/>
        <v>24.407408645908674</v>
      </c>
      <c r="Z68" s="52">
        <f t="shared" si="18"/>
        <v>89.883750820953807</v>
      </c>
      <c r="AA68" s="445">
        <f t="shared" si="19"/>
        <v>114.29115946686248</v>
      </c>
      <c r="AB68" s="444">
        <f t="shared" si="28"/>
        <v>1654.4842663548043</v>
      </c>
      <c r="AC68" s="437">
        <f t="shared" si="29"/>
        <v>82.724213317740222</v>
      </c>
      <c r="AD68" s="52">
        <f t="shared" si="20"/>
        <v>27.418474142598946</v>
      </c>
      <c r="AE68" s="52">
        <f t="shared" si="30"/>
        <v>165.44842663548044</v>
      </c>
      <c r="AF68" s="227">
        <f t="shared" si="21"/>
        <v>10.211017956554082</v>
      </c>
      <c r="AG68" s="52">
        <f t="shared" si="31"/>
        <v>49.634527990644123</v>
      </c>
      <c r="AH68" s="227">
        <f t="shared" si="22"/>
        <v>5.6727877536411571</v>
      </c>
      <c r="AI68" s="61">
        <f t="shared" si="25"/>
        <v>43.302279852794186</v>
      </c>
      <c r="AJ68" s="228">
        <f t="shared" si="32"/>
        <v>2.7119729035056247E-52</v>
      </c>
      <c r="AK68" s="229">
        <f t="shared" si="33"/>
        <v>0.2823673381756639</v>
      </c>
      <c r="AL68" s="229">
        <f t="shared" si="34"/>
        <v>0.9169391571607578</v>
      </c>
      <c r="AM68" s="229">
        <f t="shared" si="10"/>
        <v>1.1993064953364216</v>
      </c>
      <c r="AN68" s="52">
        <f t="shared" si="35"/>
        <v>2998.2662383410543</v>
      </c>
      <c r="AO68" s="52">
        <f t="shared" si="36"/>
        <v>141.18366908783196</v>
      </c>
      <c r="AP68" s="52">
        <f t="shared" si="37"/>
        <v>458.46957858037888</v>
      </c>
      <c r="AR68" s="10">
        <v>35.488728820601594</v>
      </c>
      <c r="AS68" s="10">
        <v>130.6922871059505</v>
      </c>
      <c r="AT68" s="52">
        <f t="shared" si="26"/>
        <v>166.18101592655211</v>
      </c>
      <c r="AV68" s="52">
        <f t="shared" ref="AV68:AV99" ca="1" si="38">(AI68+BG68)*AO68/(AO68+AP68)*2.71828^(-0.69315/半Cs134*(NOW()-R68)/365.25)+(AI68+BG68)*AP68/(AO68+AP68)*2.71828^(-0.69315/半Cs137*(NOW()-R68)/365.25)</f>
        <v>31.390416656638891</v>
      </c>
      <c r="AW68" s="52">
        <f t="shared" ref="AW68:AW99" ca="1" si="39">AI68*AO68/(AO68+AP68)*2.71828^(-0.69315/半Cs134*(NOW()-R68)/365.25)+AI68*AP68/(AO68+AP68)*2.71828^(-0.69315/半Cs137*(NOW()-R68)/365.25)</f>
        <v>31.390416656638891</v>
      </c>
      <c r="AY68" s="10"/>
      <c r="AZ68" s="10"/>
      <c r="BA68" s="10"/>
      <c r="BB68" s="10"/>
      <c r="BC68" s="10"/>
      <c r="BD68" s="10"/>
      <c r="BE68" s="10"/>
      <c r="BF68" s="10"/>
      <c r="BG68" s="439"/>
      <c r="BH68" s="59"/>
      <c r="BI68" s="10"/>
      <c r="BJ68" s="10"/>
      <c r="BK68" s="10"/>
      <c r="BL68" s="10"/>
    </row>
    <row r="69" spans="1:64" ht="9.9499999999999993" customHeight="1" x14ac:dyDescent="0.15">
      <c r="A69" s="2"/>
      <c r="R69" s="57">
        <v>42019</v>
      </c>
      <c r="S69" s="227">
        <f t="shared" si="11"/>
        <v>61.255653288392807</v>
      </c>
      <c r="T69" s="52">
        <f t="shared" si="12"/>
        <v>230.64563335388874</v>
      </c>
      <c r="U69" s="52">
        <f t="shared" si="13"/>
        <v>291.90128664228155</v>
      </c>
      <c r="V69" s="227">
        <f t="shared" si="14"/>
        <v>11.406225095080032</v>
      </c>
      <c r="W69" s="227">
        <f t="shared" si="15"/>
        <v>42.947807590034415</v>
      </c>
      <c r="X69" s="227">
        <f t="shared" si="16"/>
        <v>54.354032685114454</v>
      </c>
      <c r="Y69" s="227">
        <f t="shared" si="17"/>
        <v>21.122639064963025</v>
      </c>
      <c r="Z69" s="52">
        <f t="shared" si="18"/>
        <v>79.532977018582287</v>
      </c>
      <c r="AA69" s="445">
        <f t="shared" si="19"/>
        <v>100.65561608354531</v>
      </c>
      <c r="AB69" s="444">
        <f t="shared" si="28"/>
        <v>1515.9237989058824</v>
      </c>
      <c r="AC69" s="437">
        <f t="shared" si="29"/>
        <v>75.796189945294131</v>
      </c>
      <c r="AD69" s="52">
        <f t="shared" si="20"/>
        <v>22.125005367614122</v>
      </c>
      <c r="AE69" s="52">
        <f t="shared" si="30"/>
        <v>151.59237989058826</v>
      </c>
      <c r="AF69" s="227">
        <f t="shared" si="21"/>
        <v>8.2396571713873215</v>
      </c>
      <c r="AG69" s="52">
        <f t="shared" si="31"/>
        <v>45.47771396717647</v>
      </c>
      <c r="AH69" s="227">
        <f t="shared" si="22"/>
        <v>4.5775873174374011</v>
      </c>
      <c r="AI69" s="61">
        <f t="shared" si="25"/>
        <v>34.942249856438842</v>
      </c>
      <c r="AJ69" s="228">
        <f t="shared" si="32"/>
        <v>1.8614191848053906E-53</v>
      </c>
      <c r="AK69" s="229">
        <f t="shared" si="33"/>
        <v>0.27442508716472036</v>
      </c>
      <c r="AL69" s="229">
        <f t="shared" si="34"/>
        <v>0.91514698085545176</v>
      </c>
      <c r="AM69" s="229">
        <f t="shared" si="10"/>
        <v>1.1895720680201722</v>
      </c>
      <c r="AN69" s="52">
        <f t="shared" si="35"/>
        <v>2973.9301700504302</v>
      </c>
      <c r="AO69" s="52">
        <f t="shared" si="36"/>
        <v>137.21254358236018</v>
      </c>
      <c r="AP69" s="52">
        <f t="shared" si="37"/>
        <v>457.57349042772586</v>
      </c>
      <c r="AR69" s="10">
        <v>30.712625851723661</v>
      </c>
      <c r="AS69" s="10">
        <v>115.64211074823523</v>
      </c>
      <c r="AT69" s="52">
        <f t="shared" si="26"/>
        <v>146.3547365999589</v>
      </c>
      <c r="AV69" s="52">
        <f t="shared" ca="1" si="38"/>
        <v>25.537395963645302</v>
      </c>
      <c r="AW69" s="52">
        <f t="shared" ca="1" si="39"/>
        <v>25.537395963645302</v>
      </c>
      <c r="AY69" s="10"/>
      <c r="AZ69" s="10"/>
      <c r="BA69" s="10"/>
      <c r="BB69" s="10"/>
      <c r="BC69" s="10"/>
      <c r="BD69" s="10"/>
      <c r="BE69" s="10"/>
      <c r="BF69" s="10"/>
      <c r="BG69" s="439"/>
      <c r="BH69" s="59"/>
      <c r="BI69" s="10"/>
      <c r="BJ69" s="10"/>
      <c r="BK69" s="10"/>
      <c r="BL69" s="10"/>
    </row>
    <row r="70" spans="1:64" ht="9.9499999999999993" customHeight="1" x14ac:dyDescent="0.15">
      <c r="A70" s="2"/>
      <c r="R70" s="57">
        <v>42050</v>
      </c>
      <c r="S70" s="227">
        <f t="shared" si="11"/>
        <v>53.665360745183939</v>
      </c>
      <c r="T70" s="52">
        <f t="shared" si="12"/>
        <v>206.43651484496436</v>
      </c>
      <c r="U70" s="52">
        <f t="shared" si="13"/>
        <v>260.10187559014832</v>
      </c>
      <c r="V70" s="227">
        <f t="shared" si="14"/>
        <v>9.9928602766894148</v>
      </c>
      <c r="W70" s="227">
        <f t="shared" si="15"/>
        <v>38.439902764234709</v>
      </c>
      <c r="X70" s="227">
        <f t="shared" si="16"/>
        <v>48.432763040924129</v>
      </c>
      <c r="Y70" s="227">
        <f t="shared" si="17"/>
        <v>18.505296808684111</v>
      </c>
      <c r="Z70" s="52">
        <f t="shared" si="18"/>
        <v>71.1850051189532</v>
      </c>
      <c r="AA70" s="445">
        <f t="shared" si="19"/>
        <v>89.690301927637307</v>
      </c>
      <c r="AB70" s="444">
        <f t="shared" si="28"/>
        <v>1297.1449850478073</v>
      </c>
      <c r="AC70" s="437">
        <f t="shared" si="29"/>
        <v>64.857249252390361</v>
      </c>
      <c r="AD70" s="52">
        <f t="shared" si="20"/>
        <v>16.869492176164478</v>
      </c>
      <c r="AE70" s="52">
        <f t="shared" si="30"/>
        <v>129.71449850478072</v>
      </c>
      <c r="AF70" s="227">
        <f t="shared" si="21"/>
        <v>6.282431569054352</v>
      </c>
      <c r="AG70" s="52">
        <f t="shared" si="31"/>
        <v>38.914349551434213</v>
      </c>
      <c r="AH70" s="227">
        <f t="shared" si="22"/>
        <v>3.490239760585752</v>
      </c>
      <c r="AI70" s="61">
        <f t="shared" si="25"/>
        <v>26.642163505804582</v>
      </c>
      <c r="AJ70" s="228">
        <f t="shared" si="32"/>
        <v>1.277623894059799E-54</v>
      </c>
      <c r="AK70" s="229">
        <f t="shared" si="33"/>
        <v>0.26670623079824379</v>
      </c>
      <c r="AL70" s="229">
        <f t="shared" si="34"/>
        <v>0.91335830739532808</v>
      </c>
      <c r="AM70" s="229">
        <f t="shared" si="10"/>
        <v>1.1800645381935719</v>
      </c>
      <c r="AN70" s="52">
        <f t="shared" si="35"/>
        <v>2950.1613454839298</v>
      </c>
      <c r="AO70" s="52">
        <f t="shared" si="36"/>
        <v>133.35311539912189</v>
      </c>
      <c r="AP70" s="52">
        <f t="shared" si="37"/>
        <v>456.67915369766405</v>
      </c>
      <c r="AR70" s="10">
        <v>26.906971965588799</v>
      </c>
      <c r="AS70" s="10">
        <v>103.50403762273774</v>
      </c>
      <c r="AT70" s="52">
        <f t="shared" si="26"/>
        <v>130.41100958832655</v>
      </c>
      <c r="AV70" s="52">
        <f t="shared" ca="1" si="38"/>
        <v>19.628189093969596</v>
      </c>
      <c r="AW70" s="52">
        <f t="shared" ca="1" si="39"/>
        <v>19.628189093969596</v>
      </c>
      <c r="AY70" s="10"/>
      <c r="AZ70" s="10"/>
      <c r="BA70" s="10"/>
      <c r="BB70" s="10"/>
      <c r="BC70" s="10"/>
      <c r="BD70" s="10"/>
      <c r="BE70" s="10"/>
      <c r="BF70" s="10"/>
      <c r="BG70" s="439"/>
      <c r="BH70" s="59"/>
      <c r="BI70" s="10"/>
      <c r="BJ70" s="10"/>
      <c r="BK70" s="10"/>
      <c r="BL70" s="10"/>
    </row>
    <row r="71" spans="1:64" ht="9.9499999999999993" customHeight="1" x14ac:dyDescent="0.15">
      <c r="A71" s="2"/>
      <c r="R71" s="57">
        <v>42078</v>
      </c>
      <c r="S71" s="227">
        <f t="shared" si="11"/>
        <v>45.382872399120323</v>
      </c>
      <c r="T71" s="52">
        <f t="shared" si="12"/>
        <v>177.84096701907319</v>
      </c>
      <c r="U71" s="52">
        <f t="shared" si="13"/>
        <v>223.22383941819351</v>
      </c>
      <c r="V71" s="227">
        <f t="shared" si="14"/>
        <v>8.4506038260430891</v>
      </c>
      <c r="W71" s="227">
        <f t="shared" si="15"/>
        <v>33.115214548379122</v>
      </c>
      <c r="X71" s="227">
        <f t="shared" si="16"/>
        <v>41.565818374422207</v>
      </c>
      <c r="Y71" s="227">
        <f t="shared" si="17"/>
        <v>15.649266344524243</v>
      </c>
      <c r="Z71" s="52">
        <f t="shared" si="18"/>
        <v>61.324471385887279</v>
      </c>
      <c r="AA71" s="445">
        <f t="shared" si="19"/>
        <v>76.973737730411514</v>
      </c>
      <c r="AB71" s="444">
        <f t="shared" si="28"/>
        <v>1572.5717328568765</v>
      </c>
      <c r="AC71" s="437">
        <f t="shared" si="29"/>
        <v>78.628586642843828</v>
      </c>
      <c r="AD71" s="52">
        <f t="shared" si="20"/>
        <v>17.551774998441683</v>
      </c>
      <c r="AE71" s="52">
        <f t="shared" si="30"/>
        <v>157.25717328568766</v>
      </c>
      <c r="AF71" s="227">
        <f t="shared" si="21"/>
        <v>6.5365231028679327</v>
      </c>
      <c r="AG71" s="52">
        <f t="shared" si="31"/>
        <v>47.177151985706288</v>
      </c>
      <c r="AH71" s="227">
        <f t="shared" si="22"/>
        <v>3.631401723815519</v>
      </c>
      <c r="AI71" s="61">
        <f t="shared" si="25"/>
        <v>27.719699825125133</v>
      </c>
      <c r="AJ71" s="228">
        <f t="shared" si="32"/>
        <v>1.1364568352899382E-55</v>
      </c>
      <c r="AK71" s="229">
        <f t="shared" si="33"/>
        <v>0.25992114282893963</v>
      </c>
      <c r="AL71" s="229">
        <f t="shared" si="34"/>
        <v>0.91174573644193124</v>
      </c>
      <c r="AM71" s="229">
        <f t="shared" si="10"/>
        <v>1.1716668792708709</v>
      </c>
      <c r="AN71" s="52">
        <f t="shared" si="35"/>
        <v>2929.1671981771774</v>
      </c>
      <c r="AO71" s="52">
        <f t="shared" si="36"/>
        <v>129.96057141446983</v>
      </c>
      <c r="AP71" s="52">
        <f t="shared" si="37"/>
        <v>455.87286822096564</v>
      </c>
      <c r="AQ71" s="473">
        <f>AO71/500</f>
        <v>0.25992114282893963</v>
      </c>
      <c r="AR71" s="10">
        <v>22.754261937400845</v>
      </c>
      <c r="AS71" s="10">
        <v>89.16667748934934</v>
      </c>
      <c r="AT71" s="52">
        <f t="shared" si="26"/>
        <v>111.92093942675018</v>
      </c>
      <c r="AV71" s="52">
        <f t="shared" ca="1" si="38"/>
        <v>20.56841722225407</v>
      </c>
      <c r="AW71" s="52">
        <f t="shared" ca="1" si="39"/>
        <v>20.56841722225407</v>
      </c>
      <c r="AY71" s="10"/>
      <c r="AZ71" s="10"/>
      <c r="BA71" s="10"/>
      <c r="BB71" s="10"/>
      <c r="BC71" s="10"/>
      <c r="BD71" s="10"/>
      <c r="BE71" s="10"/>
      <c r="BF71" s="10"/>
      <c r="BG71" s="439"/>
      <c r="BH71" s="59"/>
      <c r="BI71" s="10"/>
      <c r="BJ71" s="10"/>
      <c r="BK71" s="10"/>
      <c r="BL71" s="10"/>
    </row>
    <row r="72" spans="1:64" ht="9.9499999999999993" customHeight="1" x14ac:dyDescent="0.15">
      <c r="A72" s="2"/>
      <c r="R72" s="57">
        <v>42109</v>
      </c>
      <c r="S72" s="227">
        <f t="shared" si="11"/>
        <v>79.242054856872386</v>
      </c>
      <c r="T72" s="52">
        <f t="shared" si="12"/>
        <v>316.70299801791992</v>
      </c>
      <c r="U72" s="52">
        <f t="shared" si="13"/>
        <v>395.94505287479228</v>
      </c>
      <c r="V72" s="227">
        <f t="shared" si="14"/>
        <v>14.755417111279671</v>
      </c>
      <c r="W72" s="227">
        <f t="shared" si="15"/>
        <v>58.972282389543651</v>
      </c>
      <c r="X72" s="227">
        <f t="shared" si="16"/>
        <v>73.72769950082332</v>
      </c>
      <c r="Y72" s="227">
        <f t="shared" si="17"/>
        <v>27.32484650236977</v>
      </c>
      <c r="Z72" s="52">
        <f t="shared" si="18"/>
        <v>109.20793035100679</v>
      </c>
      <c r="AA72" s="445">
        <f t="shared" si="19"/>
        <v>136.53277685337656</v>
      </c>
      <c r="AB72" s="444">
        <f t="shared" si="28"/>
        <v>1600.1662626810587</v>
      </c>
      <c r="AC72" s="437">
        <f t="shared" si="29"/>
        <v>80.008313134052941</v>
      </c>
      <c r="AD72" s="52">
        <f t="shared" si="20"/>
        <v>31.678895774285532</v>
      </c>
      <c r="AE72" s="52">
        <f t="shared" si="30"/>
        <v>160.01662626810588</v>
      </c>
      <c r="AF72" s="227">
        <f t="shared" si="21"/>
        <v>11.797657736630461</v>
      </c>
      <c r="AG72" s="52">
        <f t="shared" si="31"/>
        <v>48.004987880431756</v>
      </c>
      <c r="AH72" s="227">
        <f t="shared" si="22"/>
        <v>6.5542542981280345</v>
      </c>
      <c r="AI72" s="61">
        <f t="shared" si="25"/>
        <v>50.030807809044028</v>
      </c>
      <c r="AJ72" s="228">
        <f t="shared" si="32"/>
        <v>7.8003085988706434E-57</v>
      </c>
      <c r="AK72" s="229">
        <f t="shared" si="33"/>
        <v>0.2526102442925286</v>
      </c>
      <c r="AL72" s="229">
        <f t="shared" si="34"/>
        <v>0.90996371078346261</v>
      </c>
      <c r="AM72" s="229">
        <f t="shared" si="10"/>
        <v>1.1625739550759913</v>
      </c>
      <c r="AN72" s="52">
        <f t="shared" si="35"/>
        <v>2906.434887689978</v>
      </c>
      <c r="AO72" s="52">
        <f t="shared" si="36"/>
        <v>126.3051221462643</v>
      </c>
      <c r="AP72" s="52">
        <f t="shared" si="37"/>
        <v>454.9818553917313</v>
      </c>
      <c r="AR72" s="10">
        <v>39.730726094501478</v>
      </c>
      <c r="AS72" s="10">
        <v>158.78992651420566</v>
      </c>
      <c r="AT72" s="52">
        <f t="shared" si="26"/>
        <v>198.52065260870714</v>
      </c>
      <c r="AV72" s="52">
        <f t="shared" ca="1" si="38"/>
        <v>37.413938625821771</v>
      </c>
      <c r="AW72" s="52">
        <f t="shared" ca="1" si="39"/>
        <v>37.413938625821771</v>
      </c>
      <c r="AY72" s="10"/>
      <c r="AZ72" s="10"/>
      <c r="BA72" s="10"/>
      <c r="BB72" s="10"/>
      <c r="BC72" s="10"/>
      <c r="BD72" s="10"/>
      <c r="BE72" s="10"/>
      <c r="BF72" s="10"/>
      <c r="BG72" s="439"/>
      <c r="BH72" s="59"/>
      <c r="BI72" s="10"/>
      <c r="BJ72" s="10"/>
      <c r="BK72" s="10"/>
      <c r="BL72" s="10"/>
    </row>
    <row r="73" spans="1:64" ht="9.9499999999999993" customHeight="1" x14ac:dyDescent="0.15">
      <c r="A73" s="2"/>
      <c r="R73" s="57">
        <v>42139</v>
      </c>
      <c r="S73" s="227">
        <f t="shared" si="11"/>
        <v>115.09048391633715</v>
      </c>
      <c r="T73" s="52">
        <f t="shared" si="12"/>
        <v>468.46081676915838</v>
      </c>
      <c r="U73" s="52">
        <f t="shared" si="13"/>
        <v>583.55130068549556</v>
      </c>
      <c r="V73" s="227">
        <f t="shared" si="14"/>
        <v>21.430641832697241</v>
      </c>
      <c r="W73" s="227">
        <f t="shared" si="15"/>
        <v>87.230634846670782</v>
      </c>
      <c r="X73" s="227">
        <f t="shared" si="16"/>
        <v>108.66127667936803</v>
      </c>
      <c r="Y73" s="227">
        <f t="shared" si="17"/>
        <v>39.686373764254164</v>
      </c>
      <c r="Z73" s="52">
        <f t="shared" si="18"/>
        <v>161.53821267902001</v>
      </c>
      <c r="AA73" s="445">
        <f t="shared" si="19"/>
        <v>201.22458644327418</v>
      </c>
      <c r="AB73" s="444">
        <f t="shared" si="28"/>
        <v>1797.9921277079841</v>
      </c>
      <c r="AC73" s="437">
        <f t="shared" si="29"/>
        <v>89.89960638539921</v>
      </c>
      <c r="AD73" s="52">
        <f t="shared" si="20"/>
        <v>52.461032237313788</v>
      </c>
      <c r="AE73" s="52">
        <f t="shared" si="30"/>
        <v>179.79921277079842</v>
      </c>
      <c r="AF73" s="227">
        <f t="shared" si="21"/>
        <v>19.537212005620287</v>
      </c>
      <c r="AG73" s="52">
        <f t="shared" si="31"/>
        <v>53.939763831239517</v>
      </c>
      <c r="AH73" s="227">
        <f t="shared" si="22"/>
        <v>10.854006669789051</v>
      </c>
      <c r="AI73" s="61">
        <f t="shared" si="25"/>
        <v>82.852250912723122</v>
      </c>
      <c r="AJ73" s="228">
        <f t="shared" si="32"/>
        <v>5.8371517570725939E-58</v>
      </c>
      <c r="AK73" s="229">
        <f t="shared" si="33"/>
        <v>0.24573103404755547</v>
      </c>
      <c r="AL73" s="229">
        <f t="shared" si="34"/>
        <v>0.90824248617857339</v>
      </c>
      <c r="AM73" s="229">
        <f t="shared" si="10"/>
        <v>1.153973520226129</v>
      </c>
      <c r="AN73" s="52">
        <f t="shared" si="35"/>
        <v>2884.9338005653221</v>
      </c>
      <c r="AO73" s="52">
        <f t="shared" si="36"/>
        <v>122.86551702377774</v>
      </c>
      <c r="AP73" s="52">
        <f t="shared" si="37"/>
        <v>454.12124308928668</v>
      </c>
      <c r="AR73" s="10">
        <v>57.704567364169641</v>
      </c>
      <c r="AS73" s="10">
        <v>234.87892168722195</v>
      </c>
      <c r="AT73" s="52">
        <f t="shared" si="26"/>
        <v>292.58348905139161</v>
      </c>
      <c r="AV73" s="52">
        <f t="shared" ca="1" si="38"/>
        <v>62.420173579505743</v>
      </c>
      <c r="AW73" s="52">
        <f t="shared" ca="1" si="39"/>
        <v>62.420173579505743</v>
      </c>
      <c r="AY73" s="10"/>
      <c r="AZ73" s="10"/>
      <c r="BA73" s="10"/>
      <c r="BB73" s="10"/>
      <c r="BC73" s="10"/>
      <c r="BD73" s="10"/>
      <c r="BE73" s="10"/>
      <c r="BF73" s="10"/>
      <c r="BG73" s="439"/>
      <c r="BH73" s="59"/>
      <c r="BI73" s="10"/>
      <c r="BJ73" s="10"/>
      <c r="BK73" s="10"/>
      <c r="BL73" s="10"/>
    </row>
    <row r="74" spans="1:64" ht="9.9499999999999993" customHeight="1" x14ac:dyDescent="0.15">
      <c r="A74" s="2"/>
      <c r="R74" s="57">
        <v>42170</v>
      </c>
      <c r="S74" s="227">
        <f t="shared" si="11"/>
        <v>119.78130670989609</v>
      </c>
      <c r="T74" s="52">
        <f t="shared" si="12"/>
        <v>496.35764859934801</v>
      </c>
      <c r="U74" s="52">
        <f t="shared" si="13"/>
        <v>616.13895530924412</v>
      </c>
      <c r="V74" s="227">
        <f t="shared" si="14"/>
        <v>22.30410538735994</v>
      </c>
      <c r="W74" s="227">
        <f t="shared" si="15"/>
        <v>92.425217325395735</v>
      </c>
      <c r="X74" s="227">
        <f t="shared" si="16"/>
        <v>114.72932271275569</v>
      </c>
      <c r="Y74" s="227">
        <f t="shared" si="17"/>
        <v>41.303898865481386</v>
      </c>
      <c r="Z74" s="52">
        <f t="shared" si="18"/>
        <v>171.15780986184402</v>
      </c>
      <c r="AA74" s="445">
        <f t="shared" si="19"/>
        <v>212.46170872732543</v>
      </c>
      <c r="AB74" s="444">
        <f t="shared" si="28"/>
        <v>1764.4600644369691</v>
      </c>
      <c r="AC74" s="437">
        <f t="shared" si="29"/>
        <v>88.223003221848458</v>
      </c>
      <c r="AD74" s="52">
        <f t="shared" si="20"/>
        <v>54.357629039353789</v>
      </c>
      <c r="AE74" s="52">
        <f t="shared" si="30"/>
        <v>176.44600644369692</v>
      </c>
      <c r="AF74" s="227">
        <f t="shared" si="21"/>
        <v>20.243530814655873</v>
      </c>
      <c r="AG74" s="52">
        <f t="shared" si="31"/>
        <v>52.933801933109073</v>
      </c>
      <c r="AH74" s="227">
        <f t="shared" si="22"/>
        <v>11.246406008142156</v>
      </c>
      <c r="AI74" s="61">
        <f t="shared" si="25"/>
        <v>85.847565862151825</v>
      </c>
      <c r="AJ74" s="228">
        <f t="shared" si="32"/>
        <v>4.0064508945462373E-59</v>
      </c>
      <c r="AK74" s="229">
        <f t="shared" si="33"/>
        <v>0.23881926597199188</v>
      </c>
      <c r="AL74" s="229">
        <f t="shared" si="34"/>
        <v>0.90646730769427597</v>
      </c>
      <c r="AM74" s="229">
        <f t="shared" si="10"/>
        <v>1.1452865736662678</v>
      </c>
      <c r="AN74" s="52">
        <f t="shared" si="35"/>
        <v>2863.2164341656699</v>
      </c>
      <c r="AO74" s="52">
        <f t="shared" si="36"/>
        <v>119.40963298599594</v>
      </c>
      <c r="AP74" s="52">
        <f t="shared" si="37"/>
        <v>453.23365384713799</v>
      </c>
      <c r="AR74" s="10">
        <v>60.056472497187173</v>
      </c>
      <c r="AS74" s="10">
        <v>248.86595655591088</v>
      </c>
      <c r="AT74" s="52">
        <f t="shared" si="26"/>
        <v>308.92242905309809</v>
      </c>
      <c r="AV74" s="52">
        <f t="shared" ca="1" si="38"/>
        <v>65.167388835606303</v>
      </c>
      <c r="AW74" s="52">
        <f t="shared" ca="1" si="39"/>
        <v>65.167388835606303</v>
      </c>
      <c r="AY74" s="10"/>
      <c r="AZ74" s="10"/>
      <c r="BA74" s="10"/>
      <c r="BB74" s="10"/>
      <c r="BC74" s="10"/>
      <c r="BD74" s="10"/>
      <c r="BE74" s="10"/>
      <c r="BF74" s="10"/>
      <c r="BG74" s="439"/>
      <c r="BH74" s="59"/>
      <c r="BI74" s="10"/>
      <c r="BJ74" s="10"/>
      <c r="BK74" s="10"/>
      <c r="BL74" s="10"/>
    </row>
    <row r="75" spans="1:64" ht="9.9499999999999993" customHeight="1" x14ac:dyDescent="0.15">
      <c r="A75" s="2"/>
      <c r="R75" s="57">
        <v>42200</v>
      </c>
      <c r="S75" s="227">
        <f t="shared" si="11"/>
        <v>110.1256094643276</v>
      </c>
      <c r="T75" s="52">
        <f t="shared" si="12"/>
        <v>464.00191224028669</v>
      </c>
      <c r="U75" s="52">
        <f t="shared" si="13"/>
        <v>574.12752170461431</v>
      </c>
      <c r="V75" s="227">
        <f t="shared" si="14"/>
        <v>20.506147969219604</v>
      </c>
      <c r="W75" s="227">
        <f t="shared" si="15"/>
        <v>86.400356072329174</v>
      </c>
      <c r="X75" s="227">
        <f t="shared" si="16"/>
        <v>106.90650404154877</v>
      </c>
      <c r="Y75" s="227">
        <f t="shared" si="17"/>
        <v>37.974348091147426</v>
      </c>
      <c r="Z75" s="52">
        <f t="shared" si="18"/>
        <v>160.00065939320223</v>
      </c>
      <c r="AA75" s="445">
        <f t="shared" si="19"/>
        <v>197.97500748434965</v>
      </c>
      <c r="AB75" s="444">
        <f t="shared" si="28"/>
        <v>1877.242666463841</v>
      </c>
      <c r="AC75" s="437">
        <f t="shared" si="29"/>
        <v>93.862133323192054</v>
      </c>
      <c r="AD75" s="52">
        <f t="shared" si="20"/>
        <v>53.888833986752346</v>
      </c>
      <c r="AE75" s="52">
        <f t="shared" si="30"/>
        <v>187.72426664638411</v>
      </c>
      <c r="AF75" s="227">
        <f t="shared" si="21"/>
        <v>20.068945070928443</v>
      </c>
      <c r="AG75" s="52">
        <f t="shared" si="31"/>
        <v>56.317279993915228</v>
      </c>
      <c r="AH75" s="227">
        <f t="shared" si="22"/>
        <v>11.149413928293582</v>
      </c>
      <c r="AI75" s="61">
        <f t="shared" si="25"/>
        <v>85.107192985974379</v>
      </c>
      <c r="AJ75" s="228">
        <f t="shared" si="32"/>
        <v>2.9981200849043654E-60</v>
      </c>
      <c r="AK75" s="229">
        <f t="shared" si="33"/>
        <v>0.23231561864061523</v>
      </c>
      <c r="AL75" s="229">
        <f t="shared" si="34"/>
        <v>0.90475269664436087</v>
      </c>
      <c r="AM75" s="229">
        <f t="shared" si="10"/>
        <v>1.1370683152849761</v>
      </c>
      <c r="AN75" s="52">
        <f t="shared" si="35"/>
        <v>2842.6707882124401</v>
      </c>
      <c r="AO75" s="52">
        <f t="shared" si="36"/>
        <v>116.15780932030762</v>
      </c>
      <c r="AP75" s="52">
        <f t="shared" si="37"/>
        <v>452.37634832218043</v>
      </c>
      <c r="AR75" s="10">
        <v>55.21525701876444</v>
      </c>
      <c r="AS75" s="10">
        <v>232.64329674238542</v>
      </c>
      <c r="AT75" s="52">
        <f t="shared" si="26"/>
        <v>287.85855376114984</v>
      </c>
      <c r="AV75" s="52">
        <f t="shared" ca="1" si="38"/>
        <v>65.072308271595773</v>
      </c>
      <c r="AW75" s="52">
        <f t="shared" ca="1" si="39"/>
        <v>65.072308271595773</v>
      </c>
      <c r="AY75" s="10"/>
      <c r="AZ75" s="10"/>
      <c r="BA75" s="10"/>
      <c r="BB75" s="10"/>
      <c r="BC75" s="10"/>
      <c r="BD75" s="10"/>
      <c r="BE75" s="10"/>
      <c r="BF75" s="10"/>
      <c r="BG75" s="439"/>
      <c r="BH75" s="59"/>
      <c r="BI75" s="10"/>
      <c r="BJ75" s="10"/>
      <c r="BK75" s="10"/>
      <c r="BL75" s="10"/>
    </row>
    <row r="76" spans="1:64" ht="9.9499999999999993" customHeight="1" x14ac:dyDescent="0.15">
      <c r="A76" s="2"/>
      <c r="R76" s="57">
        <v>42231</v>
      </c>
      <c r="S76" s="227">
        <f t="shared" si="11"/>
        <v>92.502200064553179</v>
      </c>
      <c r="T76" s="52">
        <f t="shared" si="12"/>
        <v>396.17188688042756</v>
      </c>
      <c r="U76" s="52">
        <f t="shared" si="13"/>
        <v>488.67408694498079</v>
      </c>
      <c r="V76" s="227">
        <f t="shared" si="14"/>
        <v>17.224547598227122</v>
      </c>
      <c r="W76" s="227">
        <f t="shared" si="15"/>
        <v>73.769937557045054</v>
      </c>
      <c r="X76" s="227">
        <f t="shared" si="16"/>
        <v>90.994485155272187</v>
      </c>
      <c r="Y76" s="227">
        <f t="shared" si="17"/>
        <v>31.897310367087282</v>
      </c>
      <c r="Z76" s="52">
        <f t="shared" si="18"/>
        <v>136.61099547600941</v>
      </c>
      <c r="AA76" s="445">
        <f t="shared" si="19"/>
        <v>168.50830584309671</v>
      </c>
      <c r="AB76" s="444">
        <f t="shared" si="28"/>
        <v>1903.6100377312659</v>
      </c>
      <c r="AC76" s="437">
        <f t="shared" si="29"/>
        <v>95.180501886563306</v>
      </c>
      <c r="AD76" s="52">
        <f t="shared" si="20"/>
        <v>46.512244854381343</v>
      </c>
      <c r="AE76" s="52">
        <f t="shared" si="30"/>
        <v>190.36100377312661</v>
      </c>
      <c r="AF76" s="227">
        <f t="shared" si="21"/>
        <v>17.321801531976483</v>
      </c>
      <c r="AG76" s="52">
        <f t="shared" si="31"/>
        <v>57.108301131937978</v>
      </c>
      <c r="AH76" s="227">
        <f t="shared" si="22"/>
        <v>9.6232230733202702</v>
      </c>
      <c r="AI76" s="61">
        <f t="shared" si="25"/>
        <v>73.457269459678102</v>
      </c>
      <c r="AJ76" s="228">
        <f t="shared" si="32"/>
        <v>2.0578222729206919E-61</v>
      </c>
      <c r="AK76" s="229">
        <f t="shared" si="33"/>
        <v>0.22578119093758348</v>
      </c>
      <c r="AL76" s="229">
        <f t="shared" si="34"/>
        <v>0.902984339024965</v>
      </c>
      <c r="AM76" s="229">
        <f t="shared" si="10"/>
        <v>1.1287655299625485</v>
      </c>
      <c r="AN76" s="52">
        <f t="shared" si="35"/>
        <v>2821.9138249063712</v>
      </c>
      <c r="AO76" s="52">
        <f t="shared" si="36"/>
        <v>112.89059546879174</v>
      </c>
      <c r="AP76" s="52">
        <f t="shared" si="37"/>
        <v>451.49216951248252</v>
      </c>
      <c r="AR76" s="10">
        <v>46.379155368215486</v>
      </c>
      <c r="AS76" s="10">
        <v>198.63438362897273</v>
      </c>
      <c r="AT76" s="52">
        <f t="shared" si="26"/>
        <v>245.01353899718822</v>
      </c>
      <c r="AV76" s="52">
        <f t="shared" ca="1" si="38"/>
        <v>56.577994080357911</v>
      </c>
      <c r="AW76" s="52">
        <f t="shared" ca="1" si="39"/>
        <v>56.577994080357911</v>
      </c>
      <c r="AY76" s="10"/>
      <c r="AZ76" s="10"/>
      <c r="BA76" s="10"/>
      <c r="BB76" s="10"/>
      <c r="BC76" s="10"/>
      <c r="BD76" s="10"/>
      <c r="BE76" s="10"/>
      <c r="BF76" s="10"/>
      <c r="BG76" s="439"/>
      <c r="BH76" s="59"/>
      <c r="BI76" s="10"/>
      <c r="BJ76" s="10"/>
      <c r="BK76" s="10"/>
      <c r="BL76" s="10"/>
    </row>
    <row r="77" spans="1:64" ht="9.9499999999999993" customHeight="1" x14ac:dyDescent="0.15">
      <c r="A77" s="2"/>
      <c r="R77" s="57">
        <v>42262</v>
      </c>
      <c r="S77" s="227">
        <f t="shared" si="11"/>
        <v>83.574173399147043</v>
      </c>
      <c r="T77" s="52">
        <f t="shared" si="12"/>
        <v>363.48227858818177</v>
      </c>
      <c r="U77" s="52">
        <f t="shared" si="13"/>
        <v>447.05645198732878</v>
      </c>
      <c r="V77" s="227">
        <f t="shared" si="14"/>
        <v>15.562087460530813</v>
      </c>
      <c r="W77" s="227">
        <f t="shared" si="15"/>
        <v>67.682907047454464</v>
      </c>
      <c r="X77" s="227">
        <f t="shared" si="16"/>
        <v>83.244994507985282</v>
      </c>
      <c r="Y77" s="227">
        <f t="shared" si="17"/>
        <v>28.818680482464483</v>
      </c>
      <c r="Z77" s="52">
        <f t="shared" si="18"/>
        <v>125.33871675454537</v>
      </c>
      <c r="AA77" s="445">
        <f t="shared" si="19"/>
        <v>154.15739723700986</v>
      </c>
      <c r="AB77" s="444">
        <f t="shared" si="28"/>
        <v>1765.1123477395215</v>
      </c>
      <c r="AC77" s="437">
        <f t="shared" si="29"/>
        <v>88.255617386976084</v>
      </c>
      <c r="AD77" s="52">
        <f t="shared" si="20"/>
        <v>39.455243176972736</v>
      </c>
      <c r="AE77" s="52">
        <f t="shared" si="30"/>
        <v>176.51123477395217</v>
      </c>
      <c r="AF77" s="227">
        <f t="shared" si="21"/>
        <v>14.693676769355349</v>
      </c>
      <c r="AG77" s="52">
        <f t="shared" si="31"/>
        <v>52.953370432185643</v>
      </c>
      <c r="AH77" s="227">
        <f t="shared" si="22"/>
        <v>8.1631537607529747</v>
      </c>
      <c r="AI77" s="61">
        <f t="shared" si="25"/>
        <v>62.312073707081062</v>
      </c>
      <c r="AJ77" s="228">
        <f t="shared" si="32"/>
        <v>1.4124292513332333E-62</v>
      </c>
      <c r="AK77" s="229">
        <f t="shared" si="33"/>
        <v>0.21943055950987753</v>
      </c>
      <c r="AL77" s="229">
        <f t="shared" si="34"/>
        <v>0.90121943769664337</v>
      </c>
      <c r="AM77" s="229">
        <f t="shared" si="10"/>
        <v>1.1206499972065209</v>
      </c>
      <c r="AN77" s="52">
        <f t="shared" si="35"/>
        <v>2801.6249930163021</v>
      </c>
      <c r="AO77" s="52">
        <f t="shared" si="36"/>
        <v>109.71527975493876</v>
      </c>
      <c r="AP77" s="52">
        <f t="shared" si="37"/>
        <v>450.60971884832168</v>
      </c>
      <c r="AQ77" s="474">
        <f>AO77/500</f>
        <v>0.21943055950987753</v>
      </c>
      <c r="AR77" s="10">
        <v>41.902782529975127</v>
      </c>
      <c r="AS77" s="10">
        <v>182.24432565355005</v>
      </c>
      <c r="AT77" s="52">
        <f t="shared" si="26"/>
        <v>224.14710818352518</v>
      </c>
      <c r="AV77" s="52">
        <f t="shared" ca="1" si="38"/>
        <v>48.341343241244225</v>
      </c>
      <c r="AW77" s="52">
        <f t="shared" ca="1" si="39"/>
        <v>48.341343241244225</v>
      </c>
      <c r="AY77" s="10"/>
      <c r="AZ77" s="10"/>
      <c r="BA77" s="10"/>
      <c r="BB77" s="10"/>
      <c r="BC77" s="10"/>
      <c r="BD77" s="10"/>
      <c r="BE77" s="10"/>
      <c r="BF77" s="10"/>
      <c r="BG77" s="439"/>
      <c r="BH77" s="59"/>
      <c r="BI77" s="10"/>
      <c r="BJ77" s="10"/>
      <c r="BK77" s="10"/>
      <c r="BL77" s="10"/>
    </row>
    <row r="78" spans="1:64" ht="9.9499999999999993" customHeight="1" x14ac:dyDescent="0.15">
      <c r="A78" s="2"/>
      <c r="R78" s="57">
        <v>42292</v>
      </c>
      <c r="S78" s="227">
        <f t="shared" si="11"/>
        <v>75.011173973049964</v>
      </c>
      <c r="T78" s="52">
        <f t="shared" si="12"/>
        <v>330.84712556759894</v>
      </c>
      <c r="U78" s="52">
        <f t="shared" si="13"/>
        <v>405.85829954064894</v>
      </c>
      <c r="V78" s="227">
        <f t="shared" si="14"/>
        <v>13.967597912223086</v>
      </c>
      <c r="W78" s="227">
        <f t="shared" si="15"/>
        <v>61.606016485001135</v>
      </c>
      <c r="X78" s="227">
        <f t="shared" si="16"/>
        <v>75.573614397224219</v>
      </c>
      <c r="Y78" s="227">
        <f t="shared" si="17"/>
        <v>25.865922059672393</v>
      </c>
      <c r="Z78" s="52">
        <f t="shared" si="18"/>
        <v>114.08521571296511</v>
      </c>
      <c r="AA78" s="445">
        <f t="shared" si="19"/>
        <v>139.95113777263751</v>
      </c>
      <c r="AB78" s="444">
        <f t="shared" si="28"/>
        <v>1816.1888678789485</v>
      </c>
      <c r="AC78" s="437">
        <f t="shared" si="29"/>
        <v>90.809443393947433</v>
      </c>
      <c r="AD78" s="52">
        <f t="shared" si="20"/>
        <v>36.855766278100326</v>
      </c>
      <c r="AE78" s="52">
        <f t="shared" si="30"/>
        <v>181.61888678789487</v>
      </c>
      <c r="AF78" s="227">
        <f t="shared" si="21"/>
        <v>13.725595717361486</v>
      </c>
      <c r="AG78" s="52">
        <f t="shared" si="31"/>
        <v>54.48566603636845</v>
      </c>
      <c r="AH78" s="227">
        <f t="shared" si="22"/>
        <v>7.6253309540897174</v>
      </c>
      <c r="AI78" s="61">
        <f t="shared" si="25"/>
        <v>58.206692949551531</v>
      </c>
      <c r="AJ78" s="228">
        <f t="shared" si="32"/>
        <v>1.0569535527548172E-63</v>
      </c>
      <c r="AK78" s="229">
        <f t="shared" si="33"/>
        <v>0.21345491526287499</v>
      </c>
      <c r="AL78" s="229">
        <f t="shared" si="34"/>
        <v>0.89951475315572649</v>
      </c>
      <c r="AM78" s="229">
        <f t="shared" si="10"/>
        <v>1.1129696684186015</v>
      </c>
      <c r="AN78" s="52">
        <f t="shared" si="35"/>
        <v>2782.4241710465035</v>
      </c>
      <c r="AO78" s="52">
        <f t="shared" si="36"/>
        <v>106.7274576314375</v>
      </c>
      <c r="AP78" s="52">
        <f t="shared" si="37"/>
        <v>449.75737657786323</v>
      </c>
      <c r="AR78" s="10">
        <v>37.609428636513712</v>
      </c>
      <c r="AS78" s="10">
        <v>165.88157069906435</v>
      </c>
      <c r="AT78" s="52">
        <f t="shared" si="26"/>
        <v>203.49099933557807</v>
      </c>
      <c r="AV78" s="52">
        <f t="shared" ca="1" si="38"/>
        <v>45.468026052638521</v>
      </c>
      <c r="AW78" s="52">
        <f t="shared" ca="1" si="39"/>
        <v>45.468026052638521</v>
      </c>
      <c r="AY78" s="10"/>
      <c r="AZ78" s="10"/>
      <c r="BA78" s="10"/>
      <c r="BB78" s="10"/>
      <c r="BC78" s="10"/>
      <c r="BD78" s="10"/>
      <c r="BE78" s="10"/>
      <c r="BF78" s="10"/>
      <c r="BG78" s="439"/>
      <c r="BH78" s="59"/>
      <c r="BI78" s="10"/>
      <c r="BJ78" s="10"/>
      <c r="BK78" s="10"/>
      <c r="BL78" s="10"/>
    </row>
    <row r="79" spans="1:64" ht="9.9499999999999993" customHeight="1" x14ac:dyDescent="0.15">
      <c r="A79" s="2"/>
      <c r="R79" s="57">
        <v>42323</v>
      </c>
      <c r="S79" s="227">
        <f t="shared" si="11"/>
        <v>60.976320297337431</v>
      </c>
      <c r="T79" s="52">
        <f t="shared" si="12"/>
        <v>272.64248924873073</v>
      </c>
      <c r="U79" s="52">
        <f t="shared" si="13"/>
        <v>333.61880954606818</v>
      </c>
      <c r="V79" s="227">
        <f t="shared" si="14"/>
        <v>11.354211365711095</v>
      </c>
      <c r="W79" s="227">
        <f t="shared" si="15"/>
        <v>50.767911791142915</v>
      </c>
      <c r="X79" s="227">
        <f t="shared" si="16"/>
        <v>62.122123156854009</v>
      </c>
      <c r="Y79" s="227">
        <f t="shared" si="17"/>
        <v>21.026317343909447</v>
      </c>
      <c r="Z79" s="227">
        <f t="shared" si="18"/>
        <v>94.014651465079524</v>
      </c>
      <c r="AA79" s="445">
        <f t="shared" si="19"/>
        <v>115.04096880898896</v>
      </c>
      <c r="AB79" s="444">
        <f t="shared" si="28"/>
        <v>1642.8489766507128</v>
      </c>
      <c r="AC79" s="437">
        <f t="shared" si="29"/>
        <v>82.142448832535649</v>
      </c>
      <c r="AD79" s="52">
        <f t="shared" si="20"/>
        <v>27.404265992709362</v>
      </c>
      <c r="AE79" s="52">
        <f t="shared" si="30"/>
        <v>164.2848976650713</v>
      </c>
      <c r="AF79" s="227">
        <f t="shared" si="21"/>
        <v>10.205726645560716</v>
      </c>
      <c r="AG79" s="52">
        <f t="shared" si="31"/>
        <v>49.285469299521381</v>
      </c>
      <c r="AH79" s="227">
        <f t="shared" si="22"/>
        <v>5.6698481364226225</v>
      </c>
      <c r="AI79" s="61">
        <f t="shared" si="25"/>
        <v>43.279840774692701</v>
      </c>
      <c r="AJ79" s="228">
        <f t="shared" si="32"/>
        <v>7.2546212316605665E-65</v>
      </c>
      <c r="AK79" s="229">
        <f t="shared" si="33"/>
        <v>0.20745098956987301</v>
      </c>
      <c r="AL79" s="229">
        <f t="shared" si="34"/>
        <v>0.89775663320383059</v>
      </c>
      <c r="AM79" s="229">
        <f t="shared" si="10"/>
        <v>1.1052076227737035</v>
      </c>
      <c r="AN79" s="52">
        <f t="shared" si="35"/>
        <v>2763.019056934259</v>
      </c>
      <c r="AO79" s="52">
        <f t="shared" si="36"/>
        <v>103.7254947849365</v>
      </c>
      <c r="AP79" s="52">
        <f t="shared" si="37"/>
        <v>448.87831660191529</v>
      </c>
      <c r="AR79" s="10">
        <v>30.572572661825639</v>
      </c>
      <c r="AS79" s="10">
        <v>136.69867700465039</v>
      </c>
      <c r="AT79" s="52">
        <f t="shared" si="26"/>
        <v>167.27124966647602</v>
      </c>
      <c r="AV79" s="52">
        <f t="shared" ca="1" si="38"/>
        <v>34.045387869646738</v>
      </c>
      <c r="AW79" s="52">
        <f t="shared" ca="1" si="39"/>
        <v>34.045387869646738</v>
      </c>
      <c r="AY79" s="10"/>
      <c r="AZ79" s="10"/>
      <c r="BA79" s="10"/>
      <c r="BB79" s="10"/>
      <c r="BC79" s="10"/>
      <c r="BD79" s="10"/>
      <c r="BE79" s="10"/>
      <c r="BF79" s="10"/>
      <c r="BG79" s="439"/>
      <c r="BH79" s="59"/>
      <c r="BI79" s="10"/>
      <c r="BJ79" s="10"/>
      <c r="BK79" s="10"/>
      <c r="BL79" s="10"/>
    </row>
    <row r="80" spans="1:64" ht="9.9499999999999993" customHeight="1" x14ac:dyDescent="0.15">
      <c r="A80" s="2"/>
      <c r="R80" s="57">
        <v>42353</v>
      </c>
      <c r="S80" s="227">
        <f t="shared" si="11"/>
        <v>43.961513294141838</v>
      </c>
      <c r="T80" s="52">
        <f t="shared" si="12"/>
        <v>199.02238109896805</v>
      </c>
      <c r="U80" s="52">
        <f t="shared" si="13"/>
        <v>242.98389439310986</v>
      </c>
      <c r="V80" s="227">
        <f t="shared" si="14"/>
        <v>8.1859369582195036</v>
      </c>
      <c r="W80" s="227">
        <f t="shared" si="15"/>
        <v>37.059339928773312</v>
      </c>
      <c r="X80" s="227">
        <f t="shared" si="16"/>
        <v>45.245276886992819</v>
      </c>
      <c r="Y80" s="227">
        <f t="shared" si="17"/>
        <v>15.159142515221314</v>
      </c>
      <c r="Z80" s="227">
        <f t="shared" si="18"/>
        <v>68.628407275506177</v>
      </c>
      <c r="AA80" s="445">
        <f t="shared" si="19"/>
        <v>83.787549790727496</v>
      </c>
      <c r="AB80" s="444">
        <f t="shared" si="28"/>
        <v>1648.8445363687117</v>
      </c>
      <c r="AC80" s="437">
        <f t="shared" si="29"/>
        <v>82.442226818435586</v>
      </c>
      <c r="AD80" s="52">
        <f t="shared" si="20"/>
        <v>20.032133334783559</v>
      </c>
      <c r="AE80" s="52">
        <f t="shared" si="30"/>
        <v>164.88445363687117</v>
      </c>
      <c r="AF80" s="227">
        <f t="shared" si="21"/>
        <v>7.4602427591607663</v>
      </c>
      <c r="AG80" s="52">
        <f t="shared" si="31"/>
        <v>49.465336091061353</v>
      </c>
      <c r="AH80" s="227">
        <f t="shared" si="22"/>
        <v>4.1445793106448727</v>
      </c>
      <c r="AI80" s="61">
        <f t="shared" si="25"/>
        <v>31.636955404589198</v>
      </c>
      <c r="AJ80" s="228">
        <f t="shared" si="32"/>
        <v>5.4288012496602859E-66</v>
      </c>
      <c r="AK80" s="229">
        <f t="shared" si="33"/>
        <v>0.20180157904507151</v>
      </c>
      <c r="AL80" s="229">
        <f t="shared" si="34"/>
        <v>0.8960584986650999</v>
      </c>
      <c r="AM80" s="229">
        <f t="shared" si="10"/>
        <v>1.0978600777101715</v>
      </c>
      <c r="AN80" s="52">
        <f t="shared" si="35"/>
        <v>2744.6501942754285</v>
      </c>
      <c r="AO80" s="52">
        <f t="shared" si="36"/>
        <v>100.90078952253576</v>
      </c>
      <c r="AP80" s="52">
        <f t="shared" si="37"/>
        <v>448.02924933254997</v>
      </c>
      <c r="AR80" s="10">
        <v>22.041614727736405</v>
      </c>
      <c r="AS80" s="10">
        <v>99.786707000478728</v>
      </c>
      <c r="AT80" s="52">
        <f t="shared" si="26"/>
        <v>121.82832172821513</v>
      </c>
      <c r="AV80" s="52">
        <f t="shared" ca="1" si="38"/>
        <v>25.053256981797418</v>
      </c>
      <c r="AW80" s="52">
        <f t="shared" ca="1" si="39"/>
        <v>25.053256981797418</v>
      </c>
      <c r="AY80" s="10"/>
      <c r="AZ80" s="10"/>
      <c r="BA80" s="10"/>
      <c r="BB80" s="10"/>
      <c r="BC80" s="10"/>
      <c r="BD80" s="10"/>
      <c r="BE80" s="10"/>
      <c r="BF80" s="10"/>
      <c r="BG80" s="439"/>
      <c r="BH80" s="59"/>
      <c r="BI80" s="10"/>
      <c r="BJ80" s="10"/>
      <c r="BK80" s="10"/>
      <c r="BL80" s="10"/>
    </row>
    <row r="81" spans="1:64" ht="9.9499999999999993" customHeight="1" x14ac:dyDescent="0.15">
      <c r="A81" s="2"/>
      <c r="R81" s="57">
        <v>42384</v>
      </c>
      <c r="S81" s="227">
        <f t="shared" si="11"/>
        <v>38.80124732541654</v>
      </c>
      <c r="T81" s="52">
        <f t="shared" si="12"/>
        <v>177.76926414949946</v>
      </c>
      <c r="U81" s="52">
        <f t="shared" si="13"/>
        <v>216.570511474916</v>
      </c>
      <c r="V81" s="227">
        <f t="shared" si="14"/>
        <v>7.2250598468016944</v>
      </c>
      <c r="W81" s="227">
        <f t="shared" si="15"/>
        <v>33.101862979561929</v>
      </c>
      <c r="X81" s="227">
        <f t="shared" si="16"/>
        <v>40.326922826363628</v>
      </c>
      <c r="Y81" s="227">
        <f t="shared" si="17"/>
        <v>13.379740457040182</v>
      </c>
      <c r="Z81" s="227">
        <f t="shared" si="18"/>
        <v>61.299746258448053</v>
      </c>
      <c r="AA81" s="445">
        <f t="shared" si="19"/>
        <v>74.679486715488238</v>
      </c>
      <c r="AB81" s="444">
        <f t="shared" si="28"/>
        <v>1510.7563874779353</v>
      </c>
      <c r="AC81" s="437">
        <f t="shared" si="29"/>
        <v>75.537819373896767</v>
      </c>
      <c r="AD81" s="52">
        <f t="shared" si="20"/>
        <v>16.359264177504642</v>
      </c>
      <c r="AE81" s="52">
        <f t="shared" si="30"/>
        <v>151.07563874779353</v>
      </c>
      <c r="AF81" s="227">
        <f t="shared" si="21"/>
        <v>6.0924156247258603</v>
      </c>
      <c r="AG81" s="52">
        <f t="shared" si="31"/>
        <v>45.322691624338056</v>
      </c>
      <c r="AH81" s="227">
        <f t="shared" si="22"/>
        <v>3.384675347069924</v>
      </c>
      <c r="AI81" s="61">
        <f t="shared" si="25"/>
        <v>25.836355149300424</v>
      </c>
      <c r="AJ81" s="228">
        <f t="shared" si="32"/>
        <v>3.7261710039766376E-67</v>
      </c>
      <c r="AK81" s="229">
        <f t="shared" si="33"/>
        <v>0.19612543106869459</v>
      </c>
      <c r="AL81" s="229">
        <f t="shared" si="34"/>
        <v>0.89430713403317807</v>
      </c>
      <c r="AM81" s="229">
        <f t="shared" si="10"/>
        <v>1.0904325651018727</v>
      </c>
      <c r="AN81" s="52">
        <f t="shared" si="35"/>
        <v>2726.0814127546814</v>
      </c>
      <c r="AO81" s="52">
        <f t="shared" si="36"/>
        <v>98.062715534347291</v>
      </c>
      <c r="AP81" s="52">
        <f t="shared" si="37"/>
        <v>447.15356701658902</v>
      </c>
      <c r="AR81" s="10">
        <v>19.454338133906116</v>
      </c>
      <c r="AS81" s="10">
        <v>89.13072679276064</v>
      </c>
      <c r="AT81" s="52">
        <f t="shared" si="26"/>
        <v>108.58506492666676</v>
      </c>
      <c r="AV81" s="52">
        <f t="shared" ca="1" si="38"/>
        <v>20.599132752544961</v>
      </c>
      <c r="AW81" s="52">
        <f t="shared" ca="1" si="39"/>
        <v>20.599132752544961</v>
      </c>
      <c r="AY81" s="10"/>
      <c r="AZ81" s="10"/>
      <c r="BA81" s="10"/>
      <c r="BB81" s="10"/>
      <c r="BC81" s="10"/>
      <c r="BD81" s="10"/>
      <c r="BE81" s="10"/>
      <c r="BF81" s="10"/>
      <c r="BG81" s="439"/>
      <c r="BH81" s="59"/>
      <c r="BI81" s="10"/>
      <c r="BJ81" s="10"/>
      <c r="BK81" s="10"/>
      <c r="BL81" s="10"/>
    </row>
    <row r="82" spans="1:64" ht="9.9499999999999993" customHeight="1" x14ac:dyDescent="0.15">
      <c r="A82" s="2"/>
      <c r="R82" s="57">
        <v>42415</v>
      </c>
      <c r="S82" s="227">
        <f t="shared" si="11"/>
        <v>34.663732337602291</v>
      </c>
      <c r="T82" s="52">
        <f t="shared" si="12"/>
        <v>160.57802310331655</v>
      </c>
      <c r="U82" s="52">
        <f t="shared" si="13"/>
        <v>195.24175544091884</v>
      </c>
      <c r="V82" s="227">
        <f t="shared" si="14"/>
        <v>6.4546260214845574</v>
      </c>
      <c r="W82" s="227">
        <f t="shared" si="15"/>
        <v>29.900735336479599</v>
      </c>
      <c r="X82" s="227">
        <f t="shared" si="16"/>
        <v>36.355361357964156</v>
      </c>
      <c r="Y82" s="227">
        <f t="shared" si="17"/>
        <v>11.953011150897336</v>
      </c>
      <c r="Z82" s="227">
        <f t="shared" si="18"/>
        <v>55.371732104591878</v>
      </c>
      <c r="AA82" s="445">
        <f t="shared" si="19"/>
        <v>67.32474325548921</v>
      </c>
      <c r="AB82" s="444">
        <f t="shared" si="28"/>
        <v>1292.7233367932722</v>
      </c>
      <c r="AC82" s="437">
        <f t="shared" si="29"/>
        <v>64.636166839663616</v>
      </c>
      <c r="AD82" s="52">
        <f t="shared" si="20"/>
        <v>12.619678678748032</v>
      </c>
      <c r="AE82" s="52">
        <f t="shared" si="30"/>
        <v>129.27233367932723</v>
      </c>
      <c r="AF82" s="227">
        <f t="shared" si="21"/>
        <v>4.6997424044992613</v>
      </c>
      <c r="AG82" s="52">
        <f t="shared" si="31"/>
        <v>38.781700103798165</v>
      </c>
      <c r="AH82" s="227">
        <f t="shared" si="22"/>
        <v>2.6109680024995905</v>
      </c>
      <c r="AI82" s="61">
        <f t="shared" si="25"/>
        <v>19.930389085746882</v>
      </c>
      <c r="AJ82" s="228">
        <f t="shared" si="32"/>
        <v>2.5575352112486148E-68</v>
      </c>
      <c r="AK82" s="229">
        <f t="shared" si="33"/>
        <v>0.19060893821494954</v>
      </c>
      <c r="AL82" s="229">
        <f t="shared" si="34"/>
        <v>0.89255919247918947</v>
      </c>
      <c r="AM82" s="229">
        <f t="shared" si="10"/>
        <v>1.083168130694139</v>
      </c>
      <c r="AN82" s="52">
        <f t="shared" si="35"/>
        <v>2707.9203267353478</v>
      </c>
      <c r="AO82" s="52">
        <f t="shared" si="36"/>
        <v>95.304469107474773</v>
      </c>
      <c r="AP82" s="52">
        <f t="shared" si="37"/>
        <v>446.27959623959475</v>
      </c>
      <c r="AR82" s="10">
        <v>17.379852874915056</v>
      </c>
      <c r="AS82" s="10">
        <v>80.511307590871922</v>
      </c>
      <c r="AT82" s="52">
        <f t="shared" si="26"/>
        <v>97.891160465786982</v>
      </c>
      <c r="AV82" s="52">
        <f t="shared" ca="1" si="38"/>
        <v>15.996921264102674</v>
      </c>
      <c r="AW82" s="52">
        <f t="shared" ca="1" si="39"/>
        <v>15.996921264102674</v>
      </c>
      <c r="AY82" s="10"/>
      <c r="AZ82" s="10"/>
      <c r="BA82" s="10"/>
      <c r="BB82" s="10"/>
      <c r="BC82" s="10"/>
      <c r="BD82" s="10"/>
      <c r="BE82" s="10"/>
      <c r="BF82" s="10"/>
      <c r="BG82" s="439"/>
      <c r="BH82" s="59"/>
      <c r="BI82" s="10"/>
      <c r="BJ82" s="10"/>
      <c r="BK82" s="10"/>
      <c r="BL82" s="10"/>
    </row>
    <row r="83" spans="1:64" ht="9.9499999999999993" customHeight="1" x14ac:dyDescent="0.15">
      <c r="A83" s="2"/>
      <c r="R83" s="57">
        <v>42444</v>
      </c>
      <c r="S83" s="227">
        <f t="shared" si="11"/>
        <v>29.815737974936184</v>
      </c>
      <c r="T83" s="52">
        <f t="shared" si="12"/>
        <v>139.47536970004933</v>
      </c>
      <c r="U83" s="52">
        <f t="shared" si="13"/>
        <v>169.29110767498551</v>
      </c>
      <c r="V83" s="227">
        <f t="shared" si="14"/>
        <v>5.5518960367122494</v>
      </c>
      <c r="W83" s="227">
        <f t="shared" si="15"/>
        <v>25.97127573725054</v>
      </c>
      <c r="X83" s="227">
        <f t="shared" si="16"/>
        <v>31.523171773962787</v>
      </c>
      <c r="Y83" s="227">
        <f t="shared" si="17"/>
        <v>10.281288956874539</v>
      </c>
      <c r="Z83" s="227">
        <f t="shared" si="18"/>
        <v>48.0949550689825</v>
      </c>
      <c r="AA83" s="445">
        <f t="shared" si="19"/>
        <v>58.376244025857034</v>
      </c>
      <c r="AB83" s="444">
        <f t="shared" si="28"/>
        <v>1567.2112225531948</v>
      </c>
      <c r="AC83" s="437">
        <f t="shared" si="29"/>
        <v>78.36056112765975</v>
      </c>
      <c r="AD83" s="52">
        <f t="shared" si="20"/>
        <v>13.26574619133493</v>
      </c>
      <c r="AE83" s="52">
        <f t="shared" si="30"/>
        <v>156.7211222553195</v>
      </c>
      <c r="AF83" s="227">
        <f t="shared" si="21"/>
        <v>4.940346857462659</v>
      </c>
      <c r="AG83" s="52">
        <f t="shared" si="31"/>
        <v>47.016336676595841</v>
      </c>
      <c r="AH83" s="227">
        <f t="shared" si="22"/>
        <v>2.7446371430348107</v>
      </c>
      <c r="AI83" s="61">
        <f t="shared" si="25"/>
        <v>20.950730191832402</v>
      </c>
      <c r="AJ83" s="228">
        <f t="shared" si="32"/>
        <v>2.0866095049004787E-69</v>
      </c>
      <c r="AK83" s="229">
        <f t="shared" si="33"/>
        <v>0.18558890519189994</v>
      </c>
      <c r="AL83" s="229">
        <f t="shared" si="34"/>
        <v>0.89092711435749306</v>
      </c>
      <c r="AM83" s="229">
        <f t="shared" si="10"/>
        <v>1.076516019549393</v>
      </c>
      <c r="AN83" s="52">
        <f t="shared" si="35"/>
        <v>2691.2900488734822</v>
      </c>
      <c r="AO83" s="52">
        <f t="shared" si="36"/>
        <v>92.794452595949963</v>
      </c>
      <c r="AP83" s="52">
        <f t="shared" si="37"/>
        <v>445.46355717874656</v>
      </c>
      <c r="AQ83" s="473">
        <f>AO83/500</f>
        <v>0.18558890519189994</v>
      </c>
      <c r="AR83" s="10">
        <v>14.949144377026203</v>
      </c>
      <c r="AS83" s="10">
        <v>69.930767450326911</v>
      </c>
      <c r="AT83" s="52">
        <f t="shared" si="26"/>
        <v>84.879911827353112</v>
      </c>
      <c r="AV83" s="52">
        <f t="shared" ca="1" si="38"/>
        <v>16.919797877187222</v>
      </c>
      <c r="AW83" s="52">
        <f t="shared" ca="1" si="39"/>
        <v>16.919797877187222</v>
      </c>
      <c r="AY83" s="10"/>
      <c r="AZ83" s="10"/>
      <c r="BA83" s="10"/>
      <c r="BB83" s="10"/>
      <c r="BC83" s="10"/>
      <c r="BD83" s="10"/>
      <c r="BE83" s="10"/>
      <c r="BF83" s="10"/>
      <c r="BG83" s="439"/>
      <c r="BH83" s="59"/>
      <c r="BI83" s="10"/>
      <c r="BJ83" s="10"/>
      <c r="BK83" s="10"/>
      <c r="BL83" s="10"/>
    </row>
    <row r="84" spans="1:64" ht="9.9499999999999993" customHeight="1" x14ac:dyDescent="0.15">
      <c r="A84" s="2"/>
      <c r="R84" s="57">
        <v>42475</v>
      </c>
      <c r="S84" s="227">
        <f t="shared" si="11"/>
        <v>53.08702648664643</v>
      </c>
      <c r="T84" s="52">
        <f t="shared" si="12"/>
        <v>250.67419539297364</v>
      </c>
      <c r="U84" s="52">
        <f t="shared" si="13"/>
        <v>303.76122187962005</v>
      </c>
      <c r="V84" s="227">
        <f t="shared" si="14"/>
        <v>9.8851704492376005</v>
      </c>
      <c r="W84" s="227">
        <f t="shared" si="15"/>
        <v>46.677263969726077</v>
      </c>
      <c r="X84" s="227">
        <f t="shared" si="16"/>
        <v>56.562434418963676</v>
      </c>
      <c r="Y84" s="227">
        <f t="shared" si="17"/>
        <v>18.305871202291858</v>
      </c>
      <c r="Z84" s="227">
        <f t="shared" si="18"/>
        <v>86.439377721714976</v>
      </c>
      <c r="AA84" s="445">
        <f t="shared" si="19"/>
        <v>104.74524892400683</v>
      </c>
      <c r="AB84" s="444">
        <f t="shared" si="28"/>
        <v>1588.1886140584027</v>
      </c>
      <c r="AC84" s="437">
        <f t="shared" si="29"/>
        <v>79.409430702920133</v>
      </c>
      <c r="AD84" s="52">
        <f t="shared" si="20"/>
        <v>24.121505699084036</v>
      </c>
      <c r="AE84" s="52">
        <f t="shared" si="30"/>
        <v>158.81886140584027</v>
      </c>
      <c r="AF84" s="227">
        <f t="shared" si="21"/>
        <v>8.9831814327623221</v>
      </c>
      <c r="AG84" s="52">
        <f t="shared" si="31"/>
        <v>47.645658421752081</v>
      </c>
      <c r="AH84" s="227">
        <f t="shared" si="22"/>
        <v>4.9906563515346241</v>
      </c>
      <c r="AI84" s="61">
        <f t="shared" si="25"/>
        <v>38.095343483380987</v>
      </c>
      <c r="AJ84" s="228">
        <f t="shared" si="32"/>
        <v>1.4321879686180307E-70</v>
      </c>
      <c r="AK84" s="229">
        <f t="shared" si="33"/>
        <v>0.18036877711546054</v>
      </c>
      <c r="AL84" s="229">
        <f t="shared" si="34"/>
        <v>0.88918577912097607</v>
      </c>
      <c r="AM84" s="229">
        <f t="shared" si="10"/>
        <v>1.0695545562364366</v>
      </c>
      <c r="AN84" s="52">
        <f t="shared" si="35"/>
        <v>2673.8863905910916</v>
      </c>
      <c r="AO84" s="52">
        <f t="shared" si="36"/>
        <v>90.184388557730273</v>
      </c>
      <c r="AP84" s="52">
        <f t="shared" si="37"/>
        <v>444.59288956048806</v>
      </c>
      <c r="AR84" s="10">
        <v>26.617004219818917</v>
      </c>
      <c r="AS84" s="10">
        <v>125.68411828929283</v>
      </c>
      <c r="AT84" s="52">
        <f t="shared" si="26"/>
        <v>152.30112250911174</v>
      </c>
      <c r="AV84" s="52">
        <f t="shared" ca="1" si="38"/>
        <v>30.96602465368785</v>
      </c>
      <c r="AW84" s="52">
        <f t="shared" ca="1" si="39"/>
        <v>30.96602465368785</v>
      </c>
      <c r="AY84" s="10"/>
      <c r="AZ84" s="10"/>
      <c r="BA84" s="10"/>
      <c r="BB84" s="10"/>
      <c r="BC84" s="10"/>
      <c r="BD84" s="10"/>
      <c r="BE84" s="10"/>
      <c r="BF84" s="10"/>
      <c r="BG84" s="439"/>
      <c r="BH84" s="59"/>
      <c r="BI84" s="10"/>
      <c r="BJ84" s="10"/>
      <c r="BK84" s="10"/>
      <c r="BL84" s="10"/>
    </row>
    <row r="85" spans="1:64" ht="9.9499999999999993" customHeight="1" x14ac:dyDescent="0.15">
      <c r="A85" s="2"/>
      <c r="R85" s="57">
        <v>42505</v>
      </c>
      <c r="S85" s="227">
        <f t="shared" si="11"/>
        <v>78.54561281141217</v>
      </c>
      <c r="T85" s="52">
        <f t="shared" si="12"/>
        <v>373.99910748579265</v>
      </c>
      <c r="U85" s="52">
        <f t="shared" si="13"/>
        <v>452.54472029720483</v>
      </c>
      <c r="V85" s="227">
        <f t="shared" si="14"/>
        <v>14.625734799366393</v>
      </c>
      <c r="W85" s="227">
        <f t="shared" si="15"/>
        <v>69.641213118044092</v>
      </c>
      <c r="X85" s="227">
        <f t="shared" si="16"/>
        <v>84.266947917410477</v>
      </c>
      <c r="Y85" s="227">
        <f t="shared" si="17"/>
        <v>27.084694072900731</v>
      </c>
      <c r="Z85" s="227">
        <f t="shared" si="18"/>
        <v>128.96520947785945</v>
      </c>
      <c r="AA85" s="445">
        <f t="shared" si="19"/>
        <v>156.04990355076018</v>
      </c>
      <c r="AB85" s="444">
        <f t="shared" si="28"/>
        <v>1784.5337025216506</v>
      </c>
      <c r="AC85" s="437">
        <f t="shared" si="29"/>
        <v>89.226685126082543</v>
      </c>
      <c r="AD85" s="52">
        <f t="shared" si="20"/>
        <v>40.379065263429794</v>
      </c>
      <c r="AE85" s="52">
        <f t="shared" si="30"/>
        <v>178.45337025216509</v>
      </c>
      <c r="AF85" s="227">
        <f t="shared" si="21"/>
        <v>15.037720856725564</v>
      </c>
      <c r="AG85" s="52">
        <f t="shared" si="31"/>
        <v>53.536011075649519</v>
      </c>
      <c r="AH85" s="227">
        <f t="shared" si="22"/>
        <v>8.3542893648475367</v>
      </c>
      <c r="AI85" s="61">
        <f t="shared" si="25"/>
        <v>63.771075485002896</v>
      </c>
      <c r="AJ85" s="228">
        <f t="shared" si="32"/>
        <v>1.0717394589603265E-71</v>
      </c>
      <c r="AK85" s="229">
        <f t="shared" si="33"/>
        <v>0.17545688313079261</v>
      </c>
      <c r="AL85" s="229">
        <f t="shared" si="34"/>
        <v>0.88750385661878872</v>
      </c>
      <c r="AM85" s="229">
        <f t="shared" si="10"/>
        <v>1.0629607397495813</v>
      </c>
      <c r="AN85" s="52">
        <f t="shared" si="35"/>
        <v>2657.4018493739532</v>
      </c>
      <c r="AO85" s="52">
        <f t="shared" si="36"/>
        <v>87.728441565396309</v>
      </c>
      <c r="AP85" s="52">
        <f t="shared" si="37"/>
        <v>443.75192830939437</v>
      </c>
      <c r="AR85" s="10">
        <v>39.381540952863595</v>
      </c>
      <c r="AS85" s="10">
        <v>187.51729906480782</v>
      </c>
      <c r="AT85" s="52">
        <f t="shared" si="26"/>
        <v>226.8988400176714</v>
      </c>
      <c r="AV85" s="52">
        <f t="shared" ca="1" si="38"/>
        <v>52.15825109282143</v>
      </c>
      <c r="AW85" s="52">
        <f t="shared" ca="1" si="39"/>
        <v>52.15825109282143</v>
      </c>
      <c r="AY85" s="10"/>
      <c r="AZ85" s="10"/>
      <c r="BA85" s="10"/>
      <c r="BB85" s="10"/>
      <c r="BC85" s="10"/>
      <c r="BD85" s="10"/>
      <c r="BE85" s="10"/>
      <c r="BF85" s="10"/>
      <c r="BG85" s="439"/>
      <c r="BH85" s="59"/>
      <c r="BI85" s="10"/>
      <c r="BJ85" s="10"/>
      <c r="BK85" s="10"/>
      <c r="BL85" s="10"/>
    </row>
    <row r="86" spans="1:64" ht="9.9499999999999993" customHeight="1" x14ac:dyDescent="0.15">
      <c r="A86" s="2"/>
      <c r="R86" s="57">
        <v>42536</v>
      </c>
      <c r="S86" s="227">
        <f t="shared" si="11"/>
        <v>83.274354020429556</v>
      </c>
      <c r="T86" s="52">
        <f t="shared" si="12"/>
        <v>399.72014112773581</v>
      </c>
      <c r="U86" s="52">
        <f t="shared" si="13"/>
        <v>482.99449514816536</v>
      </c>
      <c r="V86" s="227">
        <f t="shared" si="14"/>
        <v>15.506259024493763</v>
      </c>
      <c r="W86" s="227">
        <f t="shared" si="15"/>
        <v>74.430646968612805</v>
      </c>
      <c r="X86" s="227">
        <f t="shared" si="16"/>
        <v>89.936905993106564</v>
      </c>
      <c r="Y86" s="227">
        <f t="shared" si="17"/>
        <v>28.715294489803274</v>
      </c>
      <c r="Z86" s="227">
        <f t="shared" si="18"/>
        <v>137.83453142335708</v>
      </c>
      <c r="AA86" s="445">
        <f t="shared" si="19"/>
        <v>166.54982591316033</v>
      </c>
      <c r="AB86" s="444">
        <f t="shared" si="28"/>
        <v>1751.2526352132552</v>
      </c>
      <c r="AC86" s="437">
        <f t="shared" si="29"/>
        <v>87.562631760662768</v>
      </c>
      <c r="AD86" s="52">
        <f t="shared" si="20"/>
        <v>42.292269121086022</v>
      </c>
      <c r="AE86" s="52">
        <f t="shared" si="30"/>
        <v>175.12526352132554</v>
      </c>
      <c r="AF86" s="227">
        <f t="shared" si="21"/>
        <v>15.750224362335468</v>
      </c>
      <c r="AG86" s="52">
        <f t="shared" si="31"/>
        <v>52.537579056397654</v>
      </c>
      <c r="AH86" s="227">
        <f t="shared" si="22"/>
        <v>8.7501246457419271</v>
      </c>
      <c r="AI86" s="61">
        <f t="shared" si="25"/>
        <v>66.792618129163415</v>
      </c>
      <c r="AJ86" s="228">
        <f t="shared" si="32"/>
        <v>7.3561073838270948E-73</v>
      </c>
      <c r="AK86" s="229">
        <f t="shared" si="33"/>
        <v>0.17052174220257513</v>
      </c>
      <c r="AL86" s="229">
        <f t="shared" si="34"/>
        <v>0.88576921220942018</v>
      </c>
      <c r="AM86" s="229">
        <f t="shared" si="10"/>
        <v>1.0562909544119954</v>
      </c>
      <c r="AN86" s="52">
        <f t="shared" si="35"/>
        <v>2640.7273860299883</v>
      </c>
      <c r="AO86" s="52">
        <f t="shared" si="36"/>
        <v>85.260871101287563</v>
      </c>
      <c r="AP86" s="52">
        <f t="shared" si="37"/>
        <v>442.88460610471009</v>
      </c>
      <c r="AR86" s="10">
        <v>41.752457785934048</v>
      </c>
      <c r="AS86" s="10">
        <v>200.41342277514434</v>
      </c>
      <c r="AT86" s="52">
        <f t="shared" si="26"/>
        <v>242.16588056107838</v>
      </c>
      <c r="AV86" s="52">
        <f t="shared" ca="1" si="38"/>
        <v>54.974515451551248</v>
      </c>
      <c r="AW86" s="52">
        <f t="shared" ca="1" si="39"/>
        <v>54.974515451551248</v>
      </c>
      <c r="AY86" s="10"/>
      <c r="AZ86" s="10"/>
      <c r="BA86" s="10"/>
      <c r="BB86" s="10"/>
      <c r="BC86" s="10"/>
      <c r="BD86" s="10"/>
      <c r="BE86" s="10"/>
      <c r="BF86" s="10"/>
      <c r="BG86" s="439"/>
      <c r="BH86" s="59"/>
      <c r="BI86" s="10"/>
      <c r="BJ86" s="10"/>
      <c r="BK86" s="10"/>
      <c r="BL86" s="10"/>
    </row>
    <row r="87" spans="1:64" ht="9.9499999999999993" customHeight="1" x14ac:dyDescent="0.15">
      <c r="A87" s="2"/>
      <c r="R87" s="57">
        <v>42566</v>
      </c>
      <c r="S87" s="227">
        <f t="shared" si="11"/>
        <v>77.94819268383911</v>
      </c>
      <c r="T87" s="52">
        <f t="shared" si="12"/>
        <v>376.83694811316053</v>
      </c>
      <c r="U87" s="52">
        <f t="shared" si="13"/>
        <v>454.78514079699966</v>
      </c>
      <c r="V87" s="227">
        <f t="shared" si="14"/>
        <v>14.514491051473476</v>
      </c>
      <c r="W87" s="227">
        <f t="shared" si="15"/>
        <v>70.169638614174644</v>
      </c>
      <c r="X87" s="227">
        <f t="shared" si="16"/>
        <v>84.684129665648129</v>
      </c>
      <c r="Y87" s="227">
        <f t="shared" si="17"/>
        <v>26.878687132358298</v>
      </c>
      <c r="Z87" s="227">
        <f t="shared" si="18"/>
        <v>129.94377521143457</v>
      </c>
      <c r="AA87" s="445">
        <f t="shared" si="19"/>
        <v>156.82246234379286</v>
      </c>
      <c r="AB87" s="444">
        <f t="shared" si="28"/>
        <v>1863.191030978983</v>
      </c>
      <c r="AC87" s="437">
        <f t="shared" si="29"/>
        <v>93.159551548949153</v>
      </c>
      <c r="AD87" s="52">
        <f t="shared" si="20"/>
        <v>42.367579767774188</v>
      </c>
      <c r="AE87" s="52">
        <f t="shared" si="30"/>
        <v>186.31910309789831</v>
      </c>
      <c r="AF87" s="227">
        <f t="shared" si="21"/>
        <v>15.778271085929681</v>
      </c>
      <c r="AG87" s="52">
        <f t="shared" si="31"/>
        <v>55.895730929369485</v>
      </c>
      <c r="AH87" s="227">
        <f t="shared" si="22"/>
        <v>8.7657061588498237</v>
      </c>
      <c r="AI87" s="61">
        <f t="shared" si="25"/>
        <v>66.911557012553686</v>
      </c>
      <c r="AJ87" s="228">
        <f t="shared" si="32"/>
        <v>5.5047456900535746E-74</v>
      </c>
      <c r="AK87" s="229">
        <f t="shared" si="33"/>
        <v>0.1658780076650628</v>
      </c>
      <c r="AL87" s="229">
        <f t="shared" si="34"/>
        <v>0.88409375224959885</v>
      </c>
      <c r="AM87" s="229">
        <f t="shared" si="10"/>
        <v>1.0499717599146616</v>
      </c>
      <c r="AN87" s="52">
        <f t="shared" si="35"/>
        <v>2624.9293997866539</v>
      </c>
      <c r="AO87" s="52">
        <f t="shared" si="36"/>
        <v>82.939003832531398</v>
      </c>
      <c r="AP87" s="52">
        <f t="shared" si="37"/>
        <v>442.04687612479944</v>
      </c>
      <c r="AR87" s="10">
        <v>39.082003851070617</v>
      </c>
      <c r="AS87" s="10">
        <v>188.94014794056511</v>
      </c>
      <c r="AT87" s="52">
        <f t="shared" si="26"/>
        <v>228.02215179163574</v>
      </c>
      <c r="AV87" s="52">
        <f t="shared" ca="1" si="38"/>
        <v>55.403859736976493</v>
      </c>
      <c r="AW87" s="52">
        <f t="shared" ca="1" si="39"/>
        <v>55.403859736976493</v>
      </c>
      <c r="AY87" s="10"/>
      <c r="AZ87" s="10"/>
      <c r="BA87" s="10"/>
      <c r="BB87" s="10"/>
      <c r="BC87" s="10"/>
      <c r="BD87" s="10"/>
      <c r="BE87" s="10"/>
      <c r="BF87" s="10"/>
      <c r="BG87" s="439"/>
      <c r="BH87" s="59"/>
      <c r="BI87" s="10"/>
      <c r="BJ87" s="10"/>
      <c r="BK87" s="10"/>
      <c r="BL87" s="10"/>
    </row>
    <row r="88" spans="1:64" ht="9.9499999999999993" customHeight="1" x14ac:dyDescent="0.15">
      <c r="A88" s="2"/>
      <c r="R88" s="57">
        <v>42597</v>
      </c>
      <c r="S88" s="227">
        <f t="shared" si="11"/>
        <v>66.658469701450215</v>
      </c>
      <c r="T88" s="52">
        <f t="shared" si="12"/>
        <v>324.4308506978918</v>
      </c>
      <c r="U88" s="52">
        <f t="shared" si="13"/>
        <v>391.08932039934206</v>
      </c>
      <c r="V88" s="227">
        <f t="shared" si="14"/>
        <v>12.412266771994167</v>
      </c>
      <c r="W88" s="227">
        <f t="shared" si="15"/>
        <v>60.411261854090156</v>
      </c>
      <c r="X88" s="227">
        <f t="shared" si="16"/>
        <v>72.823528626084325</v>
      </c>
      <c r="Y88" s="227">
        <f t="shared" si="17"/>
        <v>22.985679207396608</v>
      </c>
      <c r="Z88" s="227">
        <f t="shared" si="18"/>
        <v>111.872707137204</v>
      </c>
      <c r="AA88" s="445">
        <f t="shared" si="19"/>
        <v>134.85838634460063</v>
      </c>
      <c r="AB88" s="444">
        <f t="shared" si="28"/>
        <v>1889.3610358129881</v>
      </c>
      <c r="AC88" s="437">
        <f t="shared" si="29"/>
        <v>94.468051790649412</v>
      </c>
      <c r="AD88" s="52">
        <f t="shared" si="20"/>
        <v>36.945446174254926</v>
      </c>
      <c r="AE88" s="52">
        <f t="shared" si="30"/>
        <v>188.93610358129882</v>
      </c>
      <c r="AF88" s="227">
        <f t="shared" si="21"/>
        <v>13.758993747653548</v>
      </c>
      <c r="AG88" s="52">
        <f t="shared" si="31"/>
        <v>56.680831074389644</v>
      </c>
      <c r="AH88" s="227">
        <f t="shared" si="22"/>
        <v>7.6438854153630835</v>
      </c>
      <c r="AI88" s="61">
        <f t="shared" si="25"/>
        <v>58.348325337271561</v>
      </c>
      <c r="AJ88" s="228">
        <f t="shared" si="32"/>
        <v>3.7782970551421681E-75</v>
      </c>
      <c r="AK88" s="229">
        <f t="shared" si="33"/>
        <v>0.16121229532530362</v>
      </c>
      <c r="AL88" s="229">
        <f t="shared" si="34"/>
        <v>0.88236577295884966</v>
      </c>
      <c r="AM88" s="229">
        <f t="shared" si="10"/>
        <v>1.0435780682841533</v>
      </c>
      <c r="AN88" s="52">
        <f t="shared" si="35"/>
        <v>2608.9451707103831</v>
      </c>
      <c r="AO88" s="52">
        <f t="shared" si="36"/>
        <v>80.606147662651807</v>
      </c>
      <c r="AP88" s="52">
        <f t="shared" si="37"/>
        <v>441.18288647942484</v>
      </c>
      <c r="AR88" s="10">
        <v>33.421513442205473</v>
      </c>
      <c r="AS88" s="10">
        <v>162.6645508999714</v>
      </c>
      <c r="AT88" s="52">
        <f t="shared" si="26"/>
        <v>196.08606434217688</v>
      </c>
      <c r="AV88" s="52">
        <f t="shared" ca="1" si="38"/>
        <v>48.609365921873085</v>
      </c>
      <c r="AW88" s="52">
        <f t="shared" ca="1" si="39"/>
        <v>48.609365921873085</v>
      </c>
      <c r="AY88" s="10"/>
      <c r="AZ88" s="10"/>
      <c r="BA88" s="10"/>
      <c r="BB88" s="10"/>
      <c r="BC88" s="10"/>
      <c r="BD88" s="10"/>
      <c r="BE88" s="10"/>
      <c r="BF88" s="10"/>
      <c r="BG88" s="439"/>
      <c r="BH88" s="59"/>
      <c r="BI88" s="10"/>
      <c r="BJ88" s="10"/>
      <c r="BK88" s="10"/>
      <c r="BL88" s="10"/>
    </row>
    <row r="89" spans="1:64" ht="9.9499999999999993" customHeight="1" x14ac:dyDescent="0.15">
      <c r="A89" s="2"/>
      <c r="R89" s="57">
        <v>42628</v>
      </c>
      <c r="S89" s="227">
        <f t="shared" si="11"/>
        <v>61.291326491158962</v>
      </c>
      <c r="T89" s="52">
        <f t="shared" si="12"/>
        <v>300.17041213668847</v>
      </c>
      <c r="U89" s="52">
        <f t="shared" si="13"/>
        <v>361.46173862784741</v>
      </c>
      <c r="V89" s="227">
        <f t="shared" si="14"/>
        <v>11.412867691457176</v>
      </c>
      <c r="W89" s="227">
        <f t="shared" si="15"/>
        <v>55.893800880624696</v>
      </c>
      <c r="X89" s="227">
        <f t="shared" si="16"/>
        <v>67.306668572081875</v>
      </c>
      <c r="Y89" s="227">
        <f t="shared" si="17"/>
        <v>21.134940169365148</v>
      </c>
      <c r="Z89" s="227">
        <f t="shared" si="18"/>
        <v>103.50703866782354</v>
      </c>
      <c r="AA89" s="445">
        <f t="shared" si="19"/>
        <v>124.64197883718869</v>
      </c>
      <c r="AB89" s="444">
        <f t="shared" si="28"/>
        <v>1751.9000360105438</v>
      </c>
      <c r="AC89" s="437">
        <f t="shared" si="29"/>
        <v>87.5950018005272</v>
      </c>
      <c r="AD89" s="52">
        <f t="shared" si="20"/>
        <v>31.662241645927985</v>
      </c>
      <c r="AE89" s="52">
        <f t="shared" si="30"/>
        <v>175.1900036010544</v>
      </c>
      <c r="AF89" s="227">
        <f t="shared" si="21"/>
        <v>11.791455509517998</v>
      </c>
      <c r="AG89" s="52">
        <f t="shared" si="31"/>
        <v>52.557001080316311</v>
      </c>
      <c r="AH89" s="227">
        <f t="shared" si="22"/>
        <v>6.5508086163988883</v>
      </c>
      <c r="AI89" s="61">
        <f t="shared" si="25"/>
        <v>50.004505771844869</v>
      </c>
      <c r="AJ89" s="228">
        <f t="shared" si="32"/>
        <v>2.5933130140215856E-76</v>
      </c>
      <c r="AK89" s="229">
        <f t="shared" si="33"/>
        <v>0.15667781720968191</v>
      </c>
      <c r="AL89" s="229">
        <f t="shared" si="34"/>
        <v>0.88064117103890704</v>
      </c>
      <c r="AM89" s="229">
        <f t="shared" si="10"/>
        <v>1.0373189882485889</v>
      </c>
      <c r="AN89" s="52">
        <f t="shared" si="35"/>
        <v>2593.2974706214727</v>
      </c>
      <c r="AO89" s="52">
        <f t="shared" si="36"/>
        <v>78.338908604840952</v>
      </c>
      <c r="AP89" s="52">
        <f t="shared" si="37"/>
        <v>440.32058551945352</v>
      </c>
      <c r="AQ89" s="474">
        <f>AO89/500</f>
        <v>0.15667781720968191</v>
      </c>
      <c r="AR89" s="10">
        <v>30.730511837272314</v>
      </c>
      <c r="AS89" s="10">
        <v>150.50074670346703</v>
      </c>
      <c r="AT89" s="52">
        <f t="shared" si="26"/>
        <v>181.23125854073933</v>
      </c>
      <c r="AV89" s="52">
        <f t="shared" ca="1" si="38"/>
        <v>41.909580629939569</v>
      </c>
      <c r="AW89" s="52">
        <f t="shared" ca="1" si="39"/>
        <v>41.909580629939569</v>
      </c>
      <c r="AY89" s="10"/>
      <c r="AZ89" s="10"/>
      <c r="BA89" s="10"/>
      <c r="BB89" s="10"/>
      <c r="BC89" s="10"/>
      <c r="BD89" s="10"/>
      <c r="BE89" s="10"/>
      <c r="BF89" s="10"/>
      <c r="BG89" s="439"/>
      <c r="BH89" s="59"/>
      <c r="BI89" s="10"/>
      <c r="BJ89" s="10"/>
      <c r="BK89" s="10"/>
      <c r="BL89" s="10"/>
    </row>
    <row r="90" spans="1:64" ht="9.9499999999999993" customHeight="1" x14ac:dyDescent="0.15">
      <c r="A90" s="2"/>
      <c r="R90" s="57">
        <v>42658</v>
      </c>
      <c r="S90" s="227">
        <f t="shared" si="11"/>
        <v>55.921942057316329</v>
      </c>
      <c r="T90" s="52">
        <f t="shared" si="12"/>
        <v>275.32670454585752</v>
      </c>
      <c r="U90" s="52">
        <f t="shared" si="13"/>
        <v>331.24864660317382</v>
      </c>
      <c r="V90" s="227">
        <f t="shared" si="14"/>
        <v>10.413051279638204</v>
      </c>
      <c r="W90" s="227">
        <f t="shared" si="15"/>
        <v>51.267731191297564</v>
      </c>
      <c r="X90" s="227">
        <f t="shared" si="16"/>
        <v>61.680782470935767</v>
      </c>
      <c r="Y90" s="227">
        <f t="shared" si="17"/>
        <v>19.283428295626308</v>
      </c>
      <c r="Z90" s="227">
        <f t="shared" si="18"/>
        <v>94.940242946847363</v>
      </c>
      <c r="AA90" s="445">
        <f t="shared" si="19"/>
        <v>114.22367124247366</v>
      </c>
      <c r="AB90" s="444">
        <f t="shared" si="28"/>
        <v>1802.5942354965698</v>
      </c>
      <c r="AC90" s="437">
        <f t="shared" si="29"/>
        <v>90.129711774828493</v>
      </c>
      <c r="AD90" s="52">
        <f t="shared" si="20"/>
        <v>29.855345044146077</v>
      </c>
      <c r="AE90" s="52">
        <f t="shared" si="30"/>
        <v>180.25942354965699</v>
      </c>
      <c r="AF90" s="227">
        <f t="shared" si="21"/>
        <v>11.118542292302669</v>
      </c>
      <c r="AG90" s="52">
        <f t="shared" si="31"/>
        <v>54.077827064897093</v>
      </c>
      <c r="AH90" s="227">
        <f t="shared" si="22"/>
        <v>6.1769679401681499</v>
      </c>
      <c r="AI90" s="61">
        <f t="shared" si="25"/>
        <v>47.150855276616895</v>
      </c>
      <c r="AJ90" s="228">
        <f t="shared" si="32"/>
        <v>1.940636248497582E-77</v>
      </c>
      <c r="AK90" s="229">
        <f t="shared" si="33"/>
        <v>0.15241108745639148</v>
      </c>
      <c r="AL90" s="229">
        <f t="shared" si="34"/>
        <v>0.8789754109281378</v>
      </c>
      <c r="AM90" s="229">
        <f t="shared" si="10"/>
        <v>1.0313864983845293</v>
      </c>
      <c r="AN90" s="52">
        <f t="shared" si="35"/>
        <v>2578.4662459613228</v>
      </c>
      <c r="AO90" s="52">
        <f t="shared" si="36"/>
        <v>76.205543728195735</v>
      </c>
      <c r="AP90" s="52">
        <f t="shared" si="37"/>
        <v>439.48770546406888</v>
      </c>
      <c r="AR90" s="10">
        <v>28.038386517927691</v>
      </c>
      <c r="AS90" s="10">
        <v>138.04450054420192</v>
      </c>
      <c r="AT90" s="52">
        <f t="shared" si="26"/>
        <v>166.0828870621296</v>
      </c>
      <c r="AV90" s="52">
        <f t="shared" ca="1" si="38"/>
        <v>39.745195417767974</v>
      </c>
      <c r="AW90" s="52">
        <f t="shared" ca="1" si="39"/>
        <v>39.745195417767974</v>
      </c>
      <c r="AY90" s="10"/>
      <c r="AZ90" s="10"/>
      <c r="BA90" s="10"/>
      <c r="BB90" s="10"/>
      <c r="BC90" s="10"/>
      <c r="BD90" s="10"/>
      <c r="BE90" s="10"/>
      <c r="BF90" s="10"/>
      <c r="BG90" s="439"/>
      <c r="BH90" s="59"/>
      <c r="BI90" s="10"/>
      <c r="BJ90" s="10"/>
      <c r="BK90" s="10"/>
      <c r="BL90" s="10"/>
    </row>
    <row r="91" spans="1:64" ht="9.9499999999999993" customHeight="1" x14ac:dyDescent="0.15">
      <c r="A91" s="2"/>
      <c r="R91" s="57">
        <v>42689</v>
      </c>
      <c r="S91" s="227">
        <f t="shared" si="11"/>
        <v>46.218006295847474</v>
      </c>
      <c r="T91" s="52">
        <f t="shared" si="12"/>
        <v>228.68933631382268</v>
      </c>
      <c r="U91" s="52">
        <f t="shared" si="13"/>
        <v>274.90734260967014</v>
      </c>
      <c r="V91" s="227">
        <f t="shared" si="14"/>
        <v>8.6061115171577978</v>
      </c>
      <c r="W91" s="227">
        <f t="shared" si="15"/>
        <v>42.583531589470397</v>
      </c>
      <c r="X91" s="227">
        <f t="shared" si="16"/>
        <v>51.189643106628196</v>
      </c>
      <c r="Y91" s="227">
        <f t="shared" si="17"/>
        <v>15.937243550292219</v>
      </c>
      <c r="Z91" s="227">
        <f t="shared" si="18"/>
        <v>78.858391832352595</v>
      </c>
      <c r="AA91" s="445">
        <f t="shared" si="19"/>
        <v>94.795635382644818</v>
      </c>
      <c r="AB91" s="444">
        <f t="shared" si="28"/>
        <v>1630.551837133821</v>
      </c>
      <c r="AC91" s="437">
        <f t="shared" si="29"/>
        <v>81.52759185669106</v>
      </c>
      <c r="AD91" s="52">
        <f t="shared" si="20"/>
        <v>22.412533626688724</v>
      </c>
      <c r="AE91" s="52">
        <f t="shared" si="30"/>
        <v>163.05518371338212</v>
      </c>
      <c r="AF91" s="227">
        <f t="shared" si="21"/>
        <v>8.3467366609737255</v>
      </c>
      <c r="AG91" s="52">
        <f t="shared" si="31"/>
        <v>48.916555114014628</v>
      </c>
      <c r="AH91" s="227">
        <f t="shared" si="22"/>
        <v>4.6370759227631808</v>
      </c>
      <c r="AI91" s="61">
        <f t="shared" si="25"/>
        <v>35.396346210425634</v>
      </c>
      <c r="AJ91" s="228">
        <f t="shared" si="32"/>
        <v>1.3319961785062935E-78</v>
      </c>
      <c r="AK91" s="229">
        <f t="shared" si="33"/>
        <v>0.14812416418385471</v>
      </c>
      <c r="AL91" s="229">
        <f t="shared" si="34"/>
        <v>0.8772574355400109</v>
      </c>
      <c r="AM91" s="229">
        <f t="shared" si="10"/>
        <v>1.0253815997238656</v>
      </c>
      <c r="AN91" s="52">
        <f t="shared" si="35"/>
        <v>2563.4539993096641</v>
      </c>
      <c r="AO91" s="52">
        <f t="shared" si="36"/>
        <v>74.062082091927351</v>
      </c>
      <c r="AP91" s="52">
        <f t="shared" si="37"/>
        <v>438.62871777000544</v>
      </c>
      <c r="AR91" s="10">
        <v>23.172985002609465</v>
      </c>
      <c r="AS91" s="10">
        <v>114.66125403018648</v>
      </c>
      <c r="AT91" s="52">
        <f t="shared" si="26"/>
        <v>137.83423903279595</v>
      </c>
      <c r="AV91" s="52">
        <f t="shared" ca="1" si="38"/>
        <v>30.011618561778707</v>
      </c>
      <c r="AW91" s="52">
        <f t="shared" ca="1" si="39"/>
        <v>30.011618561778707</v>
      </c>
      <c r="AY91" s="10"/>
      <c r="AZ91" s="10"/>
      <c r="BA91" s="10"/>
      <c r="BB91" s="10"/>
      <c r="BC91" s="10"/>
      <c r="BD91" s="10"/>
      <c r="BE91" s="10"/>
      <c r="BF91" s="10"/>
      <c r="BG91" s="439"/>
      <c r="BH91" s="59"/>
      <c r="BI91" s="10"/>
      <c r="BJ91" s="10"/>
      <c r="BK91" s="10"/>
      <c r="BL91" s="10"/>
    </row>
    <row r="92" spans="1:64" ht="9.9499999999999993" customHeight="1" x14ac:dyDescent="0.15">
      <c r="A92" s="2"/>
      <c r="R92" s="57">
        <v>42719</v>
      </c>
      <c r="S92" s="227">
        <f t="shared" si="11"/>
        <v>33.83820348049607</v>
      </c>
      <c r="T92" s="52">
        <f t="shared" si="12"/>
        <v>168.12901429616312</v>
      </c>
      <c r="U92" s="52">
        <f t="shared" si="13"/>
        <v>201.9672177766592</v>
      </c>
      <c r="V92" s="227">
        <f t="shared" si="14"/>
        <v>6.3009068549889191</v>
      </c>
      <c r="W92" s="227">
        <f t="shared" si="15"/>
        <v>31.306781972388972</v>
      </c>
      <c r="X92" s="227">
        <f t="shared" si="16"/>
        <v>37.607688827377892</v>
      </c>
      <c r="Y92" s="227">
        <f t="shared" si="17"/>
        <v>11.668346027757259</v>
      </c>
      <c r="Z92" s="227">
        <f t="shared" si="18"/>
        <v>57.975522171090695</v>
      </c>
      <c r="AA92" s="445">
        <f t="shared" si="19"/>
        <v>69.643868198847954</v>
      </c>
      <c r="AB92" s="444">
        <f t="shared" si="28"/>
        <v>1636.5025185730603</v>
      </c>
      <c r="AC92" s="437">
        <f t="shared" si="29"/>
        <v>81.825125928653023</v>
      </c>
      <c r="AD92" s="52">
        <f t="shared" si="20"/>
        <v>16.525993028034826</v>
      </c>
      <c r="AE92" s="52">
        <f t="shared" si="30"/>
        <v>163.65025185730605</v>
      </c>
      <c r="AF92" s="227">
        <f t="shared" si="21"/>
        <v>6.1545077483715867</v>
      </c>
      <c r="AG92" s="52">
        <f t="shared" si="31"/>
        <v>49.095075557191805</v>
      </c>
      <c r="AH92" s="227">
        <f t="shared" si="22"/>
        <v>3.419170971317548</v>
      </c>
      <c r="AI92" s="61">
        <f t="shared" si="25"/>
        <v>26.09967174772396</v>
      </c>
      <c r="AJ92" s="228">
        <f t="shared" si="32"/>
        <v>9.9676361969931463E-80</v>
      </c>
      <c r="AK92" s="229">
        <f t="shared" si="33"/>
        <v>0.14409037184643203</v>
      </c>
      <c r="AL92" s="229">
        <f t="shared" si="34"/>
        <v>0.8755980758699714</v>
      </c>
      <c r="AM92" s="229">
        <f t="shared" si="10"/>
        <v>1.0196884477164034</v>
      </c>
      <c r="AN92" s="52">
        <f t="shared" si="35"/>
        <v>2549.2211192910086</v>
      </c>
      <c r="AO92" s="52">
        <f t="shared" si="36"/>
        <v>72.04518592321601</v>
      </c>
      <c r="AP92" s="52">
        <f t="shared" si="37"/>
        <v>437.79903793498568</v>
      </c>
      <c r="AR92" s="10">
        <v>16.965945626244689</v>
      </c>
      <c r="AS92" s="10">
        <v>84.297256395037266</v>
      </c>
      <c r="AT92" s="52">
        <f t="shared" si="26"/>
        <v>101.26320202128196</v>
      </c>
      <c r="AV92" s="52">
        <f t="shared" ca="1" si="38"/>
        <v>22.252768496745045</v>
      </c>
      <c r="AW92" s="52">
        <f t="shared" ca="1" si="39"/>
        <v>22.252768496745045</v>
      </c>
      <c r="AY92" s="10"/>
      <c r="AZ92" s="10"/>
      <c r="BA92" s="10"/>
      <c r="BB92" s="10"/>
      <c r="BC92" s="10"/>
      <c r="BD92" s="10"/>
      <c r="BE92" s="10"/>
      <c r="BF92" s="10"/>
      <c r="BG92" s="439"/>
      <c r="BH92" s="59"/>
      <c r="BI92" s="10"/>
      <c r="BJ92" s="10"/>
      <c r="BK92" s="10"/>
      <c r="BL92" s="10"/>
    </row>
    <row r="93" spans="1:64" ht="9.9499999999999993" customHeight="1" x14ac:dyDescent="0.15">
      <c r="A93" s="2"/>
      <c r="R93" s="57">
        <v>42750</v>
      </c>
      <c r="S93" s="227">
        <f t="shared" si="11"/>
        <v>30.325614868536796</v>
      </c>
      <c r="T93" s="52">
        <f t="shared" si="12"/>
        <v>151.2844911293185</v>
      </c>
      <c r="U93" s="52">
        <f t="shared" si="13"/>
        <v>181.61010599785527</v>
      </c>
      <c r="V93" s="227">
        <f t="shared" si="14"/>
        <v>5.6468386306930549</v>
      </c>
      <c r="W93" s="227">
        <f t="shared" si="15"/>
        <v>28.170215589597223</v>
      </c>
      <c r="X93" s="227">
        <f t="shared" si="16"/>
        <v>33.817054220290274</v>
      </c>
      <c r="Y93" s="227">
        <f t="shared" si="17"/>
        <v>10.457108575357509</v>
      </c>
      <c r="Z93" s="227">
        <f t="shared" si="18"/>
        <v>52.167065906661527</v>
      </c>
      <c r="AA93" s="445">
        <f t="shared" si="19"/>
        <v>62.624174482019029</v>
      </c>
      <c r="AB93" s="444">
        <f t="shared" si="28"/>
        <v>1499.4479943530075</v>
      </c>
      <c r="AC93" s="437">
        <f t="shared" si="29"/>
        <v>74.972399717650376</v>
      </c>
      <c r="AD93" s="52">
        <f t="shared" si="20"/>
        <v>13.615745459636058</v>
      </c>
      <c r="AE93" s="52">
        <f t="shared" si="30"/>
        <v>149.94479943530075</v>
      </c>
      <c r="AF93" s="227">
        <f t="shared" si="21"/>
        <v>5.0706914125541163</v>
      </c>
      <c r="AG93" s="52">
        <f t="shared" si="31"/>
        <v>44.983439830590221</v>
      </c>
      <c r="AH93" s="227">
        <f t="shared" si="22"/>
        <v>2.8170507847522868</v>
      </c>
      <c r="AI93" s="61">
        <f t="shared" si="25"/>
        <v>21.503487656942461</v>
      </c>
      <c r="AJ93" s="228">
        <f t="shared" si="32"/>
        <v>6.8414950681329591E-81</v>
      </c>
      <c r="AK93" s="229">
        <f t="shared" si="33"/>
        <v>0.1400374884327257</v>
      </c>
      <c r="AL93" s="229">
        <f t="shared" si="34"/>
        <v>0.87388670155217618</v>
      </c>
      <c r="AM93" s="229">
        <f t="shared" si="10"/>
        <v>1.0139241899849019</v>
      </c>
      <c r="AN93" s="52">
        <f t="shared" si="35"/>
        <v>2534.8104749622548</v>
      </c>
      <c r="AO93" s="52">
        <f t="shared" si="36"/>
        <v>70.018744216362848</v>
      </c>
      <c r="AP93" s="52">
        <f t="shared" si="37"/>
        <v>436.9433507760881</v>
      </c>
      <c r="AR93" s="10">
        <v>15.204788671437178</v>
      </c>
      <c r="AS93" s="10">
        <v>75.851676111396415</v>
      </c>
      <c r="AT93" s="52">
        <f t="shared" si="26"/>
        <v>91.056464782833586</v>
      </c>
      <c r="AV93" s="52">
        <f t="shared" ca="1" si="38"/>
        <v>18.438259508182675</v>
      </c>
      <c r="AW93" s="52">
        <f t="shared" ca="1" si="39"/>
        <v>18.438259508182675</v>
      </c>
      <c r="AY93" s="10"/>
      <c r="AZ93" s="10"/>
      <c r="BA93" s="10"/>
      <c r="BB93" s="10"/>
      <c r="BC93" s="10"/>
      <c r="BD93" s="10"/>
      <c r="BE93" s="10"/>
      <c r="BF93" s="10"/>
      <c r="BG93" s="439"/>
      <c r="BH93" s="59"/>
      <c r="BI93" s="10"/>
      <c r="BJ93" s="10"/>
      <c r="BK93" s="10"/>
      <c r="BL93" s="10"/>
    </row>
    <row r="94" spans="1:64" ht="9.9499999999999993" customHeight="1" x14ac:dyDescent="0.15">
      <c r="A94" s="2"/>
      <c r="R94" s="57">
        <v>42781</v>
      </c>
      <c r="S94" s="227">
        <f t="shared" si="11"/>
        <v>27.497389151420442</v>
      </c>
      <c r="T94" s="52">
        <f t="shared" si="12"/>
        <v>137.6592726579363</v>
      </c>
      <c r="U94" s="52">
        <f t="shared" si="13"/>
        <v>165.15666180935673</v>
      </c>
      <c r="V94" s="227">
        <f t="shared" si="14"/>
        <v>5.1202034971610457</v>
      </c>
      <c r="W94" s="227">
        <f t="shared" si="15"/>
        <v>25.633105943201919</v>
      </c>
      <c r="X94" s="227">
        <f t="shared" si="16"/>
        <v>30.753309440362969</v>
      </c>
      <c r="Y94" s="227">
        <f t="shared" si="17"/>
        <v>9.4818583280760116</v>
      </c>
      <c r="Z94" s="227">
        <f t="shared" si="18"/>
        <v>47.468714709633183</v>
      </c>
      <c r="AA94" s="445">
        <f t="shared" si="19"/>
        <v>56.950573037709198</v>
      </c>
      <c r="AB94" s="444">
        <f t="shared" si="28"/>
        <v>1283.0469761203042</v>
      </c>
      <c r="AC94" s="437">
        <f t="shared" si="29"/>
        <v>64.152348806015212</v>
      </c>
      <c r="AD94" s="52">
        <f t="shared" si="20"/>
        <v>10.595187776030945</v>
      </c>
      <c r="AE94" s="52">
        <f t="shared" si="30"/>
        <v>128.30469761203042</v>
      </c>
      <c r="AF94" s="227">
        <f t="shared" si="21"/>
        <v>3.9457940683149713</v>
      </c>
      <c r="AG94" s="52">
        <f t="shared" si="31"/>
        <v>38.491409283609123</v>
      </c>
      <c r="AH94" s="227">
        <f t="shared" si="22"/>
        <v>2.1921078157305391</v>
      </c>
      <c r="AI94" s="61">
        <f t="shared" si="25"/>
        <v>16.733089660076455</v>
      </c>
      <c r="AJ94" s="228">
        <f t="shared" si="32"/>
        <v>4.6958028806673868E-82</v>
      </c>
      <c r="AK94" s="229">
        <f t="shared" si="33"/>
        <v>0.13609860197630813</v>
      </c>
      <c r="AL94" s="229">
        <f t="shared" si="34"/>
        <v>0.87217867215042888</v>
      </c>
      <c r="AM94" s="229">
        <f t="shared" si="10"/>
        <v>1.008277274126737</v>
      </c>
      <c r="AN94" s="52">
        <f t="shared" si="35"/>
        <v>2520.6931853168421</v>
      </c>
      <c r="AO94" s="52">
        <f t="shared" si="36"/>
        <v>68.049300988154059</v>
      </c>
      <c r="AP94" s="52">
        <f t="shared" si="37"/>
        <v>436.08933607521442</v>
      </c>
      <c r="AR94" s="10">
        <v>13.786760561197816</v>
      </c>
      <c r="AS94" s="10">
        <v>69.020204816993456</v>
      </c>
      <c r="AT94" s="52">
        <f t="shared" si="26"/>
        <v>82.806965378191279</v>
      </c>
      <c r="AV94" s="52">
        <f t="shared" ca="1" si="38"/>
        <v>14.428216923076278</v>
      </c>
      <c r="AW94" s="52">
        <f t="shared" ca="1" si="39"/>
        <v>14.428216923076278</v>
      </c>
      <c r="AY94" s="10"/>
      <c r="AZ94" s="10"/>
      <c r="BA94" s="10"/>
      <c r="BB94" s="10"/>
      <c r="BC94" s="10"/>
      <c r="BD94" s="10"/>
      <c r="BE94" s="10"/>
      <c r="BF94" s="10"/>
      <c r="BG94" s="439"/>
      <c r="BH94" s="59"/>
      <c r="BI94" s="10"/>
      <c r="BJ94" s="10"/>
      <c r="BK94" s="10"/>
      <c r="BL94" s="10"/>
    </row>
    <row r="95" spans="1:64" ht="9" customHeight="1" x14ac:dyDescent="0.15">
      <c r="A95" s="2"/>
      <c r="R95" s="57">
        <v>42809</v>
      </c>
      <c r="S95" s="227">
        <f t="shared" si="11"/>
        <v>23.973358517577946</v>
      </c>
      <c r="T95" s="52">
        <f t="shared" si="12"/>
        <v>120.3489270397654</v>
      </c>
      <c r="U95" s="52">
        <f>AT95*U96/AT96</f>
        <v>144.32228555734335</v>
      </c>
      <c r="V95" s="227">
        <f t="shared" si="14"/>
        <v>4.4640046894800305</v>
      </c>
      <c r="W95" s="227">
        <f t="shared" si="15"/>
        <v>22.409800207404587</v>
      </c>
      <c r="X95" s="227">
        <f>AT95*X96/AT96</f>
        <v>26.873804896884618</v>
      </c>
      <c r="Y95" s="227">
        <f t="shared" si="17"/>
        <v>8.2666753508889457</v>
      </c>
      <c r="Z95" s="227">
        <f t="shared" si="18"/>
        <v>41.499630013712199</v>
      </c>
      <c r="AA95" s="445">
        <f>AT95*AA96/AT96</f>
        <v>49.766305364601145</v>
      </c>
      <c r="AB95" s="444">
        <f t="shared" si="28"/>
        <v>1555.4802507291959</v>
      </c>
      <c r="AC95" s="437">
        <f t="shared" si="29"/>
        <v>77.774012536459793</v>
      </c>
      <c r="AD95" s="52">
        <f t="shared" si="20"/>
        <v>11.224523246227353</v>
      </c>
      <c r="AE95" s="52">
        <f t="shared" si="30"/>
        <v>155.54802507291959</v>
      </c>
      <c r="AF95" s="227">
        <f t="shared" si="21"/>
        <v>4.1801672779053582</v>
      </c>
      <c r="AG95" s="52">
        <f t="shared" si="31"/>
        <v>46.664407521875873</v>
      </c>
      <c r="AH95" s="227">
        <f t="shared" si="22"/>
        <v>2.3223151543918652</v>
      </c>
      <c r="AI95" s="61">
        <f t="shared" si="25"/>
        <v>17.727005678524577</v>
      </c>
      <c r="AJ95" s="228">
        <f t="shared" si="32"/>
        <v>4.1769548188013801E-83</v>
      </c>
      <c r="AK95" s="229">
        <f t="shared" si="33"/>
        <v>0.13263621197460204</v>
      </c>
      <c r="AL95" s="229">
        <f t="shared" si="34"/>
        <v>0.87063880550500161</v>
      </c>
      <c r="AM95" s="229">
        <f t="shared" si="10"/>
        <v>1.0032750174796037</v>
      </c>
      <c r="AN95" s="52">
        <f t="shared" si="35"/>
        <v>2508.187543699009</v>
      </c>
      <c r="AO95" s="52">
        <f t="shared" si="36"/>
        <v>66.318105987301024</v>
      </c>
      <c r="AP95" s="52">
        <f t="shared" si="37"/>
        <v>435.31940275250082</v>
      </c>
      <c r="AQ95" s="473">
        <f>AO95/500</f>
        <v>0.13263621197460204</v>
      </c>
      <c r="AR95" s="10">
        <v>12.019866755696182</v>
      </c>
      <c r="AS95" s="10">
        <v>60.341068446805622</v>
      </c>
      <c r="AT95" s="52">
        <f t="shared" si="26"/>
        <v>72.360935202501807</v>
      </c>
      <c r="AV95" s="52">
        <f t="shared" ca="1" si="38"/>
        <v>15.361438604098886</v>
      </c>
      <c r="AW95" s="52">
        <f t="shared" ca="1" si="39"/>
        <v>15.361438604098886</v>
      </c>
      <c r="AY95" s="10"/>
      <c r="AZ95" s="10"/>
      <c r="BA95" s="10"/>
      <c r="BB95" s="10"/>
      <c r="BC95" s="10"/>
      <c r="BD95" s="10"/>
      <c r="BE95" s="10"/>
      <c r="BF95" s="10"/>
      <c r="BG95" s="439"/>
      <c r="BH95" s="59"/>
      <c r="BI95" s="10"/>
      <c r="BJ95" s="10"/>
      <c r="BK95" s="10"/>
      <c r="BL95" s="10"/>
    </row>
    <row r="96" spans="1:64" ht="9.9499999999999993" customHeight="1" x14ac:dyDescent="0.15">
      <c r="A96" s="2"/>
      <c r="R96" s="57">
        <v>42840</v>
      </c>
      <c r="S96" s="227">
        <f t="shared" si="11"/>
        <v>43.265636515232146</v>
      </c>
      <c r="T96" s="227">
        <f t="shared" si="12"/>
        <v>217.73436348476784</v>
      </c>
      <c r="U96" s="460">
        <v>261</v>
      </c>
      <c r="V96" s="227">
        <f t="shared" si="14"/>
        <v>8.0563599028363324</v>
      </c>
      <c r="W96" s="227">
        <f t="shared" si="15"/>
        <v>40.543640097163667</v>
      </c>
      <c r="X96" s="460">
        <v>48.6</v>
      </c>
      <c r="Y96" s="227">
        <f t="shared" si="17"/>
        <v>14.919185005252466</v>
      </c>
      <c r="Z96" s="227">
        <f t="shared" si="18"/>
        <v>75.080814994747527</v>
      </c>
      <c r="AA96" s="461">
        <v>90</v>
      </c>
      <c r="AB96" s="444">
        <f t="shared" si="28"/>
        <v>1532.4251241131894</v>
      </c>
      <c r="AC96" s="437">
        <f t="shared" si="29"/>
        <v>76.621256205659478</v>
      </c>
      <c r="AD96" s="52">
        <f t="shared" si="20"/>
        <v>19.998147869677123</v>
      </c>
      <c r="AE96" s="52">
        <f t="shared" si="30"/>
        <v>153.24251241131896</v>
      </c>
      <c r="AF96" s="227">
        <f t="shared" si="21"/>
        <v>7.4475861031901012</v>
      </c>
      <c r="AG96" s="52">
        <f t="shared" si="31"/>
        <v>45.972753723395684</v>
      </c>
      <c r="AH96" s="227">
        <f t="shared" si="22"/>
        <v>4.1375478351056119</v>
      </c>
      <c r="AI96" s="61">
        <f t="shared" si="25"/>
        <v>31.583281807972835</v>
      </c>
      <c r="AJ96" s="228">
        <f t="shared" si="32"/>
        <v>2.8669400876874204E-84</v>
      </c>
      <c r="AK96" s="229">
        <f t="shared" si="33"/>
        <v>0.12890550397045017</v>
      </c>
      <c r="AL96" s="229">
        <f t="shared" si="34"/>
        <v>0.86893712418239621</v>
      </c>
      <c r="AM96" s="229">
        <f t="shared" si="10"/>
        <v>0.99784262815284641</v>
      </c>
      <c r="AN96" s="52">
        <f t="shared" si="35"/>
        <v>2494.6065703821159</v>
      </c>
      <c r="AO96" s="52">
        <f t="shared" si="36"/>
        <v>64.452751985225078</v>
      </c>
      <c r="AP96" s="52">
        <f t="shared" si="37"/>
        <v>434.46856209119812</v>
      </c>
      <c r="AR96" s="10">
        <v>21.692713001900024</v>
      </c>
      <c r="AS96" s="10">
        <v>109.16860210905661</v>
      </c>
      <c r="AT96" s="52">
        <f t="shared" si="26"/>
        <v>130.86131511095664</v>
      </c>
      <c r="AV96" s="52">
        <f t="shared" ca="1" si="38"/>
        <v>27.517673021654051</v>
      </c>
      <c r="AW96" s="52">
        <f t="shared" ca="1" si="39"/>
        <v>27.517673021654051</v>
      </c>
      <c r="AY96" s="10"/>
      <c r="AZ96" s="10"/>
      <c r="BA96" s="10"/>
      <c r="BB96" s="10"/>
      <c r="BC96" s="10"/>
      <c r="BD96" s="10"/>
      <c r="BE96" s="10"/>
      <c r="BF96" s="10"/>
      <c r="BG96" s="439"/>
      <c r="BH96" s="59"/>
      <c r="BI96" s="10"/>
      <c r="BJ96" s="10"/>
      <c r="BK96" s="10"/>
      <c r="BL96" s="10"/>
    </row>
    <row r="97" spans="1:64" ht="9.9499999999999993" customHeight="1" x14ac:dyDescent="0.15">
      <c r="A97" s="2"/>
      <c r="R97" s="57">
        <v>42870</v>
      </c>
      <c r="S97" s="227">
        <f t="shared" ref="S97:S118" si="40">U97*AR97/AT97</f>
        <v>40.046641137499208</v>
      </c>
      <c r="T97" s="227">
        <f t="shared" ref="T97:T118" si="41">U97*AS97/AT97</f>
        <v>201.95335886250078</v>
      </c>
      <c r="U97" s="460">
        <v>242</v>
      </c>
      <c r="V97" s="227">
        <f t="shared" ref="V97:V118" si="42">X97*AR97/AT97</f>
        <v>4.3025316924585919</v>
      </c>
      <c r="W97" s="227">
        <f t="shared" ref="W97:W118" si="43">X97*AS97/AT97</f>
        <v>21.697468307541406</v>
      </c>
      <c r="X97" s="460">
        <v>26</v>
      </c>
      <c r="Y97" s="227">
        <f t="shared" ref="Y97:Y118" si="44">AA97*AR97/AT97</f>
        <v>13.850842409953238</v>
      </c>
      <c r="Z97" s="227">
        <f t="shared" ref="Z97:Z118" si="45">AA97*AS97/AT97</f>
        <v>69.849157590046758</v>
      </c>
      <c r="AA97" s="461">
        <v>83.7</v>
      </c>
      <c r="AB97" s="444">
        <f t="shared" ref="AB97:AB119" si="46">IF(MONTH(R97)&lt;=3,(INDEX(月値割合表,MATCH(MONTH(R97),月,0),2)*INDEX(年度別焼却量,MATCH(YEAR(R97)-1,年度,0),2)),(INDEX(月値割合表,MATCH(MONTH(R97),月,0),2)*INDEX(年度別焼却量,MATCH(YEAR(R97),年度,0),2)))</f>
        <v>1721.8762660581244</v>
      </c>
      <c r="AC97" s="437">
        <f t="shared" ref="AC97:AC119" si="47">AB97*飛灰発生率</f>
        <v>86.093813302906227</v>
      </c>
      <c r="AD97" s="52">
        <f t="shared" si="20"/>
        <v>20.834702819303306</v>
      </c>
      <c r="AE97" s="52">
        <f t="shared" ref="AE97:AE119" si="48">AB97*主灰発生率</f>
        <v>172.18762660581245</v>
      </c>
      <c r="AF97" s="227">
        <f t="shared" si="21"/>
        <v>4.4768782917511238</v>
      </c>
      <c r="AG97" s="52">
        <f t="shared" ref="AG97:AG119" si="49">AB97*混合灰発生率</f>
        <v>51.656287981743731</v>
      </c>
      <c r="AH97" s="227">
        <f t="shared" si="22"/>
        <v>4.3236313040719505</v>
      </c>
      <c r="AI97" s="61">
        <f t="shared" si="25"/>
        <v>29.635212415126382</v>
      </c>
      <c r="AJ97" s="228">
        <f t="shared" ref="AJ97:AJ119" si="50">1*2.71828^(-0.69315/半I131*(R97-事故日)/365.25)</f>
        <v>2.14539773114732E-85</v>
      </c>
      <c r="AK97" s="229">
        <f t="shared" ref="AK97:AK119" si="51">1*2.71828^(-0.69315/半Cs134*(R97-事故日)/365.25)</f>
        <v>0.12539508393174401</v>
      </c>
      <c r="AL97" s="229">
        <f t="shared" ref="AL97:AL119" si="52">1*2.71828^(-0.69315/半Cs137*(R97-事故日)/365.25)</f>
        <v>0.86729350263955829</v>
      </c>
      <c r="AM97" s="229">
        <f t="shared" si="10"/>
        <v>0.99268858657130232</v>
      </c>
      <c r="AN97" s="52">
        <f t="shared" ref="AN97:AN119" si="53">2500*2.71828^(-0.69315/半Cs134*(R97-事故日)/365.25)+2500*2.71828^(-0.69315/半Cs137*(R97-事故日)/365.25)</f>
        <v>2481.7214664282556</v>
      </c>
      <c r="AO97" s="52">
        <f t="shared" ref="AO97:AO119" si="54">500*2.71828^(-0.69315/半Cs134*(R97-事故日)/365.25)</f>
        <v>62.697541965872006</v>
      </c>
      <c r="AP97" s="52">
        <f t="shared" ref="AP97:AP119" si="55">500*2.71828^(-0.69315/半Cs137*(R97-事故日)/365.25)</f>
        <v>433.64675131977913</v>
      </c>
      <c r="AR97" s="10">
        <v>32.500624398095582</v>
      </c>
      <c r="AS97" s="10">
        <v>163.89914549357442</v>
      </c>
      <c r="AT97" s="52">
        <f t="shared" si="26"/>
        <v>196.39976989167002</v>
      </c>
      <c r="AV97" s="52">
        <f t="shared" ca="1" si="38"/>
        <v>25.954431431836692</v>
      </c>
      <c r="AW97" s="52">
        <f t="shared" ca="1" si="39"/>
        <v>25.954431431836692</v>
      </c>
      <c r="AY97" s="10"/>
      <c r="AZ97" s="10"/>
      <c r="BA97" s="10"/>
      <c r="BB97" s="10"/>
      <c r="BC97" s="10"/>
      <c r="BD97" s="10"/>
      <c r="BE97" s="10"/>
      <c r="BF97" s="10"/>
      <c r="BG97" s="439"/>
      <c r="BH97" s="59"/>
      <c r="BI97" s="10"/>
      <c r="BJ97" s="10"/>
      <c r="BK97" s="10"/>
      <c r="BL97" s="10"/>
    </row>
    <row r="98" spans="1:64" ht="9.9499999999999993" customHeight="1" x14ac:dyDescent="0.15">
      <c r="A98" s="2"/>
      <c r="R98" s="57">
        <v>42901</v>
      </c>
      <c r="S98" s="227">
        <f t="shared" si="40"/>
        <v>34.857453572874874</v>
      </c>
      <c r="T98" s="227">
        <f t="shared" si="41"/>
        <v>176.14254642712513</v>
      </c>
      <c r="U98" s="460">
        <v>211</v>
      </c>
      <c r="V98" s="227">
        <f t="shared" si="42"/>
        <v>2.8084204300420517</v>
      </c>
      <c r="W98" s="227">
        <f t="shared" si="43"/>
        <v>14.191579569957948</v>
      </c>
      <c r="X98" s="460">
        <v>17</v>
      </c>
      <c r="Y98" s="227">
        <f t="shared" si="44"/>
        <v>11.927526767590361</v>
      </c>
      <c r="Z98" s="227">
        <f t="shared" si="45"/>
        <v>60.272473232409645</v>
      </c>
      <c r="AA98" s="461">
        <v>72.2</v>
      </c>
      <c r="AB98" s="444">
        <f t="shared" si="46"/>
        <v>1689.7637428670901</v>
      </c>
      <c r="AC98" s="437">
        <f t="shared" si="47"/>
        <v>84.488187143354509</v>
      </c>
      <c r="AD98" s="52">
        <f t="shared" ref="AD98:AD119" si="56">(AC98*U98)/10^3</f>
        <v>17.827007487247801</v>
      </c>
      <c r="AE98" s="52">
        <f t="shared" si="48"/>
        <v>168.97637428670902</v>
      </c>
      <c r="AF98" s="227">
        <f t="shared" ref="AF98:AF119" si="57">(AE98*X98)/10^3</f>
        <v>2.8725983628740535</v>
      </c>
      <c r="AG98" s="52">
        <f t="shared" si="49"/>
        <v>50.692912286012699</v>
      </c>
      <c r="AH98" s="227">
        <f t="shared" ref="AH98:AH119" si="58">(AG98*AA98)/10^3</f>
        <v>3.6600282670501167</v>
      </c>
      <c r="AI98" s="61">
        <f t="shared" si="25"/>
        <v>24.359634117171971</v>
      </c>
      <c r="AJ98" s="228">
        <f t="shared" si="50"/>
        <v>1.472538494257577E-86</v>
      </c>
      <c r="AK98" s="229">
        <f t="shared" si="51"/>
        <v>0.12186804982589187</v>
      </c>
      <c r="AL98" s="229">
        <f t="shared" si="52"/>
        <v>0.86559835977970978</v>
      </c>
      <c r="AM98" s="229">
        <f t="shared" ref="AM98:AM119" si="59">AK98+AL98</f>
        <v>0.98746640960560161</v>
      </c>
      <c r="AN98" s="52">
        <f t="shared" si="53"/>
        <v>2468.6660240140041</v>
      </c>
      <c r="AO98" s="52">
        <f t="shared" si="54"/>
        <v>60.934024912945937</v>
      </c>
      <c r="AP98" s="52">
        <f t="shared" si="55"/>
        <v>432.79917988985488</v>
      </c>
      <c r="AR98" s="10">
        <v>34.892466105455419</v>
      </c>
      <c r="AS98" s="10">
        <v>176.31947262262895</v>
      </c>
      <c r="AT98" s="52">
        <f t="shared" si="26"/>
        <v>211.21193872808436</v>
      </c>
      <c r="AV98" s="52">
        <f t="shared" ca="1" si="38"/>
        <v>21.446920071718885</v>
      </c>
      <c r="AW98" s="52">
        <f t="shared" ca="1" si="39"/>
        <v>21.446920071718885</v>
      </c>
      <c r="AY98" s="10"/>
      <c r="AZ98" s="10"/>
      <c r="BA98" s="10"/>
      <c r="BB98" s="10"/>
      <c r="BC98" s="10"/>
      <c r="BD98" s="10"/>
      <c r="BE98" s="10"/>
      <c r="BF98" s="10"/>
      <c r="BG98" s="439"/>
      <c r="BH98" s="59"/>
      <c r="BI98" s="10"/>
      <c r="BJ98" s="10"/>
      <c r="BK98" s="10"/>
      <c r="BL98" s="10"/>
    </row>
    <row r="99" spans="1:64" ht="9.9499999999999993" customHeight="1" x14ac:dyDescent="0.15">
      <c r="A99" s="2"/>
      <c r="R99" s="57">
        <v>42931</v>
      </c>
      <c r="S99" s="227">
        <f t="shared" si="40"/>
        <v>32.99528119126186</v>
      </c>
      <c r="T99" s="227">
        <f t="shared" si="41"/>
        <v>167.00471880873812</v>
      </c>
      <c r="U99" s="460">
        <v>200</v>
      </c>
      <c r="V99" s="227">
        <f t="shared" si="42"/>
        <v>8.0838438918591553</v>
      </c>
      <c r="W99" s="227">
        <f t="shared" si="43"/>
        <v>40.916156108140839</v>
      </c>
      <c r="X99" s="460">
        <v>49</v>
      </c>
      <c r="Y99" s="227">
        <f t="shared" si="44"/>
        <v>11.053419199072724</v>
      </c>
      <c r="Z99" s="227">
        <f t="shared" si="45"/>
        <v>55.946580800927272</v>
      </c>
      <c r="AA99" s="461">
        <v>67</v>
      </c>
      <c r="AB99" s="444">
        <f t="shared" si="46"/>
        <v>1797.7718273640482</v>
      </c>
      <c r="AC99" s="437">
        <f t="shared" si="47"/>
        <v>89.888591368202412</v>
      </c>
      <c r="AD99" s="52">
        <f t="shared" si="56"/>
        <v>17.977718273640484</v>
      </c>
      <c r="AE99" s="52">
        <f t="shared" si="48"/>
        <v>179.77718273640482</v>
      </c>
      <c r="AF99" s="227">
        <f t="shared" si="57"/>
        <v>8.8090819540838368</v>
      </c>
      <c r="AG99" s="52">
        <f t="shared" si="49"/>
        <v>53.933154820921445</v>
      </c>
      <c r="AH99" s="227">
        <f t="shared" si="58"/>
        <v>3.6135213730017366</v>
      </c>
      <c r="AI99" s="61">
        <f t="shared" si="25"/>
        <v>30.400321600726059</v>
      </c>
      <c r="AJ99" s="228">
        <f t="shared" si="50"/>
        <v>1.1019346927322042E-87</v>
      </c>
      <c r="AK99" s="229">
        <f t="shared" si="51"/>
        <v>0.11854927730641186</v>
      </c>
      <c r="AL99" s="229">
        <f t="shared" si="52"/>
        <v>0.86396105361337716</v>
      </c>
      <c r="AM99" s="229">
        <f t="shared" si="59"/>
        <v>0.98251033091978901</v>
      </c>
      <c r="AN99" s="52">
        <f t="shared" si="53"/>
        <v>2456.2758272994729</v>
      </c>
      <c r="AO99" s="52">
        <f t="shared" si="54"/>
        <v>59.274638653205933</v>
      </c>
      <c r="AP99" s="52">
        <f t="shared" si="55"/>
        <v>431.9805268066886</v>
      </c>
      <c r="AR99" s="10">
        <v>33.029449599886242</v>
      </c>
      <c r="AS99" s="10">
        <v>167.17766128015941</v>
      </c>
      <c r="AT99" s="52">
        <f t="shared" si="26"/>
        <v>200.20711088004566</v>
      </c>
      <c r="AV99" s="52">
        <f t="shared" ca="1" si="38"/>
        <v>26.900326795667116</v>
      </c>
      <c r="AW99" s="52">
        <f t="shared" ca="1" si="39"/>
        <v>26.900326795667116</v>
      </c>
      <c r="AY99" s="10"/>
      <c r="AZ99" s="10"/>
      <c r="BA99" s="10"/>
      <c r="BB99" s="10"/>
      <c r="BC99" s="10"/>
      <c r="BD99" s="10"/>
      <c r="BE99" s="10"/>
      <c r="BF99" s="10"/>
      <c r="BG99" s="439"/>
      <c r="BH99" s="59"/>
      <c r="BI99" s="10"/>
      <c r="BJ99" s="10"/>
      <c r="BK99" s="10"/>
      <c r="BL99" s="10"/>
    </row>
    <row r="100" spans="1:64" ht="9.9499999999999993" customHeight="1" x14ac:dyDescent="0.15">
      <c r="A100" s="2"/>
      <c r="R100" s="57">
        <v>42962</v>
      </c>
      <c r="S100" s="227">
        <f t="shared" si="40"/>
        <v>22.081310671377384</v>
      </c>
      <c r="T100" s="227">
        <f t="shared" si="41"/>
        <v>111.91868932862263</v>
      </c>
      <c r="U100" s="460">
        <v>134</v>
      </c>
      <c r="V100" s="227">
        <f t="shared" si="42"/>
        <v>5.9322924191760142</v>
      </c>
      <c r="W100" s="227">
        <f t="shared" si="43"/>
        <v>30.067707580823988</v>
      </c>
      <c r="X100" s="460">
        <v>36</v>
      </c>
      <c r="Y100" s="227">
        <f t="shared" si="44"/>
        <v>14.501159246874701</v>
      </c>
      <c r="Z100" s="227">
        <f t="shared" si="45"/>
        <v>73.498840753125307</v>
      </c>
      <c r="AA100" s="461">
        <v>88</v>
      </c>
      <c r="AB100" s="444">
        <f t="shared" si="46"/>
        <v>1823.0229672795483</v>
      </c>
      <c r="AC100" s="437">
        <f t="shared" si="47"/>
        <v>91.151148363977427</v>
      </c>
      <c r="AD100" s="52">
        <f t="shared" si="56"/>
        <v>12.214253880772976</v>
      </c>
      <c r="AE100" s="52">
        <f t="shared" si="48"/>
        <v>182.30229672795485</v>
      </c>
      <c r="AF100" s="227">
        <f t="shared" si="57"/>
        <v>6.5628826822063751</v>
      </c>
      <c r="AG100" s="52">
        <f t="shared" si="49"/>
        <v>54.69068901838645</v>
      </c>
      <c r="AH100" s="227">
        <f t="shared" si="58"/>
        <v>4.812780633618007</v>
      </c>
      <c r="AI100" s="61">
        <f t="shared" si="25"/>
        <v>23.589917196597359</v>
      </c>
      <c r="AJ100" s="228">
        <f t="shared" si="50"/>
        <v>7.5633586707407704E-89</v>
      </c>
      <c r="AK100" s="229">
        <f t="shared" si="51"/>
        <v>0.11521479774649998</v>
      </c>
      <c r="AL100" s="229">
        <f t="shared" si="52"/>
        <v>0.86227242409319449</v>
      </c>
      <c r="AM100" s="229">
        <f t="shared" si="59"/>
        <v>0.9774872218396945</v>
      </c>
      <c r="AN100" s="52">
        <f t="shared" si="53"/>
        <v>2443.718054599236</v>
      </c>
      <c r="AO100" s="52">
        <f t="shared" si="54"/>
        <v>57.607398873249991</v>
      </c>
      <c r="AP100" s="52">
        <f t="shared" si="55"/>
        <v>431.13621204659722</v>
      </c>
      <c r="AR100" s="10">
        <v>28.560540146508234</v>
      </c>
      <c r="AS100" s="10">
        <v>144.75853663243265</v>
      </c>
      <c r="AT100" s="52">
        <f t="shared" si="26"/>
        <v>173.31907677894088</v>
      </c>
      <c r="AV100" s="52">
        <f t="shared" ref="AV100:AV119" ca="1" si="60">(AI100+BG100)*AO100/(AO100+AP100)*2.71828^(-0.69315/半Cs134*(NOW()-R100)/365.25)+(AI100+BG100)*AP100/(AO100+AP100)*2.71828^(-0.69315/半Cs137*(NOW()-R100)/365.25)</f>
        <v>20.981272836788882</v>
      </c>
      <c r="AW100" s="52">
        <f t="shared" ref="AW100:AW119" ca="1" si="61">AI100*AO100/(AO100+AP100)*2.71828^(-0.69315/半Cs134*(NOW()-R100)/365.25)+AI100*AP100/(AO100+AP100)*2.71828^(-0.69315/半Cs137*(NOW()-R100)/365.25)</f>
        <v>20.981272836788882</v>
      </c>
      <c r="AY100" s="10"/>
      <c r="AZ100" s="10"/>
      <c r="BA100" s="10"/>
      <c r="BB100" s="10"/>
      <c r="BC100" s="10"/>
      <c r="BD100" s="10"/>
      <c r="BE100" s="10"/>
      <c r="BF100" s="10"/>
      <c r="BG100" s="439"/>
      <c r="BH100" s="59"/>
      <c r="BI100" s="10"/>
      <c r="BJ100" s="10"/>
      <c r="BK100" s="10"/>
      <c r="BL100" s="10"/>
    </row>
    <row r="101" spans="1:64" ht="9.9499999999999993" customHeight="1" x14ac:dyDescent="0.15">
      <c r="A101" s="2"/>
      <c r="R101" s="57">
        <v>42993</v>
      </c>
      <c r="S101" s="227">
        <f t="shared" si="40"/>
        <v>36.220272263249825</v>
      </c>
      <c r="T101" s="227">
        <f t="shared" si="41"/>
        <v>183.77972773675017</v>
      </c>
      <c r="U101" s="460">
        <v>220</v>
      </c>
      <c r="V101" s="227">
        <f t="shared" si="42"/>
        <v>5.926953643077244</v>
      </c>
      <c r="W101" s="227">
        <f t="shared" si="43"/>
        <v>30.073046356922756</v>
      </c>
      <c r="X101" s="460">
        <v>36</v>
      </c>
      <c r="Y101" s="227">
        <f t="shared" si="44"/>
        <v>6.9147792502567844</v>
      </c>
      <c r="Z101" s="227">
        <f t="shared" si="45"/>
        <v>35.085220749743215</v>
      </c>
      <c r="AA101" s="461">
        <v>42</v>
      </c>
      <c r="AB101" s="444">
        <f t="shared" si="46"/>
        <v>1690.3884125306013</v>
      </c>
      <c r="AC101" s="437">
        <f t="shared" si="47"/>
        <v>84.519420626530064</v>
      </c>
      <c r="AD101" s="52">
        <f t="shared" si="56"/>
        <v>18.594272537836616</v>
      </c>
      <c r="AE101" s="52">
        <f t="shared" si="48"/>
        <v>169.03884125306013</v>
      </c>
      <c r="AF101" s="227">
        <f t="shared" si="57"/>
        <v>6.0853982851101645</v>
      </c>
      <c r="AG101" s="52">
        <f t="shared" si="49"/>
        <v>50.711652375918035</v>
      </c>
      <c r="AH101" s="227">
        <f t="shared" si="58"/>
        <v>2.1298893997885573</v>
      </c>
      <c r="AI101" s="61">
        <f t="shared" ref="AI101:AI119" si="62">(AD101+AF101+AH101)</f>
        <v>26.809560222735339</v>
      </c>
      <c r="AJ101" s="228">
        <f t="shared" si="50"/>
        <v>5.1912690252480865E-90</v>
      </c>
      <c r="AK101" s="229">
        <f t="shared" si="51"/>
        <v>0.11197410833181805</v>
      </c>
      <c r="AL101" s="229">
        <f t="shared" si="52"/>
        <v>0.86058709503388842</v>
      </c>
      <c r="AM101" s="229">
        <f t="shared" si="59"/>
        <v>0.97256120336570651</v>
      </c>
      <c r="AN101" s="52">
        <f t="shared" si="53"/>
        <v>2431.403008414266</v>
      </c>
      <c r="AO101" s="52">
        <f t="shared" si="54"/>
        <v>55.987054165909022</v>
      </c>
      <c r="AP101" s="52">
        <f t="shared" si="55"/>
        <v>430.29354751694422</v>
      </c>
      <c r="AQ101" s="474">
        <f>AO101/500</f>
        <v>0.11197410833181805</v>
      </c>
      <c r="AR101" s="10">
        <v>26.535779616524128</v>
      </c>
      <c r="AS101" s="10">
        <v>134.64112908271244</v>
      </c>
      <c r="AT101" s="52">
        <f t="shared" ref="AT101:AT119" si="63">AS101+AR101</f>
        <v>161.17690869923658</v>
      </c>
      <c r="AV101" s="52">
        <f t="shared" ca="1" si="60"/>
        <v>23.965652212086255</v>
      </c>
      <c r="AW101" s="52">
        <f t="shared" ca="1" si="61"/>
        <v>23.965652212086255</v>
      </c>
      <c r="AY101" s="10"/>
      <c r="AZ101" s="10"/>
      <c r="BA101" s="10"/>
      <c r="BB101" s="10"/>
      <c r="BC101" s="10"/>
      <c r="BD101" s="10"/>
      <c r="BE101" s="10"/>
      <c r="BF101" s="10"/>
      <c r="BG101" s="439"/>
      <c r="BH101" s="59"/>
      <c r="BI101" s="10"/>
      <c r="BJ101" s="10"/>
      <c r="BK101" s="10"/>
      <c r="BL101" s="10"/>
    </row>
    <row r="102" spans="1:64" ht="9.9499999999999993" customHeight="1" x14ac:dyDescent="0.15">
      <c r="A102" s="2"/>
      <c r="R102" s="57">
        <v>43023</v>
      </c>
      <c r="S102" s="227">
        <f t="shared" si="40"/>
        <v>24.676462884444419</v>
      </c>
      <c r="T102" s="227">
        <f t="shared" si="41"/>
        <v>125.32353711555557</v>
      </c>
      <c r="U102" s="460">
        <v>150</v>
      </c>
      <c r="V102" s="227">
        <f t="shared" si="42"/>
        <v>3.2901950512592562</v>
      </c>
      <c r="W102" s="227">
        <f t="shared" si="43"/>
        <v>16.709804948740743</v>
      </c>
      <c r="X102" s="460">
        <v>20</v>
      </c>
      <c r="Y102" s="227">
        <f t="shared" si="44"/>
        <v>8.2254876281481408</v>
      </c>
      <c r="Z102" s="227">
        <f t="shared" si="45"/>
        <v>41.774512371851863</v>
      </c>
      <c r="AA102" s="461">
        <v>50</v>
      </c>
      <c r="AB102" s="444">
        <f t="shared" si="46"/>
        <v>1739.3026688421853</v>
      </c>
      <c r="AC102" s="437">
        <f t="shared" si="47"/>
        <v>86.965133442109277</v>
      </c>
      <c r="AD102" s="52">
        <f t="shared" si="56"/>
        <v>13.044770016316392</v>
      </c>
      <c r="AE102" s="52">
        <f t="shared" si="48"/>
        <v>173.93026688421855</v>
      </c>
      <c r="AF102" s="227">
        <f t="shared" si="57"/>
        <v>3.4786053376843711</v>
      </c>
      <c r="AG102" s="52">
        <f t="shared" si="49"/>
        <v>52.179080065265559</v>
      </c>
      <c r="AH102" s="227">
        <f t="shared" si="58"/>
        <v>2.6089540032632779</v>
      </c>
      <c r="AI102" s="61">
        <f t="shared" si="62"/>
        <v>19.132329357264041</v>
      </c>
      <c r="AJ102" s="228">
        <f t="shared" si="50"/>
        <v>3.8847469594407849E-91</v>
      </c>
      <c r="AK102" s="229">
        <f t="shared" si="51"/>
        <v>0.10892477264329396</v>
      </c>
      <c r="AL102" s="229">
        <f t="shared" si="52"/>
        <v>0.85895926783037602</v>
      </c>
      <c r="AM102" s="229">
        <f t="shared" si="59"/>
        <v>0.96788404047366994</v>
      </c>
      <c r="AN102" s="52">
        <f t="shared" si="53"/>
        <v>2419.7101011841746</v>
      </c>
      <c r="AO102" s="52">
        <f t="shared" si="54"/>
        <v>54.462386321646981</v>
      </c>
      <c r="AP102" s="52">
        <f t="shared" si="55"/>
        <v>429.479633915188</v>
      </c>
      <c r="AR102" s="10">
        <v>24.446465212412043</v>
      </c>
      <c r="AS102" s="10">
        <v>124.15545553423578</v>
      </c>
      <c r="AT102" s="52">
        <f t="shared" si="63"/>
        <v>148.60192074664783</v>
      </c>
      <c r="AV102" s="52">
        <f t="shared" ca="1" si="60"/>
        <v>17.185454541078382</v>
      </c>
      <c r="AW102" s="52">
        <f t="shared" ca="1" si="61"/>
        <v>17.185454541078382</v>
      </c>
      <c r="AY102" s="10"/>
      <c r="AZ102" s="10"/>
      <c r="BA102" s="10"/>
      <c r="BB102" s="10"/>
      <c r="BC102" s="10"/>
      <c r="BD102" s="10"/>
      <c r="BE102" s="10"/>
      <c r="BF102" s="10"/>
      <c r="BG102" s="439"/>
      <c r="BH102" s="59"/>
      <c r="BI102" s="10"/>
      <c r="BJ102" s="10"/>
      <c r="BK102" s="10"/>
      <c r="BL102" s="10"/>
    </row>
    <row r="103" spans="1:64" ht="9.9499999999999993" customHeight="1" x14ac:dyDescent="0.15">
      <c r="A103" s="2"/>
      <c r="R103" s="57">
        <v>43054</v>
      </c>
      <c r="S103" s="227">
        <f t="shared" si="40"/>
        <v>21.374468666793014</v>
      </c>
      <c r="T103" s="227">
        <f t="shared" si="41"/>
        <v>108.62553133320699</v>
      </c>
      <c r="U103" s="460">
        <v>130</v>
      </c>
      <c r="V103" s="227">
        <f t="shared" si="42"/>
        <v>2.1374468666793014</v>
      </c>
      <c r="W103" s="227">
        <f t="shared" si="43"/>
        <v>10.862553133320699</v>
      </c>
      <c r="X103" s="460">
        <v>13</v>
      </c>
      <c r="Y103" s="227">
        <f t="shared" si="44"/>
        <v>14.797709077010548</v>
      </c>
      <c r="Z103" s="227">
        <f t="shared" si="45"/>
        <v>75.202290922989448</v>
      </c>
      <c r="AA103" s="461">
        <v>90</v>
      </c>
      <c r="AB103" s="444">
        <f t="shared" si="46"/>
        <v>1573.3009160717354</v>
      </c>
      <c r="AC103" s="437">
        <f t="shared" si="47"/>
        <v>78.665045803586779</v>
      </c>
      <c r="AD103" s="52">
        <f t="shared" si="56"/>
        <v>10.22645595446628</v>
      </c>
      <c r="AE103" s="52">
        <f t="shared" si="48"/>
        <v>157.33009160717356</v>
      </c>
      <c r="AF103" s="227">
        <f t="shared" si="57"/>
        <v>2.0452911908932561</v>
      </c>
      <c r="AG103" s="52">
        <f t="shared" si="49"/>
        <v>47.199027482152061</v>
      </c>
      <c r="AH103" s="227">
        <f t="shared" si="58"/>
        <v>4.2479124733936855</v>
      </c>
      <c r="AI103" s="61">
        <f t="shared" si="62"/>
        <v>16.51965961875322</v>
      </c>
      <c r="AJ103" s="228">
        <f t="shared" si="50"/>
        <v>2.6663771268032477E-92</v>
      </c>
      <c r="AK103" s="229">
        <f t="shared" si="51"/>
        <v>0.10586100510122509</v>
      </c>
      <c r="AL103" s="229">
        <f t="shared" si="52"/>
        <v>0.85728041440263558</v>
      </c>
      <c r="AM103" s="229">
        <f t="shared" si="59"/>
        <v>0.96314141950386067</v>
      </c>
      <c r="AN103" s="52">
        <f t="shared" si="53"/>
        <v>2407.8535487596514</v>
      </c>
      <c r="AO103" s="52">
        <f t="shared" si="54"/>
        <v>52.930502550612545</v>
      </c>
      <c r="AP103" s="52">
        <f t="shared" si="55"/>
        <v>428.64020720131776</v>
      </c>
      <c r="AR103" s="10">
        <v>20.395630485964634</v>
      </c>
      <c r="AS103" s="10">
        <v>103.65105364493117</v>
      </c>
      <c r="AT103" s="52">
        <f t="shared" si="63"/>
        <v>124.0466841308958</v>
      </c>
      <c r="AV103" s="52">
        <f t="shared" ca="1" si="60"/>
        <v>14.911713066437894</v>
      </c>
      <c r="AW103" s="52">
        <f t="shared" ca="1" si="61"/>
        <v>14.911713066437894</v>
      </c>
      <c r="AY103" s="10"/>
      <c r="AZ103" s="10"/>
      <c r="BA103" s="10"/>
      <c r="BB103" s="10"/>
      <c r="BC103" s="10"/>
      <c r="BD103" s="10"/>
      <c r="BE103" s="10"/>
      <c r="BF103" s="10"/>
      <c r="BG103" s="439"/>
      <c r="BH103" s="59"/>
      <c r="BI103" s="10"/>
      <c r="BJ103" s="10"/>
      <c r="BK103" s="10"/>
      <c r="BL103" s="10"/>
    </row>
    <row r="104" spans="1:64" ht="9.9499999999999993" customHeight="1" x14ac:dyDescent="0.15">
      <c r="A104" s="2"/>
      <c r="R104" s="57">
        <v>43084</v>
      </c>
      <c r="S104" s="227">
        <f t="shared" si="40"/>
        <v>18.07919789878007</v>
      </c>
      <c r="T104" s="227">
        <f t="shared" si="41"/>
        <v>91.920802101219948</v>
      </c>
      <c r="U104" s="460">
        <v>110</v>
      </c>
      <c r="V104" s="227">
        <f t="shared" si="42"/>
        <v>1.8079197898780068</v>
      </c>
      <c r="W104" s="227">
        <f t="shared" si="43"/>
        <v>9.1920802101219934</v>
      </c>
      <c r="X104" s="460">
        <v>11</v>
      </c>
      <c r="Y104" s="227">
        <f t="shared" si="44"/>
        <v>7.5603918485807551</v>
      </c>
      <c r="Z104" s="227">
        <f t="shared" si="45"/>
        <v>38.439608151419243</v>
      </c>
      <c r="AA104" s="461">
        <v>46</v>
      </c>
      <c r="AB104" s="444">
        <f t="shared" si="46"/>
        <v>1579.0426608886701</v>
      </c>
      <c r="AC104" s="437">
        <f t="shared" si="47"/>
        <v>78.952133044433509</v>
      </c>
      <c r="AD104" s="52">
        <f t="shared" si="56"/>
        <v>8.6847346348876862</v>
      </c>
      <c r="AE104" s="52">
        <f t="shared" si="48"/>
        <v>157.90426608886702</v>
      </c>
      <c r="AF104" s="227">
        <f t="shared" si="57"/>
        <v>1.7369469269775373</v>
      </c>
      <c r="AG104" s="52">
        <f t="shared" si="49"/>
        <v>47.3712798266601</v>
      </c>
      <c r="AH104" s="227">
        <f t="shared" si="58"/>
        <v>2.1790788720263645</v>
      </c>
      <c r="AI104" s="61">
        <f t="shared" si="62"/>
        <v>12.600760433891589</v>
      </c>
      <c r="AJ104" s="228">
        <f t="shared" si="50"/>
        <v>1.9953118179184824E-93</v>
      </c>
      <c r="AK104" s="229">
        <f t="shared" si="51"/>
        <v>0.10297814453919582</v>
      </c>
      <c r="AL104" s="229">
        <f t="shared" si="52"/>
        <v>0.85565884188817898</v>
      </c>
      <c r="AM104" s="229">
        <f t="shared" si="59"/>
        <v>0.95863698642737483</v>
      </c>
      <c r="AN104" s="52">
        <f t="shared" si="53"/>
        <v>2396.5924660684368</v>
      </c>
      <c r="AO104" s="52">
        <f t="shared" si="54"/>
        <v>51.489072269597912</v>
      </c>
      <c r="AP104" s="52">
        <f t="shared" si="55"/>
        <v>427.82942094408946</v>
      </c>
      <c r="AR104" s="10">
        <v>15.060558423692514</v>
      </c>
      <c r="AS104" s="10">
        <v>76.573010492435301</v>
      </c>
      <c r="AT104" s="52">
        <f t="shared" si="63"/>
        <v>91.633568916127814</v>
      </c>
      <c r="AV104" s="52">
        <f t="shared" ca="1" si="60"/>
        <v>11.427706489871634</v>
      </c>
      <c r="AW104" s="52">
        <f t="shared" ca="1" si="61"/>
        <v>11.427706489871634</v>
      </c>
      <c r="AY104" s="10"/>
      <c r="AZ104" s="10"/>
      <c r="BA104" s="10"/>
      <c r="BB104" s="10"/>
      <c r="BC104" s="10"/>
      <c r="BD104" s="10"/>
      <c r="BE104" s="10"/>
      <c r="BF104" s="10"/>
      <c r="BG104" s="439"/>
      <c r="BH104" s="59"/>
      <c r="BI104" s="10"/>
      <c r="BJ104" s="10"/>
      <c r="BK104" s="10"/>
      <c r="BL104" s="10"/>
    </row>
    <row r="105" spans="1:64" ht="9.9499999999999993" customHeight="1" x14ac:dyDescent="0.15">
      <c r="A105" s="2"/>
      <c r="R105" s="57">
        <v>43115</v>
      </c>
      <c r="S105" s="227">
        <f t="shared" si="40"/>
        <v>8.542618790942079</v>
      </c>
      <c r="T105" s="227">
        <f t="shared" si="41"/>
        <v>43.457381209057921</v>
      </c>
      <c r="U105" s="460">
        <v>52</v>
      </c>
      <c r="V105" s="227">
        <f t="shared" si="42"/>
        <v>0.90354621827271986</v>
      </c>
      <c r="W105" s="227">
        <f t="shared" si="43"/>
        <v>4.5964537817272806</v>
      </c>
      <c r="X105" s="460">
        <v>5.5</v>
      </c>
      <c r="Y105" s="227">
        <f t="shared" si="44"/>
        <v>4.4355905260660791</v>
      </c>
      <c r="Z105" s="227">
        <f t="shared" si="45"/>
        <v>22.564409473933921</v>
      </c>
      <c r="AA105" s="461">
        <v>27</v>
      </c>
      <c r="AB105" s="444">
        <f t="shared" si="46"/>
        <v>1446.8003098045026</v>
      </c>
      <c r="AC105" s="437">
        <f t="shared" si="47"/>
        <v>72.340015490225127</v>
      </c>
      <c r="AD105" s="52">
        <f t="shared" si="56"/>
        <v>3.7616808054917064</v>
      </c>
      <c r="AE105" s="52">
        <f t="shared" si="48"/>
        <v>144.68003098045025</v>
      </c>
      <c r="AF105" s="227">
        <f t="shared" si="57"/>
        <v>0.79574017039247646</v>
      </c>
      <c r="AG105" s="52">
        <f t="shared" si="49"/>
        <v>43.404009294135079</v>
      </c>
      <c r="AH105" s="227">
        <f t="shared" si="58"/>
        <v>1.1719082509416472</v>
      </c>
      <c r="AI105" s="61">
        <f t="shared" si="62"/>
        <v>5.72932922682583</v>
      </c>
      <c r="AJ105" s="228">
        <f t="shared" si="50"/>
        <v>1.3695238963270222E-94</v>
      </c>
      <c r="AK105" s="229">
        <f t="shared" si="51"/>
        <v>0.10008164001478548</v>
      </c>
      <c r="AL105" s="229">
        <f t="shared" si="52"/>
        <v>0.85398643921033268</v>
      </c>
      <c r="AM105" s="229">
        <f t="shared" si="59"/>
        <v>0.95406807922511816</v>
      </c>
      <c r="AN105" s="52">
        <f t="shared" si="53"/>
        <v>2385.1701980627954</v>
      </c>
      <c r="AO105" s="52">
        <f t="shared" si="54"/>
        <v>50.040820007392739</v>
      </c>
      <c r="AP105" s="52">
        <f t="shared" si="55"/>
        <v>426.99321960516636</v>
      </c>
      <c r="AR105" s="10">
        <v>13.610010365075995</v>
      </c>
      <c r="AS105" s="10">
        <v>69.235842446987093</v>
      </c>
      <c r="AT105" s="52">
        <f t="shared" si="63"/>
        <v>82.845852812063086</v>
      </c>
      <c r="AV105" s="52">
        <f t="shared" ca="1" si="60"/>
        <v>5.2208464090789954</v>
      </c>
      <c r="AW105" s="52">
        <f t="shared" ca="1" si="61"/>
        <v>5.2208464090789954</v>
      </c>
      <c r="AY105" s="10"/>
      <c r="AZ105" s="10"/>
      <c r="BA105" s="10"/>
      <c r="BB105" s="10"/>
      <c r="BC105" s="10"/>
      <c r="BD105" s="10"/>
      <c r="BE105" s="10"/>
      <c r="BF105" s="10"/>
      <c r="BG105" s="439"/>
      <c r="BH105" s="59"/>
      <c r="BI105" s="10"/>
      <c r="BJ105" s="10"/>
      <c r="BK105" s="10"/>
      <c r="BL105" s="10"/>
    </row>
    <row r="106" spans="1:64" ht="9.9499999999999993" customHeight="1" x14ac:dyDescent="0.15">
      <c r="A106" s="2"/>
      <c r="R106" s="57">
        <v>43146</v>
      </c>
      <c r="S106" s="227">
        <f t="shared" si="40"/>
        <v>7.0624597773644151</v>
      </c>
      <c r="T106" s="227">
        <f t="shared" si="41"/>
        <v>35.93754022263559</v>
      </c>
      <c r="U106" s="460">
        <v>43</v>
      </c>
      <c r="V106" s="227">
        <f t="shared" si="42"/>
        <v>1.5438865559819883</v>
      </c>
      <c r="W106" s="227">
        <f t="shared" si="43"/>
        <v>7.8561134440180123</v>
      </c>
      <c r="X106" s="460">
        <v>9.4</v>
      </c>
      <c r="Y106" s="227">
        <f t="shared" si="44"/>
        <v>2.2172838835911532</v>
      </c>
      <c r="Z106" s="227">
        <f t="shared" si="45"/>
        <v>11.282716116408848</v>
      </c>
      <c r="AA106" s="461">
        <v>13.5</v>
      </c>
      <c r="AB106" s="444">
        <f t="shared" si="46"/>
        <v>1237.9974294110555</v>
      </c>
      <c r="AC106" s="437">
        <f t="shared" si="47"/>
        <v>61.899871470552775</v>
      </c>
      <c r="AD106" s="52">
        <f t="shared" si="56"/>
        <v>2.6616944732337693</v>
      </c>
      <c r="AE106" s="52">
        <f t="shared" si="48"/>
        <v>123.79974294110555</v>
      </c>
      <c r="AF106" s="227">
        <f t="shared" si="57"/>
        <v>1.1637175836463922</v>
      </c>
      <c r="AG106" s="52">
        <f t="shared" si="49"/>
        <v>37.139922882331661</v>
      </c>
      <c r="AH106" s="227">
        <f t="shared" si="58"/>
        <v>0.50138895891147739</v>
      </c>
      <c r="AI106" s="61">
        <f t="shared" si="62"/>
        <v>4.3268010157916388</v>
      </c>
      <c r="AJ106" s="228">
        <f t="shared" si="50"/>
        <v>9.4000129993089718E-96</v>
      </c>
      <c r="AK106" s="229">
        <f t="shared" si="51"/>
        <v>9.7266606549088308E-2</v>
      </c>
      <c r="AL106" s="229">
        <f t="shared" si="52"/>
        <v>0.85231730527766869</v>
      </c>
      <c r="AM106" s="229">
        <f t="shared" si="59"/>
        <v>0.94958391182675705</v>
      </c>
      <c r="AN106" s="52">
        <f t="shared" si="53"/>
        <v>2373.9597795668924</v>
      </c>
      <c r="AO106" s="52">
        <f t="shared" si="54"/>
        <v>48.633303274544154</v>
      </c>
      <c r="AP106" s="52">
        <f t="shared" si="55"/>
        <v>426.15865263883433</v>
      </c>
      <c r="AR106" s="10">
        <v>12.43825441717896</v>
      </c>
      <c r="AS106" s="10">
        <v>63.292433869769425</v>
      </c>
      <c r="AT106" s="52">
        <f t="shared" si="63"/>
        <v>75.730688286948379</v>
      </c>
      <c r="AV106" s="52">
        <f t="shared" ca="1" si="60"/>
        <v>3.961412599905072</v>
      </c>
      <c r="AW106" s="52">
        <f t="shared" ca="1" si="61"/>
        <v>3.961412599905072</v>
      </c>
      <c r="AY106" s="10"/>
      <c r="AZ106" s="10"/>
      <c r="BA106" s="10"/>
      <c r="BB106" s="10"/>
      <c r="BC106" s="10"/>
      <c r="BD106" s="10"/>
      <c r="BE106" s="10"/>
      <c r="BF106" s="10"/>
      <c r="BG106" s="439"/>
      <c r="BH106" s="59"/>
      <c r="BI106" s="10"/>
      <c r="BJ106" s="10"/>
      <c r="BK106" s="10"/>
      <c r="BL106" s="10"/>
    </row>
    <row r="107" spans="1:64" ht="9.9499999999999993" customHeight="1" x14ac:dyDescent="0.15">
      <c r="A107" s="2"/>
      <c r="R107" s="57">
        <v>43174</v>
      </c>
      <c r="S107" s="227">
        <f t="shared" si="40"/>
        <v>8.2120466627521918</v>
      </c>
      <c r="T107" s="227">
        <f t="shared" si="41"/>
        <v>41.787953337247814</v>
      </c>
      <c r="U107" s="460">
        <v>50</v>
      </c>
      <c r="V107" s="227">
        <f t="shared" si="42"/>
        <v>0.7719323862987062</v>
      </c>
      <c r="W107" s="227">
        <f t="shared" si="43"/>
        <v>3.9280676137012942</v>
      </c>
      <c r="X107" s="460">
        <v>4.7</v>
      </c>
      <c r="Y107" s="227">
        <f t="shared" si="44"/>
        <v>2.2172525989430922</v>
      </c>
      <c r="Z107" s="227">
        <f t="shared" si="45"/>
        <v>11.282747401056909</v>
      </c>
      <c r="AA107" s="461">
        <v>13.5</v>
      </c>
      <c r="AB107" s="444">
        <f t="shared" si="46"/>
        <v>1500.8651964757435</v>
      </c>
      <c r="AC107" s="437">
        <f t="shared" si="47"/>
        <v>75.043259823787182</v>
      </c>
      <c r="AD107" s="52">
        <f t="shared" si="56"/>
        <v>3.7521629911893593</v>
      </c>
      <c r="AE107" s="52">
        <f t="shared" si="48"/>
        <v>150.08651964757436</v>
      </c>
      <c r="AF107" s="227">
        <f t="shared" si="57"/>
        <v>0.70540664234359951</v>
      </c>
      <c r="AG107" s="52">
        <f t="shared" si="49"/>
        <v>45.0259558942723</v>
      </c>
      <c r="AH107" s="227">
        <f t="shared" si="58"/>
        <v>0.60785040457267614</v>
      </c>
      <c r="AI107" s="61">
        <f t="shared" si="62"/>
        <v>5.0654200381056347</v>
      </c>
      <c r="AJ107" s="228">
        <f t="shared" si="50"/>
        <v>8.3613879440946017E-97</v>
      </c>
      <c r="AK107" s="229">
        <f t="shared" si="51"/>
        <v>9.4792114371174033E-2</v>
      </c>
      <c r="AL107" s="229">
        <f t="shared" si="52"/>
        <v>0.8508125046770284</v>
      </c>
      <c r="AM107" s="229">
        <f t="shared" si="59"/>
        <v>0.94560461904820248</v>
      </c>
      <c r="AN107" s="52">
        <f t="shared" si="53"/>
        <v>2364.0115476205065</v>
      </c>
      <c r="AO107" s="52">
        <f t="shared" si="54"/>
        <v>47.396057185587019</v>
      </c>
      <c r="AP107" s="52">
        <f t="shared" si="55"/>
        <v>425.40625233851421</v>
      </c>
      <c r="AQ107" s="473">
        <f>AO107/500</f>
        <v>9.4792114371174033E-2</v>
      </c>
      <c r="AR107" s="10">
        <v>10.916809767844335</v>
      </c>
      <c r="AS107" s="10">
        <v>55.55145457702524</v>
      </c>
      <c r="AT107" s="52">
        <f t="shared" si="63"/>
        <v>66.468264344869567</v>
      </c>
      <c r="AV107" s="52">
        <f t="shared" ca="1" si="60"/>
        <v>4.6571731259937312</v>
      </c>
      <c r="AW107" s="52">
        <f t="shared" ca="1" si="61"/>
        <v>4.6571731259937312</v>
      </c>
      <c r="AY107" s="10"/>
      <c r="AZ107" s="10"/>
      <c r="BA107" s="10"/>
      <c r="BB107" s="10"/>
      <c r="BC107" s="10"/>
      <c r="BD107" s="10"/>
      <c r="BE107" s="10"/>
      <c r="BF107" s="10"/>
      <c r="BG107" s="439"/>
      <c r="BH107" s="59"/>
      <c r="BI107" s="10"/>
      <c r="BJ107" s="10"/>
      <c r="BK107" s="10"/>
      <c r="BL107" s="10"/>
    </row>
    <row r="108" spans="1:64" ht="9.9499999999999993" customHeight="1" x14ac:dyDescent="0.15">
      <c r="A108" s="2"/>
      <c r="R108" s="57">
        <v>43205</v>
      </c>
      <c r="S108" s="227">
        <f t="shared" si="40"/>
        <v>24.641952989991758</v>
      </c>
      <c r="T108" s="227">
        <f t="shared" si="41"/>
        <v>125.35804701000824</v>
      </c>
      <c r="U108" s="460">
        <v>150</v>
      </c>
      <c r="V108" s="227">
        <f t="shared" si="42"/>
        <v>5.2569499711982424</v>
      </c>
      <c r="W108" s="227">
        <f t="shared" si="43"/>
        <v>26.743050028801758</v>
      </c>
      <c r="X108" s="460">
        <v>32</v>
      </c>
      <c r="Y108" s="227">
        <f t="shared" si="44"/>
        <v>21.35635925799286</v>
      </c>
      <c r="Z108" s="227">
        <f t="shared" si="45"/>
        <v>108.64364074200714</v>
      </c>
      <c r="AA108" s="461">
        <v>130</v>
      </c>
      <c r="AB108" s="444">
        <f t="shared" si="46"/>
        <v>1582.8898926809627</v>
      </c>
      <c r="AC108" s="437">
        <f t="shared" si="47"/>
        <v>79.144494634048144</v>
      </c>
      <c r="AD108" s="52">
        <f t="shared" si="56"/>
        <v>11.871674195107222</v>
      </c>
      <c r="AE108" s="52">
        <f t="shared" si="48"/>
        <v>158.28898926809629</v>
      </c>
      <c r="AF108" s="227">
        <f t="shared" si="57"/>
        <v>5.0652476565790812</v>
      </c>
      <c r="AG108" s="52">
        <f t="shared" si="49"/>
        <v>47.486696780428879</v>
      </c>
      <c r="AH108" s="227">
        <f t="shared" si="58"/>
        <v>6.1732705814557542</v>
      </c>
      <c r="AI108" s="61">
        <f t="shared" si="62"/>
        <v>23.110192433142057</v>
      </c>
      <c r="AJ108" s="228">
        <f t="shared" si="50"/>
        <v>5.739013067062413E-98</v>
      </c>
      <c r="AK108" s="229">
        <f t="shared" si="51"/>
        <v>9.2125861358137676E-2</v>
      </c>
      <c r="AL108" s="229">
        <f t="shared" si="52"/>
        <v>0.84914957426421711</v>
      </c>
      <c r="AM108" s="229">
        <f t="shared" si="59"/>
        <v>0.94127543562235483</v>
      </c>
      <c r="AN108" s="52">
        <f t="shared" si="53"/>
        <v>2353.188589055887</v>
      </c>
      <c r="AO108" s="52">
        <f t="shared" si="54"/>
        <v>46.062930679068835</v>
      </c>
      <c r="AP108" s="52">
        <f t="shared" si="55"/>
        <v>424.57478713210855</v>
      </c>
      <c r="AR108" s="10">
        <v>19.838298695925801</v>
      </c>
      <c r="AS108" s="10">
        <v>100.92099362142656</v>
      </c>
      <c r="AT108" s="52">
        <f t="shared" si="63"/>
        <v>120.75929231735236</v>
      </c>
      <c r="AV108" s="52">
        <f t="shared" ca="1" si="60"/>
        <v>21.345352947894831</v>
      </c>
      <c r="AW108" s="52">
        <f t="shared" ca="1" si="61"/>
        <v>21.345352947894831</v>
      </c>
      <c r="AY108" s="10"/>
      <c r="AZ108" s="10"/>
      <c r="BA108" s="10"/>
      <c r="BB108" s="10"/>
      <c r="BC108" s="10"/>
      <c r="BD108" s="10"/>
      <c r="BE108" s="10"/>
      <c r="BF108" s="10"/>
      <c r="BG108" s="439"/>
      <c r="BH108" s="59"/>
      <c r="BI108" s="10"/>
      <c r="BJ108" s="10"/>
      <c r="BK108" s="10"/>
      <c r="BL108" s="10"/>
    </row>
    <row r="109" spans="1:64" ht="9.9499999999999993" customHeight="1" x14ac:dyDescent="0.15">
      <c r="A109" s="2"/>
      <c r="R109" s="57">
        <v>43235</v>
      </c>
      <c r="S109" s="227">
        <f t="shared" si="40"/>
        <v>41.08060963591327</v>
      </c>
      <c r="T109" s="227">
        <f t="shared" si="41"/>
        <v>208.91939036408675</v>
      </c>
      <c r="U109" s="460">
        <v>250</v>
      </c>
      <c r="V109" s="227">
        <f t="shared" si="42"/>
        <v>31.221263323294089</v>
      </c>
      <c r="W109" s="227">
        <f t="shared" si="43"/>
        <v>158.7787366767059</v>
      </c>
      <c r="X109" s="460">
        <v>190</v>
      </c>
      <c r="Y109" s="227">
        <f t="shared" si="44"/>
        <v>11.009603382424757</v>
      </c>
      <c r="Z109" s="227">
        <f t="shared" si="45"/>
        <v>55.99039661757525</v>
      </c>
      <c r="AA109" s="461">
        <v>67</v>
      </c>
      <c r="AB109" s="444">
        <f t="shared" si="46"/>
        <v>1778.5799091279614</v>
      </c>
      <c r="AC109" s="437">
        <f t="shared" si="47"/>
        <v>88.92899545639807</v>
      </c>
      <c r="AD109" s="52">
        <f t="shared" si="56"/>
        <v>22.232248864099518</v>
      </c>
      <c r="AE109" s="52">
        <f t="shared" si="48"/>
        <v>177.85799091279614</v>
      </c>
      <c r="AF109" s="227">
        <f t="shared" si="57"/>
        <v>33.793018273431272</v>
      </c>
      <c r="AG109" s="52">
        <f t="shared" si="49"/>
        <v>53.357397273838842</v>
      </c>
      <c r="AH109" s="227">
        <f t="shared" si="58"/>
        <v>3.5749456173472027</v>
      </c>
      <c r="AI109" s="61">
        <f t="shared" si="62"/>
        <v>59.600212754877994</v>
      </c>
      <c r="AJ109" s="228">
        <f t="shared" si="50"/>
        <v>4.2946365241389509E-99</v>
      </c>
      <c r="AK109" s="229">
        <f t="shared" si="51"/>
        <v>8.9617043194183912E-2</v>
      </c>
      <c r="AL109" s="229">
        <f t="shared" si="52"/>
        <v>0.84754338148626951</v>
      </c>
      <c r="AM109" s="229">
        <f t="shared" si="59"/>
        <v>0.93716042468045346</v>
      </c>
      <c r="AN109" s="52">
        <f t="shared" si="53"/>
        <v>2342.9010617011336</v>
      </c>
      <c r="AO109" s="52">
        <f t="shared" si="54"/>
        <v>44.808521597091953</v>
      </c>
      <c r="AP109" s="52">
        <f t="shared" si="55"/>
        <v>423.77169074313474</v>
      </c>
      <c r="AR109" s="10">
        <v>29.912269995508876</v>
      </c>
      <c r="AS109" s="10">
        <v>152.12172524344646</v>
      </c>
      <c r="AT109" s="52">
        <f t="shared" si="63"/>
        <v>182.03399523895533</v>
      </c>
      <c r="AV109" s="52">
        <f t="shared" ca="1" si="60"/>
        <v>55.290481646347516</v>
      </c>
      <c r="AW109" s="52">
        <f t="shared" ca="1" si="61"/>
        <v>55.290481646347516</v>
      </c>
      <c r="AY109" s="10"/>
      <c r="AZ109" s="10"/>
      <c r="BA109" s="10"/>
      <c r="BB109" s="10"/>
      <c r="BC109" s="10"/>
      <c r="BD109" s="10"/>
      <c r="BE109" s="10"/>
      <c r="BF109" s="10"/>
      <c r="BG109" s="439"/>
      <c r="BH109" s="59"/>
      <c r="BI109" s="10"/>
      <c r="BJ109" s="10"/>
      <c r="BK109" s="10"/>
      <c r="BL109" s="10"/>
    </row>
    <row r="110" spans="1:64" ht="9.9499999999999993" customHeight="1" x14ac:dyDescent="0.15">
      <c r="A110" s="2"/>
      <c r="R110" s="57">
        <v>43266</v>
      </c>
      <c r="S110" s="227">
        <f t="shared" si="40"/>
        <v>48.331135379398233</v>
      </c>
      <c r="T110" s="227">
        <f t="shared" si="41"/>
        <v>245.66886462060177</v>
      </c>
      <c r="U110" s="460">
        <v>294</v>
      </c>
      <c r="V110" s="227">
        <f t="shared" si="42"/>
        <v>9.5347137823302628</v>
      </c>
      <c r="W110" s="227">
        <f t="shared" si="43"/>
        <v>48.465286217669735</v>
      </c>
      <c r="X110" s="460">
        <v>58</v>
      </c>
      <c r="Y110" s="227">
        <f t="shared" si="44"/>
        <v>27.782183262307143</v>
      </c>
      <c r="Z110" s="227">
        <f t="shared" si="45"/>
        <v>141.21781673769286</v>
      </c>
      <c r="AA110" s="461">
        <v>169</v>
      </c>
      <c r="AB110" s="444">
        <f t="shared" si="46"/>
        <v>1745.4098784440889</v>
      </c>
      <c r="AC110" s="437">
        <f t="shared" si="47"/>
        <v>87.270493922204452</v>
      </c>
      <c r="AD110" s="52">
        <f t="shared" si="56"/>
        <v>25.657525213128107</v>
      </c>
      <c r="AE110" s="52">
        <f t="shared" si="48"/>
        <v>174.5409878444089</v>
      </c>
      <c r="AF110" s="227">
        <f t="shared" si="57"/>
        <v>10.123377294975716</v>
      </c>
      <c r="AG110" s="52">
        <f t="shared" si="49"/>
        <v>52.362296353322662</v>
      </c>
      <c r="AH110" s="227">
        <f t="shared" si="58"/>
        <v>8.8492280837115302</v>
      </c>
      <c r="AI110" s="61">
        <f t="shared" si="62"/>
        <v>44.630130591815352</v>
      </c>
      <c r="AJ110" s="228">
        <f t="shared" si="50"/>
        <v>2.9477133814519115E-100</v>
      </c>
      <c r="AK110" s="229">
        <f t="shared" si="51"/>
        <v>8.7096351330509594E-2</v>
      </c>
      <c r="AL110" s="229">
        <f t="shared" si="52"/>
        <v>0.84588684064148545</v>
      </c>
      <c r="AM110" s="229">
        <f t="shared" si="59"/>
        <v>0.93298319197199509</v>
      </c>
      <c r="AN110" s="52">
        <f t="shared" si="53"/>
        <v>2332.4579799299877</v>
      </c>
      <c r="AO110" s="52">
        <f t="shared" si="54"/>
        <v>43.548175665254796</v>
      </c>
      <c r="AP110" s="52">
        <f t="shared" si="55"/>
        <v>422.94342032074275</v>
      </c>
      <c r="AR110" s="10">
        <v>32.305323972927646</v>
      </c>
      <c r="AS110" s="10">
        <v>164.20910039313583</v>
      </c>
      <c r="AT110" s="52">
        <f t="shared" si="63"/>
        <v>196.51442436606348</v>
      </c>
      <c r="AV110" s="52">
        <f t="shared" ca="1" si="60"/>
        <v>41.588268714843849</v>
      </c>
      <c r="AW110" s="52">
        <f t="shared" ca="1" si="61"/>
        <v>41.588268714843849</v>
      </c>
      <c r="AY110" s="10"/>
      <c r="AZ110" s="10"/>
      <c r="BA110" s="10"/>
      <c r="BB110" s="10"/>
      <c r="BC110" s="10"/>
      <c r="BD110" s="10"/>
      <c r="BE110" s="10"/>
      <c r="BF110" s="10"/>
      <c r="BG110" s="439"/>
      <c r="BH110" s="59"/>
      <c r="BI110" s="10"/>
      <c r="BJ110" s="10"/>
      <c r="BK110" s="10"/>
      <c r="BL110" s="10"/>
    </row>
    <row r="111" spans="1:64" ht="9.9499999999999993" customHeight="1" x14ac:dyDescent="0.15">
      <c r="A111" s="2"/>
      <c r="R111" s="57">
        <v>43296</v>
      </c>
      <c r="S111" s="227">
        <f t="shared" si="40"/>
        <v>32.882435282396905</v>
      </c>
      <c r="T111" s="227">
        <f t="shared" si="41"/>
        <v>167.1175647176031</v>
      </c>
      <c r="U111" s="460">
        <v>200</v>
      </c>
      <c r="V111" s="227">
        <f t="shared" si="42"/>
        <v>6.9053114093033487</v>
      </c>
      <c r="W111" s="227">
        <f t="shared" si="43"/>
        <v>35.094688590696656</v>
      </c>
      <c r="X111" s="460">
        <v>42</v>
      </c>
      <c r="Y111" s="227">
        <f t="shared" si="44"/>
        <v>9.8647305847190712</v>
      </c>
      <c r="Z111" s="227">
        <f t="shared" si="45"/>
        <v>50.135269415280931</v>
      </c>
      <c r="AA111" s="461">
        <v>60</v>
      </c>
      <c r="AB111" s="444">
        <f t="shared" si="46"/>
        <v>1856.9748107777348</v>
      </c>
      <c r="AC111" s="437">
        <f t="shared" si="47"/>
        <v>92.848740538886744</v>
      </c>
      <c r="AD111" s="52">
        <f t="shared" si="56"/>
        <v>18.569748107777347</v>
      </c>
      <c r="AE111" s="52">
        <f t="shared" si="48"/>
        <v>185.69748107777349</v>
      </c>
      <c r="AF111" s="227">
        <f t="shared" si="57"/>
        <v>7.7992942052664862</v>
      </c>
      <c r="AG111" s="52">
        <f t="shared" si="49"/>
        <v>55.709244323332044</v>
      </c>
      <c r="AH111" s="227">
        <f t="shared" si="58"/>
        <v>3.3425546593999225</v>
      </c>
      <c r="AI111" s="61">
        <f t="shared" si="62"/>
        <v>29.711596972443758</v>
      </c>
      <c r="AJ111" s="228">
        <f t="shared" si="50"/>
        <v>2.2058422594176746E-101</v>
      </c>
      <c r="AK111" s="229">
        <f t="shared" si="51"/>
        <v>8.4724499333570027E-2</v>
      </c>
      <c r="AL111" s="229">
        <f t="shared" si="52"/>
        <v>0.8442868194254628</v>
      </c>
      <c r="AM111" s="229">
        <f t="shared" si="59"/>
        <v>0.92901131875903287</v>
      </c>
      <c r="AN111" s="52">
        <f t="shared" si="53"/>
        <v>2322.5282968975821</v>
      </c>
      <c r="AO111" s="52">
        <f t="shared" si="54"/>
        <v>42.362249666785011</v>
      </c>
      <c r="AP111" s="52">
        <f t="shared" si="55"/>
        <v>422.1434097127314</v>
      </c>
      <c r="AR111" s="10">
        <v>30.750059660509645</v>
      </c>
      <c r="AS111" s="10">
        <v>156.2802463154666</v>
      </c>
      <c r="AT111" s="52">
        <f t="shared" si="63"/>
        <v>187.03030597597623</v>
      </c>
      <c r="AV111" s="52">
        <f t="shared" ca="1" si="60"/>
        <v>27.804910001546268</v>
      </c>
      <c r="AW111" s="52">
        <f t="shared" ca="1" si="61"/>
        <v>27.804910001546268</v>
      </c>
      <c r="AY111" s="10"/>
      <c r="AZ111" s="10"/>
      <c r="BA111" s="10"/>
      <c r="BB111" s="10"/>
      <c r="BC111" s="10"/>
      <c r="BD111" s="10"/>
      <c r="BE111" s="10"/>
      <c r="BF111" s="10"/>
      <c r="BG111" s="439"/>
      <c r="BH111" s="59"/>
      <c r="BI111" s="10"/>
      <c r="BJ111" s="10"/>
      <c r="BK111" s="10"/>
      <c r="BL111" s="10"/>
    </row>
    <row r="112" spans="1:64" ht="9.9499999999999993" customHeight="1" x14ac:dyDescent="0.15">
      <c r="A112" s="2"/>
      <c r="R112" s="57">
        <v>43327</v>
      </c>
      <c r="S112" s="227">
        <f t="shared" si="40"/>
        <v>26.314605248634724</v>
      </c>
      <c r="T112" s="227">
        <f t="shared" si="41"/>
        <v>133.68539475136527</v>
      </c>
      <c r="U112" s="460">
        <v>160</v>
      </c>
      <c r="V112" s="227">
        <f t="shared" si="42"/>
        <v>6.2497187465507462</v>
      </c>
      <c r="W112" s="227">
        <f t="shared" si="43"/>
        <v>31.750281253449248</v>
      </c>
      <c r="X112" s="460">
        <v>38</v>
      </c>
      <c r="Y112" s="227">
        <f t="shared" si="44"/>
        <v>23.354212158163314</v>
      </c>
      <c r="Z112" s="227">
        <f t="shared" si="45"/>
        <v>118.64578784183668</v>
      </c>
      <c r="AA112" s="461">
        <v>142</v>
      </c>
      <c r="AB112" s="444">
        <f t="shared" si="46"/>
        <v>1883.0575038385446</v>
      </c>
      <c r="AC112" s="437">
        <f t="shared" si="47"/>
        <v>94.152875191927237</v>
      </c>
      <c r="AD112" s="52">
        <f t="shared" si="56"/>
        <v>15.064460030708359</v>
      </c>
      <c r="AE112" s="52">
        <f t="shared" si="48"/>
        <v>188.30575038385447</v>
      </c>
      <c r="AF112" s="227">
        <f t="shared" si="57"/>
        <v>7.1556185145864699</v>
      </c>
      <c r="AG112" s="52">
        <f t="shared" si="49"/>
        <v>56.491725115156335</v>
      </c>
      <c r="AH112" s="227">
        <f t="shared" si="58"/>
        <v>8.0218249663521988</v>
      </c>
      <c r="AI112" s="61">
        <f t="shared" si="62"/>
        <v>30.241903511647028</v>
      </c>
      <c r="AJ112" s="228">
        <f t="shared" si="50"/>
        <v>1.5140258573479772E-102</v>
      </c>
      <c r="AK112" s="229">
        <f t="shared" si="51"/>
        <v>8.2341421868480508E-2</v>
      </c>
      <c r="AL112" s="229">
        <f t="shared" si="52"/>
        <v>0.84263664359772117</v>
      </c>
      <c r="AM112" s="229">
        <f t="shared" si="59"/>
        <v>0.92497806546620165</v>
      </c>
      <c r="AN112" s="52">
        <f t="shared" si="53"/>
        <v>2312.4451636655044</v>
      </c>
      <c r="AO112" s="52">
        <f t="shared" si="54"/>
        <v>41.170710934240255</v>
      </c>
      <c r="AP112" s="52">
        <f t="shared" si="55"/>
        <v>421.31832179886061</v>
      </c>
      <c r="AR112" s="10">
        <v>26.728259604537971</v>
      </c>
      <c r="AS112" s="10">
        <v>135.7868720616668</v>
      </c>
      <c r="AT112" s="52">
        <f t="shared" si="63"/>
        <v>162.51513166620478</v>
      </c>
      <c r="AV112" s="52">
        <f t="shared" ca="1" si="60"/>
        <v>28.424588939075548</v>
      </c>
      <c r="AW112" s="52">
        <f t="shared" ca="1" si="61"/>
        <v>28.424588939075548</v>
      </c>
      <c r="AY112" s="10"/>
      <c r="AZ112" s="10"/>
      <c r="BA112" s="10"/>
      <c r="BB112" s="10"/>
      <c r="BC112" s="10"/>
      <c r="BD112" s="10"/>
      <c r="BE112" s="10"/>
      <c r="BF112" s="10"/>
      <c r="BG112" s="439"/>
      <c r="BH112" s="59"/>
      <c r="BI112" s="10"/>
      <c r="BJ112" s="10"/>
      <c r="BK112" s="10"/>
      <c r="BL112" s="10"/>
    </row>
    <row r="113" spans="1:64" ht="9.9499999999999993" customHeight="1" x14ac:dyDescent="0.15">
      <c r="A113" s="2"/>
      <c r="R113" s="57">
        <v>43358</v>
      </c>
      <c r="S113" s="227">
        <f t="shared" si="40"/>
        <v>19.742654547315738</v>
      </c>
      <c r="T113" s="227">
        <f t="shared" si="41"/>
        <v>100.25734545268426</v>
      </c>
      <c r="U113" s="460">
        <v>120</v>
      </c>
      <c r="V113" s="227">
        <f t="shared" si="42"/>
        <v>3.9485309094631473</v>
      </c>
      <c r="W113" s="227">
        <f t="shared" si="43"/>
        <v>20.051469090536852</v>
      </c>
      <c r="X113" s="460">
        <v>24</v>
      </c>
      <c r="Y113" s="227">
        <f t="shared" si="44"/>
        <v>7.074451212788138</v>
      </c>
      <c r="Z113" s="227">
        <f t="shared" si="45"/>
        <v>35.925548787211859</v>
      </c>
      <c r="AA113" s="461">
        <v>43</v>
      </c>
      <c r="AB113" s="444">
        <f t="shared" si="46"/>
        <v>1746.0551192986518</v>
      </c>
      <c r="AC113" s="437">
        <f t="shared" si="47"/>
        <v>87.302755964932601</v>
      </c>
      <c r="AD113" s="52">
        <f t="shared" si="56"/>
        <v>10.476330715791912</v>
      </c>
      <c r="AE113" s="52">
        <f t="shared" si="48"/>
        <v>174.6055119298652</v>
      </c>
      <c r="AF113" s="227">
        <f t="shared" si="57"/>
        <v>4.1905322863167651</v>
      </c>
      <c r="AG113" s="52">
        <f t="shared" si="49"/>
        <v>52.381653578959551</v>
      </c>
      <c r="AH113" s="227">
        <f t="shared" si="58"/>
        <v>2.2524111038952608</v>
      </c>
      <c r="AI113" s="61">
        <f t="shared" si="62"/>
        <v>16.91927410600394</v>
      </c>
      <c r="AJ113" s="228">
        <f t="shared" si="50"/>
        <v>1.0391832357602129E-103</v>
      </c>
      <c r="AK113" s="229">
        <f t="shared" si="51"/>
        <v>8.002537410848562E-2</v>
      </c>
      <c r="AL113" s="229">
        <f t="shared" si="52"/>
        <v>0.84098969307232896</v>
      </c>
      <c r="AM113" s="229">
        <f t="shared" si="59"/>
        <v>0.92101506718081461</v>
      </c>
      <c r="AN113" s="52">
        <f t="shared" si="53"/>
        <v>2302.5376679520364</v>
      </c>
      <c r="AO113" s="52">
        <f t="shared" si="54"/>
        <v>40.012687054242811</v>
      </c>
      <c r="AP113" s="52">
        <f t="shared" si="55"/>
        <v>420.49484653616446</v>
      </c>
      <c r="AQ113" s="474">
        <f>AO113/500</f>
        <v>8.002537410848562E-2</v>
      </c>
      <c r="AR113" s="10">
        <v>24.956550400055523</v>
      </c>
      <c r="AS113" s="10">
        <v>126.73460343284391</v>
      </c>
      <c r="AT113" s="52">
        <f t="shared" si="63"/>
        <v>151.69115383289943</v>
      </c>
      <c r="AV113" s="52">
        <f t="shared" ca="1" si="60"/>
        <v>15.970977396275288</v>
      </c>
      <c r="AW113" s="52">
        <f t="shared" ca="1" si="61"/>
        <v>15.970977396275288</v>
      </c>
      <c r="AY113" s="10"/>
      <c r="AZ113" s="10"/>
      <c r="BA113" s="10"/>
      <c r="BB113" s="10"/>
      <c r="BC113" s="10"/>
      <c r="BD113" s="10"/>
      <c r="BE113" s="10"/>
      <c r="BF113" s="10"/>
      <c r="BG113" s="439"/>
      <c r="BH113" s="59"/>
      <c r="BI113" s="10"/>
      <c r="BJ113" s="10"/>
      <c r="BK113" s="10"/>
      <c r="BL113" s="10"/>
    </row>
    <row r="114" spans="1:64" ht="9.9499999999999993" customHeight="1" x14ac:dyDescent="0.15">
      <c r="A114" s="2"/>
      <c r="R114" s="57">
        <v>43388</v>
      </c>
      <c r="S114" s="227">
        <f t="shared" si="40"/>
        <v>31.270652521998649</v>
      </c>
      <c r="T114" s="227">
        <f t="shared" si="41"/>
        <v>158.72934747800136</v>
      </c>
      <c r="U114" s="460">
        <v>190</v>
      </c>
      <c r="V114" s="227">
        <f t="shared" si="42"/>
        <v>4.1145595423682435</v>
      </c>
      <c r="W114" s="227">
        <f t="shared" si="43"/>
        <v>20.885440457631756</v>
      </c>
      <c r="X114" s="460">
        <v>25</v>
      </c>
      <c r="Y114" s="227">
        <f t="shared" si="44"/>
        <v>10.697854810157434</v>
      </c>
      <c r="Z114" s="227">
        <f t="shared" si="45"/>
        <v>54.30214518984257</v>
      </c>
      <c r="AA114" s="461">
        <v>65</v>
      </c>
      <c r="AB114" s="444">
        <f t="shared" si="46"/>
        <v>1796.5801862042331</v>
      </c>
      <c r="AC114" s="437">
        <f t="shared" si="47"/>
        <v>89.82900931021166</v>
      </c>
      <c r="AD114" s="52">
        <f t="shared" si="56"/>
        <v>17.067511768940214</v>
      </c>
      <c r="AE114" s="52">
        <f t="shared" si="48"/>
        <v>179.65801862042332</v>
      </c>
      <c r="AF114" s="227">
        <f t="shared" si="57"/>
        <v>4.4914504655105834</v>
      </c>
      <c r="AG114" s="52">
        <f t="shared" si="49"/>
        <v>53.897405586126993</v>
      </c>
      <c r="AH114" s="227">
        <f t="shared" si="58"/>
        <v>3.5033313630982548</v>
      </c>
      <c r="AI114" s="61">
        <f t="shared" si="62"/>
        <v>25.062293597549051</v>
      </c>
      <c r="AJ114" s="228">
        <f t="shared" si="50"/>
        <v>7.7764490643564758E-105</v>
      </c>
      <c r="AK114" s="229">
        <f t="shared" si="51"/>
        <v>7.7846082548213805E-2</v>
      </c>
      <c r="AL114" s="229">
        <f t="shared" si="52"/>
        <v>0.8393989349629446</v>
      </c>
      <c r="AM114" s="229">
        <f t="shared" si="59"/>
        <v>0.91724501751115839</v>
      </c>
      <c r="AN114" s="52">
        <f t="shared" si="53"/>
        <v>2293.112543777896</v>
      </c>
      <c r="AO114" s="52">
        <f t="shared" si="54"/>
        <v>38.9230412741069</v>
      </c>
      <c r="AP114" s="52">
        <f t="shared" si="55"/>
        <v>419.69946748147231</v>
      </c>
      <c r="AR114" s="10">
        <v>23.093918877064798</v>
      </c>
      <c r="AS114" s="10">
        <v>117.22437424315387</v>
      </c>
      <c r="AT114" s="52">
        <f t="shared" si="63"/>
        <v>140.31829312021867</v>
      </c>
      <c r="AV114" s="52">
        <f t="shared" ca="1" si="60"/>
        <v>23.754831577963031</v>
      </c>
      <c r="AW114" s="52">
        <f t="shared" ca="1" si="61"/>
        <v>23.754831577963031</v>
      </c>
      <c r="AY114" s="10"/>
      <c r="AZ114" s="10"/>
      <c r="BA114" s="10"/>
      <c r="BB114" s="10"/>
      <c r="BC114" s="10"/>
      <c r="BD114" s="10"/>
      <c r="BE114" s="10"/>
      <c r="BF114" s="10"/>
      <c r="BG114" s="439"/>
      <c r="BH114" s="59"/>
      <c r="BI114" s="10"/>
      <c r="BJ114" s="10"/>
      <c r="BK114" s="10"/>
      <c r="BL114" s="10"/>
    </row>
    <row r="115" spans="1:64" ht="9.9499999999999993" customHeight="1" x14ac:dyDescent="0.15">
      <c r="A115" s="2"/>
      <c r="R115" s="57">
        <v>43419</v>
      </c>
      <c r="S115" s="227">
        <f t="shared" si="40"/>
        <v>24.698891053380031</v>
      </c>
      <c r="T115" s="227">
        <f t="shared" si="41"/>
        <v>125.30110894661996</v>
      </c>
      <c r="U115" s="460">
        <v>150</v>
      </c>
      <c r="V115" s="227">
        <f t="shared" si="42"/>
        <v>3.4578447474732044</v>
      </c>
      <c r="W115" s="227">
        <f t="shared" si="43"/>
        <v>17.542155252526797</v>
      </c>
      <c r="X115" s="460">
        <v>21</v>
      </c>
      <c r="Y115" s="227">
        <f t="shared" si="44"/>
        <v>15.14865317940642</v>
      </c>
      <c r="Z115" s="227">
        <f t="shared" si="45"/>
        <v>76.851346820593577</v>
      </c>
      <c r="AA115" s="461">
        <v>92</v>
      </c>
      <c r="AB115" s="444">
        <f t="shared" si="46"/>
        <v>1625.1117780627721</v>
      </c>
      <c r="AC115" s="437">
        <f t="shared" si="47"/>
        <v>81.255588903138616</v>
      </c>
      <c r="AD115" s="52">
        <f t="shared" si="56"/>
        <v>12.188338335470792</v>
      </c>
      <c r="AE115" s="52">
        <f t="shared" si="48"/>
        <v>162.51117780627723</v>
      </c>
      <c r="AF115" s="227">
        <f t="shared" si="57"/>
        <v>3.4127347339318215</v>
      </c>
      <c r="AG115" s="52">
        <f t="shared" si="49"/>
        <v>48.753353341883162</v>
      </c>
      <c r="AH115" s="227">
        <f t="shared" si="58"/>
        <v>4.4853085074532508</v>
      </c>
      <c r="AI115" s="61">
        <f t="shared" si="62"/>
        <v>20.086381576855864</v>
      </c>
      <c r="AJ115" s="228">
        <f t="shared" si="50"/>
        <v>5.3375280628150486E-106</v>
      </c>
      <c r="AK115" s="229">
        <f t="shared" si="51"/>
        <v>7.5656476867149131E-2</v>
      </c>
      <c r="AL115" s="229">
        <f t="shared" si="52"/>
        <v>0.83775831260518885</v>
      </c>
      <c r="AM115" s="229">
        <f t="shared" si="59"/>
        <v>0.91341478947233801</v>
      </c>
      <c r="AN115" s="52">
        <f t="shared" si="53"/>
        <v>2283.5369736808448</v>
      </c>
      <c r="AO115" s="52">
        <f t="shared" si="54"/>
        <v>37.828238433574562</v>
      </c>
      <c r="AP115" s="52">
        <f t="shared" si="55"/>
        <v>418.87915630259442</v>
      </c>
      <c r="AR115" s="10">
        <v>19.351886023115394</v>
      </c>
      <c r="AS115" s="10">
        <v>98.174965574947123</v>
      </c>
      <c r="AT115" s="52">
        <f t="shared" si="63"/>
        <v>117.52685159806252</v>
      </c>
      <c r="AV115" s="52">
        <f t="shared" ca="1" si="60"/>
        <v>19.118339660609916</v>
      </c>
      <c r="AW115" s="52">
        <f t="shared" ca="1" si="61"/>
        <v>19.118339660609916</v>
      </c>
      <c r="AY115" s="10"/>
      <c r="AZ115" s="10"/>
      <c r="BA115" s="10"/>
      <c r="BB115" s="10"/>
      <c r="BC115" s="10"/>
      <c r="BD115" s="10"/>
      <c r="BE115" s="10"/>
      <c r="BF115" s="10"/>
      <c r="BG115" s="439"/>
      <c r="BH115" s="59"/>
      <c r="BI115" s="10"/>
      <c r="BJ115" s="10"/>
      <c r="BK115" s="10"/>
      <c r="BL115" s="10"/>
    </row>
    <row r="116" spans="1:64" ht="9.9499999999999993" customHeight="1" x14ac:dyDescent="0.15">
      <c r="A116" s="2"/>
      <c r="R116" s="57">
        <v>43449</v>
      </c>
      <c r="S116" s="227">
        <f t="shared" si="40"/>
        <v>23.07018447733083</v>
      </c>
      <c r="T116" s="227">
        <f t="shared" si="41"/>
        <v>116.92981552266916</v>
      </c>
      <c r="U116" s="460">
        <v>140</v>
      </c>
      <c r="V116" s="227">
        <f t="shared" si="42"/>
        <v>1.9774443837712137</v>
      </c>
      <c r="W116" s="227">
        <f t="shared" si="43"/>
        <v>10.022555616228786</v>
      </c>
      <c r="X116" s="460">
        <v>12</v>
      </c>
      <c r="Y116" s="227">
        <f t="shared" si="44"/>
        <v>7.9097775350848547</v>
      </c>
      <c r="Z116" s="227">
        <f t="shared" si="45"/>
        <v>40.090222464915144</v>
      </c>
      <c r="AA116" s="461">
        <v>48</v>
      </c>
      <c r="AB116" s="444">
        <f t="shared" si="46"/>
        <v>1631.0426060647856</v>
      </c>
      <c r="AC116" s="437">
        <f t="shared" si="47"/>
        <v>81.552130303239281</v>
      </c>
      <c r="AD116" s="52">
        <f t="shared" si="56"/>
        <v>11.417298242453498</v>
      </c>
      <c r="AE116" s="52">
        <f t="shared" si="48"/>
        <v>163.10426060647856</v>
      </c>
      <c r="AF116" s="227">
        <f t="shared" si="57"/>
        <v>1.9572511272777429</v>
      </c>
      <c r="AG116" s="52">
        <f t="shared" si="49"/>
        <v>48.931278181943568</v>
      </c>
      <c r="AH116" s="227">
        <f t="shared" si="58"/>
        <v>2.3487013527332912</v>
      </c>
      <c r="AI116" s="61">
        <f t="shared" si="62"/>
        <v>15.723250722464533</v>
      </c>
      <c r="AJ116" s="228">
        <f t="shared" si="50"/>
        <v>3.9941959879377097E-107</v>
      </c>
      <c r="AK116" s="229">
        <f t="shared" si="51"/>
        <v>7.3596161331567087E-2</v>
      </c>
      <c r="AL116" s="229">
        <f t="shared" si="52"/>
        <v>0.83617366675226246</v>
      </c>
      <c r="AM116" s="229">
        <f t="shared" si="59"/>
        <v>0.90976982808382956</v>
      </c>
      <c r="AN116" s="52">
        <f t="shared" si="53"/>
        <v>2274.4245702095736</v>
      </c>
      <c r="AO116" s="52">
        <f t="shared" si="54"/>
        <v>36.798080665783544</v>
      </c>
      <c r="AP116" s="52">
        <f t="shared" si="55"/>
        <v>418.08683337613121</v>
      </c>
      <c r="AR116" s="10">
        <v>14.339276466388934</v>
      </c>
      <c r="AS116" s="10">
        <v>72.677743586790726</v>
      </c>
      <c r="AT116" s="52">
        <f t="shared" si="63"/>
        <v>87.017020053179664</v>
      </c>
      <c r="AV116" s="52">
        <f t="shared" ca="1" si="60"/>
        <v>15.025443983000775</v>
      </c>
      <c r="AW116" s="52">
        <f t="shared" ca="1" si="61"/>
        <v>15.025443983000775</v>
      </c>
      <c r="AY116" s="10"/>
      <c r="AZ116" s="10"/>
      <c r="BA116" s="10"/>
      <c r="BB116" s="10"/>
      <c r="BC116" s="10"/>
      <c r="BD116" s="10"/>
      <c r="BE116" s="10"/>
      <c r="BF116" s="10"/>
      <c r="BG116" s="439"/>
      <c r="BH116" s="59"/>
      <c r="BI116" s="10"/>
      <c r="BJ116" s="10"/>
      <c r="BK116" s="10"/>
      <c r="BL116" s="10"/>
    </row>
    <row r="117" spans="1:64" ht="9.9499999999999993" customHeight="1" x14ac:dyDescent="0.15">
      <c r="A117" s="2"/>
      <c r="R117" s="57">
        <v>43480</v>
      </c>
      <c r="S117" s="227">
        <f t="shared" si="40"/>
        <v>10.882976823032784</v>
      </c>
      <c r="T117" s="227">
        <f t="shared" si="41"/>
        <v>55.117023176967209</v>
      </c>
      <c r="U117" s="460">
        <v>66</v>
      </c>
      <c r="V117" s="227">
        <f t="shared" si="42"/>
        <v>0.77499986467051651</v>
      </c>
      <c r="W117" s="227">
        <f t="shared" si="43"/>
        <v>3.9250001353294834</v>
      </c>
      <c r="X117" s="460">
        <v>4.7</v>
      </c>
      <c r="Y117" s="227">
        <f t="shared" si="44"/>
        <v>1.2367019117082709</v>
      </c>
      <c r="Z117" s="227">
        <f t="shared" si="45"/>
        <v>6.2632980882917284</v>
      </c>
      <c r="AA117" s="461">
        <v>7.5</v>
      </c>
      <c r="AB117" s="444">
        <f t="shared" si="46"/>
        <v>1494.4453409705891</v>
      </c>
      <c r="AC117" s="437">
        <f t="shared" si="47"/>
        <v>74.72226704852946</v>
      </c>
      <c r="AD117" s="52">
        <f t="shared" si="56"/>
        <v>4.9316696252029439</v>
      </c>
      <c r="AE117" s="52">
        <f t="shared" si="48"/>
        <v>149.44453409705892</v>
      </c>
      <c r="AF117" s="227">
        <f t="shared" si="57"/>
        <v>0.7023893102561769</v>
      </c>
      <c r="AG117" s="52">
        <f t="shared" si="49"/>
        <v>44.833360229117673</v>
      </c>
      <c r="AH117" s="227">
        <f t="shared" si="58"/>
        <v>0.33625020171838255</v>
      </c>
      <c r="AI117" s="61">
        <f t="shared" si="62"/>
        <v>5.9703091371775034</v>
      </c>
      <c r="AJ117" s="228">
        <f t="shared" si="50"/>
        <v>2.7414997510518673E-108</v>
      </c>
      <c r="AK117" s="229">
        <f t="shared" si="51"/>
        <v>7.1526094763267448E-2</v>
      </c>
      <c r="AL117" s="229">
        <f t="shared" si="52"/>
        <v>0.83453934824707987</v>
      </c>
      <c r="AM117" s="229">
        <f t="shared" si="59"/>
        <v>0.9060654430103473</v>
      </c>
      <c r="AN117" s="52">
        <f t="shared" si="53"/>
        <v>2265.1636075258684</v>
      </c>
      <c r="AO117" s="52">
        <f t="shared" si="54"/>
        <v>35.763047381633726</v>
      </c>
      <c r="AP117" s="52">
        <f t="shared" si="55"/>
        <v>417.26967412353991</v>
      </c>
      <c r="AR117" s="10">
        <v>13.005590673814535</v>
      </c>
      <c r="AS117" s="10">
        <v>65.867037507760102</v>
      </c>
      <c r="AT117" s="52">
        <f t="shared" si="63"/>
        <v>78.87262818157464</v>
      </c>
      <c r="AV117" s="52">
        <f t="shared" ca="1" si="60"/>
        <v>5.7286693456137101</v>
      </c>
      <c r="AW117" s="52">
        <f t="shared" ca="1" si="61"/>
        <v>5.7286693456137101</v>
      </c>
      <c r="AY117" s="10"/>
      <c r="AZ117" s="10"/>
      <c r="BA117" s="10"/>
      <c r="BB117" s="10"/>
      <c r="BC117" s="10"/>
      <c r="BD117" s="10"/>
      <c r="BE117" s="10"/>
      <c r="BF117" s="10"/>
      <c r="BG117" s="439"/>
      <c r="BH117" s="59"/>
      <c r="BI117" s="10"/>
      <c r="BJ117" s="10"/>
      <c r="BK117" s="10"/>
      <c r="BL117" s="10"/>
    </row>
    <row r="118" spans="1:64" ht="9.9499999999999993" customHeight="1" x14ac:dyDescent="0.15">
      <c r="A118" s="2"/>
      <c r="R118" s="57">
        <v>43511</v>
      </c>
      <c r="S118" s="227">
        <f t="shared" si="40"/>
        <v>15.343452169711846</v>
      </c>
      <c r="T118" s="227">
        <f t="shared" si="41"/>
        <v>77.656547830288162</v>
      </c>
      <c r="U118" s="460">
        <v>93</v>
      </c>
      <c r="V118" s="227">
        <f t="shared" si="42"/>
        <v>0.77542177631877085</v>
      </c>
      <c r="W118" s="227">
        <f t="shared" si="43"/>
        <v>3.924578223681229</v>
      </c>
      <c r="X118" s="460">
        <v>4.7</v>
      </c>
      <c r="Y118" s="227">
        <f t="shared" si="44"/>
        <v>4.1245839165892066</v>
      </c>
      <c r="Z118" s="227">
        <f t="shared" si="45"/>
        <v>20.875416083410794</v>
      </c>
      <c r="AA118" s="461">
        <v>25</v>
      </c>
      <c r="AB118" s="444">
        <f t="shared" si="46"/>
        <v>1278.7663079550441</v>
      </c>
      <c r="AC118" s="437">
        <f t="shared" si="47"/>
        <v>63.938315397752206</v>
      </c>
      <c r="AD118" s="52">
        <f t="shared" si="56"/>
        <v>5.9462633319909557</v>
      </c>
      <c r="AE118" s="52">
        <f t="shared" si="48"/>
        <v>127.87663079550441</v>
      </c>
      <c r="AF118" s="227">
        <f t="shared" si="57"/>
        <v>0.60102016473887077</v>
      </c>
      <c r="AG118" s="52">
        <f t="shared" si="49"/>
        <v>38.362989238651323</v>
      </c>
      <c r="AH118" s="227">
        <f t="shared" si="58"/>
        <v>0.95907473096628315</v>
      </c>
      <c r="AI118" s="61">
        <f t="shared" si="62"/>
        <v>7.5063582276961096</v>
      </c>
      <c r="AJ118" s="228">
        <f t="shared" si="50"/>
        <v>1.8816855526655323E-109</v>
      </c>
      <c r="AK118" s="229">
        <f t="shared" si="51"/>
        <v>6.9514253726295272E-2</v>
      </c>
      <c r="AL118" s="229">
        <f t="shared" si="52"/>
        <v>0.83290822405078624</v>
      </c>
      <c r="AM118" s="229">
        <f t="shared" si="59"/>
        <v>0.90242247777708151</v>
      </c>
      <c r="AN118" s="52">
        <f t="shared" si="53"/>
        <v>2256.0561944427036</v>
      </c>
      <c r="AO118" s="52">
        <f t="shared" si="54"/>
        <v>34.757126863147633</v>
      </c>
      <c r="AP118" s="52">
        <f t="shared" si="55"/>
        <v>416.4541120253931</v>
      </c>
      <c r="AR118" s="10">
        <v>11.925214231946883</v>
      </c>
      <c r="AS118" s="10">
        <v>60.356102339061025</v>
      </c>
      <c r="AT118" s="52">
        <f t="shared" si="63"/>
        <v>72.281316571007906</v>
      </c>
      <c r="AV118" s="52">
        <f t="shared" ca="1" si="60"/>
        <v>7.2316248066469848</v>
      </c>
      <c r="AW118" s="52">
        <f t="shared" ca="1" si="61"/>
        <v>7.2316248066469848</v>
      </c>
      <c r="AY118" s="10"/>
      <c r="AZ118" s="10"/>
      <c r="BA118" s="10"/>
      <c r="BB118" s="10"/>
      <c r="BC118" s="10"/>
      <c r="BD118" s="10"/>
      <c r="BE118" s="10"/>
      <c r="BF118" s="10"/>
      <c r="BG118" s="439"/>
      <c r="BH118" s="59"/>
      <c r="BI118" s="10"/>
      <c r="BJ118" s="10"/>
      <c r="BK118" s="10"/>
      <c r="BL118" s="10"/>
    </row>
    <row r="119" spans="1:64" ht="9.9499999999999993" customHeight="1" x14ac:dyDescent="0.15">
      <c r="A119" s="2"/>
      <c r="R119" s="57">
        <v>43539</v>
      </c>
      <c r="S119" s="227">
        <f>U119*AR119/AT119</f>
        <v>18.159812965674551</v>
      </c>
      <c r="T119" s="227">
        <f>U119*AS119/AT119</f>
        <v>91.840187034325453</v>
      </c>
      <c r="U119" s="460">
        <v>110</v>
      </c>
      <c r="V119" s="227">
        <f>X119*AR119/AT119</f>
        <v>1.9810705053463147</v>
      </c>
      <c r="W119" s="227">
        <f>X119*AS119/AT119</f>
        <v>10.018929494653685</v>
      </c>
      <c r="X119" s="460">
        <v>12</v>
      </c>
      <c r="Y119" s="227">
        <f>AA119*AR119/AT119</f>
        <v>2.4763381316828932</v>
      </c>
      <c r="Z119" s="227">
        <f>AA119*AS119/AT119</f>
        <v>12.523661868317108</v>
      </c>
      <c r="AA119" s="461">
        <v>15</v>
      </c>
      <c r="AB119" s="444">
        <f t="shared" si="46"/>
        <v>1550.2906552467909</v>
      </c>
      <c r="AC119" s="437">
        <f t="shared" si="47"/>
        <v>77.514532762339556</v>
      </c>
      <c r="AD119" s="52">
        <f t="shared" si="56"/>
        <v>8.5265986038573516</v>
      </c>
      <c r="AE119" s="52">
        <f t="shared" si="48"/>
        <v>155.02906552467911</v>
      </c>
      <c r="AF119" s="227">
        <f t="shared" si="57"/>
        <v>1.8603487862961492</v>
      </c>
      <c r="AG119" s="52">
        <f t="shared" si="49"/>
        <v>46.508719657403724</v>
      </c>
      <c r="AH119" s="227">
        <f t="shared" si="58"/>
        <v>0.69763079486105584</v>
      </c>
      <c r="AI119" s="61">
        <f t="shared" si="62"/>
        <v>11.084578185014557</v>
      </c>
      <c r="AJ119" s="228">
        <f t="shared" si="50"/>
        <v>1.6737745890129772E-110</v>
      </c>
      <c r="AK119" s="229">
        <f t="shared" si="51"/>
        <v>6.7745789880355969E-2</v>
      </c>
      <c r="AL119" s="229">
        <f t="shared" si="52"/>
        <v>0.83143769096637177</v>
      </c>
      <c r="AM119" s="229">
        <f t="shared" si="59"/>
        <v>0.89918348084672772</v>
      </c>
      <c r="AN119" s="52">
        <f t="shared" si="53"/>
        <v>2247.958702116819</v>
      </c>
      <c r="AO119" s="52">
        <f t="shared" si="54"/>
        <v>33.872894940177986</v>
      </c>
      <c r="AP119" s="52">
        <f t="shared" si="55"/>
        <v>415.71884548318587</v>
      </c>
      <c r="AQ119" s="473">
        <f>AO119/500</f>
        <v>6.7745789880355969E-2</v>
      </c>
      <c r="AR119" s="10">
        <v>10.49921663921751</v>
      </c>
      <c r="AS119" s="10">
        <v>53.098014923515528</v>
      </c>
      <c r="AT119" s="52">
        <f t="shared" si="63"/>
        <v>63.597231562733036</v>
      </c>
      <c r="AV119" s="52">
        <f t="shared" ca="1" si="60"/>
        <v>10.717348545849751</v>
      </c>
      <c r="AW119" s="52">
        <f t="shared" ca="1" si="61"/>
        <v>10.717348545849751</v>
      </c>
      <c r="AY119" s="10"/>
      <c r="AZ119" s="10"/>
      <c r="BA119" s="10"/>
      <c r="BB119" s="10"/>
      <c r="BC119" s="10"/>
      <c r="BD119" s="10"/>
      <c r="BE119" s="10"/>
      <c r="BF119" s="10"/>
      <c r="BG119" s="439"/>
      <c r="BH119" s="59"/>
      <c r="BI119" s="10"/>
      <c r="BJ119" s="10"/>
      <c r="BK119" s="10"/>
      <c r="BL119" s="10"/>
    </row>
    <row r="120" spans="1:64" ht="9.9499999999999993" customHeight="1" x14ac:dyDescent="0.15">
      <c r="A120" s="2"/>
      <c r="R120" s="16"/>
      <c r="S120" s="16" t="s">
        <v>697</v>
      </c>
      <c r="T120" s="17"/>
      <c r="U120" s="17"/>
      <c r="V120" s="17"/>
      <c r="W120" s="17"/>
      <c r="X120" s="18"/>
      <c r="Y120" s="428"/>
      <c r="Z120" s="428"/>
      <c r="AA120" s="438"/>
      <c r="AB120" s="490" t="s">
        <v>78</v>
      </c>
      <c r="AC120" s="493" t="s">
        <v>68</v>
      </c>
      <c r="AD120" s="496" t="s">
        <v>75</v>
      </c>
      <c r="AE120" s="508" t="s">
        <v>126</v>
      </c>
      <c r="AF120" s="496" t="s">
        <v>76</v>
      </c>
      <c r="AG120" s="431"/>
      <c r="AH120" s="431"/>
      <c r="AI120" s="499" t="s">
        <v>77</v>
      </c>
      <c r="AJ120" s="502" t="s">
        <v>72</v>
      </c>
      <c r="AK120" s="486" t="s">
        <v>189</v>
      </c>
      <c r="AL120" s="486" t="s">
        <v>190</v>
      </c>
      <c r="AM120" s="488" t="s">
        <v>73</v>
      </c>
      <c r="AN120" s="488" t="s">
        <v>74</v>
      </c>
      <c r="AO120" s="486" t="s">
        <v>191</v>
      </c>
      <c r="AP120" s="486" t="s">
        <v>192</v>
      </c>
      <c r="AR120" s="73" t="s">
        <v>2</v>
      </c>
      <c r="AS120" s="73" t="s">
        <v>3</v>
      </c>
      <c r="AT120" s="73" t="s">
        <v>3</v>
      </c>
      <c r="AY120" s="10"/>
      <c r="AZ120" s="10"/>
      <c r="BA120" s="10"/>
      <c r="BB120" s="10"/>
      <c r="BC120" s="10"/>
      <c r="BD120" s="10"/>
      <c r="BE120" s="10"/>
      <c r="BF120" s="10"/>
      <c r="BG120" s="439"/>
      <c r="BH120" s="59"/>
      <c r="BI120" s="10"/>
      <c r="BJ120" s="10"/>
      <c r="BK120" s="10"/>
      <c r="BL120" s="10"/>
    </row>
    <row r="121" spans="1:64" ht="9.9499999999999993" customHeight="1" x14ac:dyDescent="0.15">
      <c r="A121" s="2"/>
      <c r="R121" s="15"/>
      <c r="S121" s="10" t="s">
        <v>1</v>
      </c>
      <c r="T121" s="10"/>
      <c r="U121" s="10"/>
      <c r="V121" s="10" t="s">
        <v>4</v>
      </c>
      <c r="W121" s="10"/>
      <c r="X121" s="10"/>
      <c r="Y121" s="429"/>
      <c r="Z121" s="429"/>
      <c r="AA121" s="446"/>
      <c r="AB121" s="491"/>
      <c r="AC121" s="494"/>
      <c r="AD121" s="497"/>
      <c r="AE121" s="509"/>
      <c r="AF121" s="497"/>
      <c r="AG121" s="432"/>
      <c r="AH121" s="432"/>
      <c r="AI121" s="500"/>
      <c r="AJ121" s="503"/>
      <c r="AK121" s="487"/>
      <c r="AL121" s="487"/>
      <c r="AM121" s="489"/>
      <c r="AN121" s="489"/>
      <c r="AO121" s="487"/>
      <c r="AP121" s="487"/>
    </row>
    <row r="122" spans="1:64" ht="9.9499999999999993" customHeight="1" x14ac:dyDescent="0.15">
      <c r="A122" s="2"/>
      <c r="R122" s="19" t="s">
        <v>70</v>
      </c>
      <c r="S122" s="73" t="s">
        <v>2</v>
      </c>
      <c r="T122" s="73" t="s">
        <v>3</v>
      </c>
      <c r="U122" s="14" t="s">
        <v>79</v>
      </c>
      <c r="V122" s="73" t="s">
        <v>2</v>
      </c>
      <c r="W122" s="73" t="s">
        <v>3</v>
      </c>
      <c r="X122" s="14" t="s">
        <v>79</v>
      </c>
      <c r="Y122" s="430"/>
      <c r="Z122" s="430"/>
      <c r="AA122" s="441"/>
      <c r="AB122" s="492"/>
      <c r="AC122" s="495"/>
      <c r="AD122" s="498"/>
      <c r="AE122" s="510"/>
      <c r="AF122" s="498"/>
      <c r="AG122" s="433"/>
      <c r="AH122" s="433"/>
      <c r="AI122" s="501"/>
      <c r="AJ122" s="503"/>
      <c r="AK122" s="487"/>
      <c r="AL122" s="487"/>
      <c r="AM122" s="489"/>
      <c r="AN122" s="489"/>
      <c r="AO122" s="487"/>
      <c r="AP122" s="487"/>
    </row>
    <row r="123" spans="1:64" ht="12" customHeight="1" x14ac:dyDescent="0.15">
      <c r="A123" s="2"/>
      <c r="J123" s="9"/>
      <c r="K123" s="9"/>
      <c r="M123" s="5"/>
      <c r="N123" s="5"/>
      <c r="O123" s="5"/>
      <c r="P123" s="5"/>
      <c r="S123" s="12"/>
      <c r="T123" s="2"/>
      <c r="X123" s="2"/>
      <c r="Y123" s="2"/>
      <c r="Z123" s="2"/>
      <c r="AA123" s="2"/>
      <c r="AB123" s="64" t="s">
        <v>83</v>
      </c>
      <c r="AC123" s="65" t="s">
        <v>84</v>
      </c>
      <c r="AI123" s="62"/>
      <c r="AJ123" s="221">
        <f>8.021/365.25</f>
        <v>2.1960301163586587E-2</v>
      </c>
      <c r="AK123" s="221">
        <v>2.0619999999999998</v>
      </c>
      <c r="AL123" s="222">
        <v>30.07</v>
      </c>
      <c r="AM123" s="212" t="s">
        <v>71</v>
      </c>
      <c r="AN123" s="223"/>
      <c r="AO123" s="223"/>
      <c r="AP123" s="223"/>
    </row>
    <row r="124" spans="1:64" ht="12" customHeight="1" x14ac:dyDescent="0.15">
      <c r="A124" s="2"/>
      <c r="J124" s="9"/>
      <c r="K124" s="9"/>
      <c r="M124" s="5"/>
      <c r="N124" s="5"/>
      <c r="O124" s="5"/>
      <c r="P124" s="5"/>
      <c r="X124" s="2"/>
      <c r="Y124" s="2"/>
      <c r="Z124" s="2"/>
      <c r="AA124" s="2"/>
    </row>
    <row r="125" spans="1:64" ht="12" customHeight="1" x14ac:dyDescent="0.15">
      <c r="A125" s="2"/>
      <c r="J125" s="8"/>
      <c r="K125" s="8"/>
      <c r="M125" s="5"/>
      <c r="N125" s="5"/>
      <c r="O125" s="5"/>
      <c r="P125" s="5"/>
      <c r="Q125" s="5"/>
      <c r="R125" s="5"/>
      <c r="S125" s="5"/>
      <c r="T125" s="5"/>
      <c r="U125" s="5"/>
      <c r="V125" s="5"/>
    </row>
    <row r="126" spans="1:64" ht="12" customHeight="1" x14ac:dyDescent="0.15">
      <c r="A126" s="2"/>
      <c r="J126" s="9"/>
      <c r="K126" s="9"/>
      <c r="M126" s="5"/>
      <c r="N126" s="5"/>
      <c r="O126" s="5"/>
      <c r="P126" s="5"/>
      <c r="Q126" s="5"/>
      <c r="R126" s="5"/>
      <c r="S126" s="5"/>
      <c r="T126" s="5"/>
      <c r="U126" s="5"/>
      <c r="V126" s="5"/>
      <c r="AK126" s="2"/>
      <c r="AL126" s="2"/>
      <c r="AP126" s="2"/>
    </row>
    <row r="127" spans="1:64" ht="12" customHeight="1" x14ac:dyDescent="0.15">
      <c r="A127" s="2"/>
      <c r="J127" s="8"/>
      <c r="K127" s="8"/>
      <c r="M127" s="5"/>
      <c r="N127" s="5"/>
      <c r="O127" s="5"/>
      <c r="P127" s="5"/>
      <c r="Q127" s="5"/>
      <c r="R127" s="5"/>
      <c r="S127" s="5"/>
      <c r="T127" s="5"/>
      <c r="U127" s="5"/>
      <c r="V127" s="5"/>
      <c r="AK127" s="2"/>
      <c r="AL127" s="2"/>
      <c r="AP127" s="2"/>
    </row>
    <row r="128" spans="1:64" ht="12" customHeight="1" x14ac:dyDescent="0.15">
      <c r="A128" s="2"/>
      <c r="J128" s="8"/>
      <c r="K128" s="8"/>
      <c r="M128" s="5"/>
      <c r="N128" s="5"/>
      <c r="O128" s="5"/>
      <c r="P128" s="5"/>
      <c r="Q128" s="5"/>
      <c r="R128" s="5"/>
      <c r="S128" s="5"/>
      <c r="T128" s="5"/>
      <c r="U128" s="5"/>
      <c r="V128" s="5"/>
      <c r="AK128" s="2"/>
      <c r="AL128" s="2"/>
      <c r="AP128" s="2"/>
    </row>
    <row r="129" spans="1:43" ht="12" customHeight="1" x14ac:dyDescent="0.15">
      <c r="A129" s="2"/>
      <c r="M129" s="5"/>
      <c r="N129" s="5"/>
      <c r="O129" s="5"/>
      <c r="P129" s="5"/>
      <c r="Q129" s="5"/>
      <c r="R129" s="5"/>
      <c r="S129" s="5"/>
      <c r="T129" s="5"/>
      <c r="U129" s="5"/>
      <c r="V129" s="5"/>
      <c r="AK129" s="2"/>
      <c r="AL129" s="2"/>
      <c r="AP129" s="2"/>
    </row>
    <row r="130" spans="1:43" ht="12" customHeight="1" x14ac:dyDescent="0.15">
      <c r="A130" s="2"/>
      <c r="M130" s="5"/>
      <c r="N130" s="5"/>
      <c r="O130" s="5"/>
      <c r="P130" s="5"/>
      <c r="Q130" s="5"/>
      <c r="R130" s="5"/>
      <c r="S130" s="5"/>
      <c r="T130" s="5"/>
      <c r="U130" s="5"/>
      <c r="V130" s="5"/>
      <c r="X130" s="2"/>
      <c r="Y130" s="2"/>
      <c r="Z130" s="2"/>
      <c r="AA130" s="2"/>
      <c r="AK130" s="2"/>
      <c r="AL130" s="2"/>
      <c r="AP130" s="2"/>
    </row>
    <row r="131" spans="1:43" ht="12" customHeight="1" x14ac:dyDescent="0.15">
      <c r="A131" s="2"/>
      <c r="M131" s="5"/>
      <c r="N131" s="5"/>
      <c r="O131" s="5"/>
      <c r="P131" s="5"/>
      <c r="Q131" s="5"/>
      <c r="R131" s="5"/>
      <c r="S131" s="5"/>
      <c r="T131" s="5"/>
      <c r="U131" s="5"/>
      <c r="V131" s="5"/>
      <c r="X131" s="2"/>
      <c r="Y131" s="2"/>
      <c r="Z131" s="2"/>
      <c r="AA131" s="2"/>
      <c r="AK131" s="2"/>
      <c r="AL131" s="2"/>
      <c r="AP131" s="2"/>
      <c r="AQ131" s="470"/>
    </row>
    <row r="132" spans="1:43" ht="12" customHeight="1" x14ac:dyDescent="0.15">
      <c r="A132" s="2"/>
      <c r="M132" s="5"/>
      <c r="N132" s="5"/>
      <c r="O132" s="5"/>
      <c r="P132" s="5"/>
      <c r="T132" s="2"/>
      <c r="X132" s="2"/>
      <c r="Y132" s="2"/>
      <c r="Z132" s="2"/>
      <c r="AA132" s="2"/>
      <c r="AK132" s="2"/>
      <c r="AL132" s="2"/>
      <c r="AP132" s="2"/>
      <c r="AQ132" s="470"/>
    </row>
    <row r="133" spans="1:43" ht="12" customHeight="1" x14ac:dyDescent="0.15">
      <c r="A133" s="2"/>
      <c r="M133" s="5"/>
      <c r="N133" s="5"/>
      <c r="O133" s="5"/>
      <c r="P133" s="5"/>
      <c r="T133" s="2"/>
      <c r="X133" s="2"/>
      <c r="Y133" s="2"/>
      <c r="Z133" s="2"/>
      <c r="AA133" s="2"/>
      <c r="AK133" s="2"/>
      <c r="AL133" s="2"/>
      <c r="AP133" s="2"/>
      <c r="AQ133" s="470"/>
    </row>
    <row r="134" spans="1:43" ht="12" customHeight="1" x14ac:dyDescent="0.15">
      <c r="A134" s="2"/>
      <c r="M134" s="5"/>
      <c r="N134" s="5"/>
      <c r="O134" s="5"/>
      <c r="P134" s="5"/>
      <c r="U134" s="4"/>
      <c r="V134" s="4"/>
      <c r="W134" s="4"/>
      <c r="AK134" s="2"/>
      <c r="AL134" s="2"/>
      <c r="AP134" s="2"/>
      <c r="AQ134" s="470"/>
    </row>
    <row r="135" spans="1:43" ht="12" customHeight="1" x14ac:dyDescent="0.15">
      <c r="A135" s="2"/>
      <c r="M135" s="5"/>
      <c r="N135" s="5"/>
      <c r="O135" s="5"/>
      <c r="P135" s="5"/>
      <c r="V135" s="4"/>
      <c r="W135" s="4"/>
      <c r="AK135" s="2"/>
      <c r="AL135" s="2"/>
      <c r="AP135" s="2"/>
      <c r="AQ135" s="470"/>
    </row>
    <row r="136" spans="1:43" ht="12" customHeight="1" x14ac:dyDescent="0.15">
      <c r="A136" s="2"/>
      <c r="M136" s="5"/>
      <c r="N136" s="5"/>
      <c r="O136" s="5"/>
      <c r="P136" s="5"/>
      <c r="U136" s="5"/>
      <c r="V136" s="4"/>
      <c r="W136" s="4"/>
      <c r="AK136" s="2"/>
      <c r="AL136" s="2"/>
      <c r="AP136" s="2"/>
      <c r="AQ136" s="470"/>
    </row>
    <row r="137" spans="1:43" ht="12" customHeight="1" x14ac:dyDescent="0.15">
      <c r="A137" s="2"/>
      <c r="M137" s="5"/>
      <c r="N137" s="5"/>
      <c r="O137" s="5"/>
      <c r="P137" s="5"/>
      <c r="U137" s="4"/>
      <c r="V137" s="4"/>
      <c r="W137" s="4"/>
      <c r="AK137" s="2"/>
      <c r="AL137" s="2"/>
      <c r="AP137" s="2"/>
      <c r="AQ137" s="470"/>
    </row>
    <row r="138" spans="1:43" ht="12" customHeight="1" x14ac:dyDescent="0.15">
      <c r="A138" s="2"/>
      <c r="M138" s="5"/>
      <c r="N138" s="5"/>
      <c r="O138" s="5"/>
      <c r="P138" s="5"/>
      <c r="U138" s="9"/>
      <c r="V138" s="4"/>
      <c r="W138" s="4"/>
      <c r="AK138" s="2"/>
      <c r="AL138" s="2"/>
      <c r="AP138" s="2"/>
      <c r="AQ138" s="470"/>
    </row>
    <row r="139" spans="1:43" ht="12" customHeight="1" x14ac:dyDescent="0.15">
      <c r="A139" s="2"/>
      <c r="M139" s="5"/>
      <c r="N139" s="5"/>
      <c r="O139" s="5"/>
      <c r="P139" s="5"/>
      <c r="U139" s="9"/>
      <c r="V139" s="7"/>
      <c r="W139" s="7"/>
      <c r="AK139" s="2"/>
      <c r="AL139" s="2"/>
      <c r="AP139" s="2"/>
      <c r="AQ139" s="470"/>
    </row>
    <row r="140" spans="1:43" ht="12" customHeight="1" x14ac:dyDescent="0.15">
      <c r="A140" s="2"/>
      <c r="M140" s="5"/>
      <c r="N140" s="5"/>
      <c r="O140" s="5"/>
      <c r="P140" s="5"/>
      <c r="U140" s="8"/>
      <c r="V140" s="4"/>
      <c r="W140" s="4"/>
      <c r="AK140" s="2"/>
      <c r="AL140" s="2"/>
      <c r="AP140" s="2"/>
      <c r="AQ140" s="470"/>
    </row>
    <row r="141" spans="1:43" ht="12" customHeight="1" x14ac:dyDescent="0.15">
      <c r="A141" s="2"/>
      <c r="M141" s="5"/>
      <c r="N141" s="5"/>
      <c r="O141" s="5"/>
      <c r="P141" s="5"/>
      <c r="U141" s="9"/>
      <c r="AK141" s="2"/>
      <c r="AL141" s="2"/>
      <c r="AP141" s="2"/>
      <c r="AQ141" s="470"/>
    </row>
    <row r="142" spans="1:43" ht="12" customHeight="1" x14ac:dyDescent="0.15">
      <c r="A142" s="2"/>
      <c r="M142" s="5"/>
      <c r="N142" s="5"/>
      <c r="O142" s="5"/>
      <c r="P142" s="5"/>
      <c r="U142" s="9"/>
      <c r="V142" s="5"/>
      <c r="W142" s="5"/>
      <c r="AK142" s="2"/>
      <c r="AL142" s="2"/>
      <c r="AP142" s="2"/>
      <c r="AQ142" s="470"/>
    </row>
    <row r="143" spans="1:43" ht="12" customHeight="1" x14ac:dyDescent="0.15">
      <c r="A143" s="2"/>
      <c r="M143" s="5"/>
      <c r="N143" s="5"/>
      <c r="O143" s="5"/>
      <c r="P143" s="5"/>
      <c r="U143" s="9"/>
      <c r="V143" s="4"/>
      <c r="W143" s="4"/>
    </row>
    <row r="144" spans="1:43" ht="12" customHeight="1" x14ac:dyDescent="0.15">
      <c r="A144" s="2"/>
      <c r="M144" s="5"/>
      <c r="N144" s="5"/>
      <c r="O144" s="5"/>
      <c r="P144" s="5"/>
      <c r="U144" s="8"/>
      <c r="V144" s="9"/>
      <c r="W144" s="9"/>
    </row>
    <row r="145" spans="1:43" ht="12" customHeight="1" x14ac:dyDescent="0.15">
      <c r="A145" s="2"/>
      <c r="M145" s="5"/>
      <c r="N145" s="5"/>
      <c r="O145" s="5"/>
      <c r="P145" s="5"/>
      <c r="U145" s="9"/>
      <c r="V145" s="9"/>
      <c r="W145" s="9"/>
    </row>
    <row r="146" spans="1:43" ht="12" customHeight="1" x14ac:dyDescent="0.15">
      <c r="A146" s="2"/>
      <c r="M146" s="5"/>
      <c r="N146" s="5"/>
      <c r="O146" s="5"/>
      <c r="P146" s="5"/>
      <c r="U146" s="6"/>
      <c r="V146" s="8"/>
      <c r="W146" s="8"/>
    </row>
    <row r="147" spans="1:43" ht="12" customHeight="1" x14ac:dyDescent="0.15">
      <c r="A147" s="2"/>
      <c r="U147" s="6"/>
      <c r="V147" s="9"/>
      <c r="W147" s="9"/>
    </row>
    <row r="148" spans="1:43" ht="12" customHeight="1" x14ac:dyDescent="0.15">
      <c r="A148" s="2"/>
      <c r="U148" s="4"/>
      <c r="V148" s="9"/>
      <c r="W148" s="9"/>
    </row>
    <row r="149" spans="1:43" ht="12" customHeight="1" x14ac:dyDescent="0.15">
      <c r="A149" s="2"/>
      <c r="U149" s="7"/>
      <c r="V149" s="9"/>
      <c r="W149" s="9"/>
    </row>
    <row r="150" spans="1:43" ht="12" customHeight="1" x14ac:dyDescent="0.15">
      <c r="A150" s="2"/>
      <c r="U150" s="7"/>
      <c r="V150" s="8"/>
      <c r="W150" s="8"/>
    </row>
    <row r="151" spans="1:43" ht="12" customHeight="1" x14ac:dyDescent="0.15">
      <c r="A151" s="2"/>
      <c r="U151" s="7"/>
      <c r="V151" s="9"/>
      <c r="W151" s="9"/>
    </row>
    <row r="152" spans="1:43" ht="12" customHeight="1" x14ac:dyDescent="0.15">
      <c r="A152" s="2"/>
      <c r="U152" s="7"/>
      <c r="V152" s="6"/>
      <c r="W152" s="6"/>
    </row>
    <row r="153" spans="1:43" ht="12" customHeight="1" x14ac:dyDescent="0.15">
      <c r="A153" s="2"/>
      <c r="U153" s="7"/>
      <c r="V153" s="6"/>
      <c r="W153" s="6"/>
    </row>
    <row r="154" spans="1:43" ht="12" customHeight="1" x14ac:dyDescent="0.15">
      <c r="A154" s="2"/>
      <c r="U154" s="7"/>
      <c r="V154" s="4"/>
      <c r="W154" s="4"/>
    </row>
    <row r="155" spans="1:43" ht="12" customHeight="1" x14ac:dyDescent="0.15">
      <c r="A155" s="2"/>
      <c r="U155" s="7"/>
      <c r="V155" s="7"/>
      <c r="W155" s="7"/>
    </row>
    <row r="156" spans="1:43" ht="12" customHeight="1" x14ac:dyDescent="0.15">
      <c r="A156" s="2"/>
      <c r="U156" s="7"/>
      <c r="V156" s="7"/>
      <c r="W156" s="7"/>
    </row>
    <row r="157" spans="1:43" ht="12" customHeight="1" x14ac:dyDescent="0.15">
      <c r="A157" s="2"/>
      <c r="U157" s="7"/>
      <c r="V157" s="7"/>
      <c r="W157" s="7"/>
    </row>
    <row r="158" spans="1:43" ht="12" customHeight="1" x14ac:dyDescent="0.15">
      <c r="A158" s="2"/>
      <c r="U158" s="7"/>
      <c r="V158" s="7"/>
      <c r="W158" s="7"/>
    </row>
    <row r="159" spans="1:43" ht="12" customHeight="1" x14ac:dyDescent="0.15">
      <c r="A159" s="2"/>
      <c r="U159" s="7"/>
      <c r="V159" s="7"/>
      <c r="W159" s="7"/>
    </row>
    <row r="160" spans="1:43" ht="12" customHeight="1" x14ac:dyDescent="0.15">
      <c r="A160" s="2"/>
      <c r="U160" s="7"/>
      <c r="V160" s="7"/>
      <c r="W160" s="7"/>
      <c r="AK160" s="2"/>
      <c r="AL160" s="2"/>
      <c r="AP160" s="2"/>
      <c r="AQ160" s="470"/>
    </row>
    <row r="161" spans="1:43" ht="12" customHeight="1" x14ac:dyDescent="0.15">
      <c r="A161" s="2"/>
      <c r="U161" s="7"/>
      <c r="V161" s="7"/>
      <c r="W161" s="7"/>
      <c r="AK161" s="2"/>
      <c r="AL161" s="2"/>
      <c r="AP161" s="2"/>
      <c r="AQ161" s="470"/>
    </row>
    <row r="162" spans="1:43" ht="12" customHeight="1" x14ac:dyDescent="0.15">
      <c r="A162" s="2"/>
      <c r="U162" s="7"/>
      <c r="V162" s="7"/>
      <c r="W162" s="7"/>
      <c r="AK162" s="2"/>
      <c r="AL162" s="2"/>
      <c r="AP162" s="2"/>
      <c r="AQ162" s="470"/>
    </row>
    <row r="163" spans="1:43" ht="12" customHeight="1" x14ac:dyDescent="0.15">
      <c r="A163" s="2"/>
      <c r="U163" s="7"/>
      <c r="V163" s="7"/>
      <c r="W163" s="7"/>
    </row>
    <row r="164" spans="1:43" ht="12" customHeight="1" x14ac:dyDescent="0.15">
      <c r="A164" s="2"/>
      <c r="U164" s="7"/>
      <c r="V164" s="7"/>
      <c r="W164" s="7"/>
    </row>
    <row r="165" spans="1:43" ht="12" customHeight="1" x14ac:dyDescent="0.15">
      <c r="A165" s="2"/>
      <c r="U165" s="7"/>
      <c r="V165" s="7"/>
      <c r="W165" s="7"/>
    </row>
    <row r="166" spans="1:43" ht="12" customHeight="1" x14ac:dyDescent="0.15">
      <c r="A166" s="2"/>
      <c r="U166" s="7"/>
      <c r="V166" s="7"/>
      <c r="W166" s="7"/>
    </row>
    <row r="167" spans="1:43" ht="12" customHeight="1" x14ac:dyDescent="0.15">
      <c r="A167" s="2"/>
      <c r="U167" s="7"/>
      <c r="V167" s="7"/>
      <c r="W167" s="7"/>
    </row>
    <row r="168" spans="1:43" ht="12" customHeight="1" x14ac:dyDescent="0.15">
      <c r="A168" s="2"/>
      <c r="U168" s="7"/>
      <c r="V168" s="7"/>
      <c r="W168" s="7"/>
    </row>
    <row r="169" spans="1:43" ht="12" customHeight="1" x14ac:dyDescent="0.15">
      <c r="A169" s="2"/>
      <c r="U169" s="7"/>
      <c r="V169" s="7"/>
      <c r="W169" s="7"/>
    </row>
    <row r="170" spans="1:43" ht="12" customHeight="1" x14ac:dyDescent="0.15">
      <c r="A170" s="2"/>
      <c r="U170" s="7"/>
      <c r="V170" s="7"/>
      <c r="W170" s="7"/>
    </row>
    <row r="171" spans="1:43" ht="12" customHeight="1" x14ac:dyDescent="0.15">
      <c r="A171" s="2"/>
      <c r="U171" s="7"/>
      <c r="V171" s="7"/>
      <c r="W171" s="7"/>
    </row>
    <row r="172" spans="1:43" ht="12" customHeight="1" x14ac:dyDescent="0.15">
      <c r="A172" s="2"/>
      <c r="U172" s="7"/>
      <c r="V172" s="7"/>
      <c r="W172" s="7"/>
    </row>
    <row r="173" spans="1:43" ht="12" customHeight="1" x14ac:dyDescent="0.15">
      <c r="A173" s="2"/>
      <c r="U173" s="7"/>
      <c r="V173" s="7"/>
      <c r="W173" s="7"/>
    </row>
    <row r="174" spans="1:43" ht="12" customHeight="1" x14ac:dyDescent="0.15">
      <c r="A174" s="2"/>
      <c r="U174" s="7"/>
      <c r="V174" s="7"/>
      <c r="W174" s="7"/>
    </row>
    <row r="175" spans="1:43" ht="12" customHeight="1" x14ac:dyDescent="0.15">
      <c r="A175" s="2"/>
      <c r="U175" s="9"/>
      <c r="V175" s="7"/>
      <c r="W175" s="7"/>
    </row>
    <row r="176" spans="1:43" ht="12" customHeight="1" x14ac:dyDescent="0.15">
      <c r="A176" s="2"/>
      <c r="U176" s="9"/>
      <c r="V176" s="7"/>
      <c r="W176" s="7"/>
    </row>
    <row r="177" spans="1:23" ht="12" customHeight="1" x14ac:dyDescent="0.15">
      <c r="A177" s="2"/>
      <c r="U177" s="9"/>
      <c r="V177" s="7"/>
      <c r="W177" s="7"/>
    </row>
    <row r="178" spans="1:23" ht="12" customHeight="1" x14ac:dyDescent="0.15">
      <c r="A178" s="2"/>
      <c r="U178" s="9"/>
      <c r="V178" s="7"/>
      <c r="W178" s="7"/>
    </row>
    <row r="179" spans="1:23" ht="12" customHeight="1" x14ac:dyDescent="0.15">
      <c r="A179" s="2"/>
      <c r="U179" s="9"/>
      <c r="V179" s="7"/>
      <c r="W179" s="7"/>
    </row>
    <row r="180" spans="1:23" ht="12" customHeight="1" x14ac:dyDescent="0.15">
      <c r="A180" s="2"/>
      <c r="U180" s="9"/>
      <c r="V180" s="7"/>
      <c r="W180" s="7"/>
    </row>
    <row r="181" spans="1:23" ht="12" customHeight="1" x14ac:dyDescent="0.15">
      <c r="A181" s="2"/>
      <c r="U181" s="9"/>
      <c r="V181" s="9"/>
      <c r="W181" s="9"/>
    </row>
    <row r="182" spans="1:23" ht="12" customHeight="1" x14ac:dyDescent="0.15">
      <c r="A182" s="2"/>
      <c r="U182" s="9"/>
      <c r="V182" s="9"/>
      <c r="W182" s="9"/>
    </row>
    <row r="183" spans="1:23" ht="12" customHeight="1" x14ac:dyDescent="0.15">
      <c r="A183" s="2"/>
      <c r="U183" s="9"/>
      <c r="V183" s="9"/>
      <c r="W183" s="9"/>
    </row>
    <row r="184" spans="1:23" ht="12" customHeight="1" x14ac:dyDescent="0.15">
      <c r="A184" s="2"/>
      <c r="U184" s="9"/>
      <c r="V184" s="9"/>
      <c r="W184" s="9"/>
    </row>
    <row r="185" spans="1:23" ht="12" customHeight="1" x14ac:dyDescent="0.15">
      <c r="A185" s="2"/>
      <c r="U185" s="4"/>
      <c r="V185" s="9"/>
      <c r="W185" s="9"/>
    </row>
    <row r="186" spans="1:23" ht="12" customHeight="1" x14ac:dyDescent="0.15">
      <c r="A186" s="2"/>
      <c r="U186" s="4"/>
      <c r="V186" s="9"/>
      <c r="W186" s="9"/>
    </row>
    <row r="187" spans="1:23" ht="12" customHeight="1" x14ac:dyDescent="0.15">
      <c r="A187" s="2"/>
      <c r="U187" s="4"/>
      <c r="V187" s="9"/>
      <c r="W187" s="9"/>
    </row>
    <row r="188" spans="1:23" ht="12" customHeight="1" x14ac:dyDescent="0.15">
      <c r="A188" s="2"/>
      <c r="U188" s="7"/>
      <c r="V188" s="9"/>
      <c r="W188" s="9"/>
    </row>
    <row r="189" spans="1:23" ht="12" customHeight="1" x14ac:dyDescent="0.15">
      <c r="A189" s="2"/>
      <c r="U189" s="7"/>
      <c r="V189" s="9"/>
      <c r="W189" s="9"/>
    </row>
    <row r="190" spans="1:23" ht="12" customHeight="1" x14ac:dyDescent="0.15">
      <c r="A190" s="2"/>
      <c r="U190" s="7"/>
      <c r="V190" s="9"/>
      <c r="W190" s="9"/>
    </row>
    <row r="191" spans="1:23" ht="12" customHeight="1" x14ac:dyDescent="0.15">
      <c r="A191" s="2"/>
      <c r="U191" s="7"/>
      <c r="V191" s="4"/>
      <c r="W191" s="4"/>
    </row>
    <row r="192" spans="1:23" ht="12" customHeight="1" x14ac:dyDescent="0.15">
      <c r="A192" s="2"/>
      <c r="U192" s="4"/>
      <c r="V192" s="4"/>
      <c r="W192" s="4"/>
    </row>
    <row r="193" spans="1:23" ht="12" customHeight="1" x14ac:dyDescent="0.15">
      <c r="A193" s="2"/>
      <c r="U193" s="7"/>
      <c r="V193" s="4"/>
      <c r="W193" s="4"/>
    </row>
    <row r="194" spans="1:23" ht="12" customHeight="1" x14ac:dyDescent="0.15">
      <c r="A194" s="2"/>
      <c r="U194" s="7"/>
      <c r="V194" s="7"/>
      <c r="W194" s="7"/>
    </row>
    <row r="195" spans="1:23" ht="12" customHeight="1" x14ac:dyDescent="0.15">
      <c r="A195" s="2"/>
      <c r="U195" s="4"/>
      <c r="V195" s="7"/>
      <c r="W195" s="7"/>
    </row>
    <row r="196" spans="1:23" ht="12" customHeight="1" x14ac:dyDescent="0.15">
      <c r="A196" s="2"/>
      <c r="U196" s="4"/>
      <c r="V196" s="7"/>
      <c r="W196" s="7"/>
    </row>
    <row r="197" spans="1:23" ht="12" customHeight="1" x14ac:dyDescent="0.15">
      <c r="A197" s="2"/>
      <c r="U197" s="4"/>
      <c r="V197" s="7"/>
      <c r="W197" s="7"/>
    </row>
    <row r="198" spans="1:23" ht="12" customHeight="1" x14ac:dyDescent="0.15">
      <c r="A198" s="2"/>
      <c r="U198" s="4"/>
      <c r="V198" s="4"/>
      <c r="W198" s="4"/>
    </row>
    <row r="199" spans="1:23" ht="12" customHeight="1" x14ac:dyDescent="0.15">
      <c r="A199" s="2"/>
      <c r="U199" s="4"/>
      <c r="V199" s="7"/>
      <c r="W199" s="7"/>
    </row>
    <row r="200" spans="1:23" ht="12" customHeight="1" x14ac:dyDescent="0.15">
      <c r="A200" s="2"/>
      <c r="U200" s="4"/>
      <c r="V200" s="7"/>
      <c r="W200" s="7"/>
    </row>
    <row r="201" spans="1:23" ht="12" customHeight="1" x14ac:dyDescent="0.15">
      <c r="A201" s="2"/>
      <c r="U201" s="4"/>
      <c r="V201" s="4"/>
      <c r="W201" s="4"/>
    </row>
    <row r="202" spans="1:23" ht="12" customHeight="1" x14ac:dyDescent="0.15">
      <c r="A202" s="2"/>
      <c r="U202" s="4"/>
      <c r="V202" s="4"/>
      <c r="W202" s="4"/>
    </row>
    <row r="203" spans="1:23" ht="12" customHeight="1" x14ac:dyDescent="0.15">
      <c r="A203" s="2"/>
      <c r="U203" s="4"/>
      <c r="V203" s="4"/>
      <c r="W203" s="4"/>
    </row>
    <row r="204" spans="1:23" ht="12" customHeight="1" x14ac:dyDescent="0.15">
      <c r="A204" s="2"/>
      <c r="U204" s="4"/>
      <c r="V204" s="4"/>
      <c r="W204" s="4"/>
    </row>
    <row r="205" spans="1:23" ht="12" customHeight="1" x14ac:dyDescent="0.15">
      <c r="A205" s="2"/>
      <c r="U205" s="8"/>
      <c r="V205" s="4"/>
      <c r="W205" s="4"/>
    </row>
    <row r="206" spans="1:23" ht="12" customHeight="1" x14ac:dyDescent="0.15">
      <c r="A206" s="2"/>
      <c r="U206" s="4"/>
      <c r="V206" s="4"/>
      <c r="W206" s="4"/>
    </row>
    <row r="207" spans="1:23" ht="12" customHeight="1" x14ac:dyDescent="0.15">
      <c r="A207" s="2"/>
      <c r="U207" s="7"/>
      <c r="V207" s="4"/>
      <c r="W207" s="4"/>
    </row>
    <row r="208" spans="1:23" ht="12" customHeight="1" x14ac:dyDescent="0.15">
      <c r="A208" s="2"/>
      <c r="U208" s="4"/>
      <c r="V208" s="4"/>
      <c r="W208" s="4"/>
    </row>
    <row r="209" spans="1:23" ht="12" customHeight="1" x14ac:dyDescent="0.15">
      <c r="A209" s="2"/>
      <c r="U209" s="7"/>
      <c r="V209" s="4"/>
      <c r="W209" s="4"/>
    </row>
    <row r="210" spans="1:23" ht="12" customHeight="1" x14ac:dyDescent="0.15">
      <c r="A210" s="2"/>
      <c r="U210" s="7"/>
      <c r="V210" s="4"/>
      <c r="W210" s="4"/>
    </row>
    <row r="211" spans="1:23" ht="12" customHeight="1" x14ac:dyDescent="0.15">
      <c r="A211" s="2"/>
      <c r="U211" s="4"/>
      <c r="V211" s="8"/>
      <c r="W211" s="8"/>
    </row>
    <row r="212" spans="1:23" ht="12" customHeight="1" x14ac:dyDescent="0.15">
      <c r="A212" s="2"/>
      <c r="U212" s="8"/>
      <c r="V212" s="4"/>
      <c r="W212" s="4"/>
    </row>
    <row r="213" spans="1:23" ht="12" customHeight="1" x14ac:dyDescent="0.15">
      <c r="A213" s="2"/>
      <c r="U213" s="8"/>
      <c r="V213" s="7"/>
      <c r="W213" s="7"/>
    </row>
    <row r="214" spans="1:23" ht="12" customHeight="1" x14ac:dyDescent="0.15">
      <c r="A214" s="2"/>
      <c r="U214" s="8"/>
      <c r="V214" s="4"/>
      <c r="W214" s="4"/>
    </row>
    <row r="215" spans="1:23" ht="12" customHeight="1" x14ac:dyDescent="0.15">
      <c r="A215" s="2"/>
      <c r="U215" s="8"/>
      <c r="V215" s="7"/>
      <c r="W215" s="7"/>
    </row>
    <row r="216" spans="1:23" ht="12" customHeight="1" x14ac:dyDescent="0.15">
      <c r="A216" s="2"/>
      <c r="U216" s="8"/>
      <c r="V216" s="7"/>
      <c r="W216" s="7"/>
    </row>
    <row r="217" spans="1:23" ht="12" customHeight="1" x14ac:dyDescent="0.15">
      <c r="A217" s="2"/>
      <c r="U217" s="8"/>
      <c r="V217" s="4"/>
      <c r="W217" s="4"/>
    </row>
    <row r="218" spans="1:23" ht="12" customHeight="1" x14ac:dyDescent="0.15">
      <c r="A218" s="2"/>
      <c r="U218" s="8"/>
      <c r="V218" s="8"/>
      <c r="W218" s="8"/>
    </row>
    <row r="219" spans="1:23" ht="12" customHeight="1" x14ac:dyDescent="0.15">
      <c r="A219" s="2"/>
      <c r="U219" s="9"/>
      <c r="V219" s="8"/>
      <c r="W219" s="8"/>
    </row>
    <row r="220" spans="1:23" ht="12" customHeight="1" x14ac:dyDescent="0.15">
      <c r="A220" s="2"/>
      <c r="U220" s="9"/>
      <c r="V220" s="8"/>
      <c r="W220" s="8"/>
    </row>
    <row r="221" spans="1:23" ht="12" customHeight="1" x14ac:dyDescent="0.15">
      <c r="A221" s="2"/>
      <c r="U221" s="9"/>
      <c r="V221" s="8"/>
      <c r="W221" s="8"/>
    </row>
    <row r="222" spans="1:23" ht="12" customHeight="1" x14ac:dyDescent="0.15">
      <c r="A222" s="2"/>
      <c r="V222" s="8"/>
      <c r="W222" s="8"/>
    </row>
    <row r="223" spans="1:23" ht="12" customHeight="1" x14ac:dyDescent="0.15">
      <c r="A223" s="2"/>
      <c r="V223" s="8"/>
      <c r="W223" s="8"/>
    </row>
    <row r="224" spans="1:23" ht="12" customHeight="1" x14ac:dyDescent="0.15">
      <c r="A224" s="2"/>
      <c r="V224" s="8"/>
      <c r="W224" s="8"/>
    </row>
    <row r="225" spans="1:43" ht="12" customHeight="1" x14ac:dyDescent="0.15">
      <c r="A225" s="2"/>
      <c r="V225" s="9"/>
      <c r="W225" s="9"/>
      <c r="AK225" s="2"/>
      <c r="AL225" s="2"/>
      <c r="AP225" s="2"/>
      <c r="AQ225" s="470"/>
    </row>
    <row r="226" spans="1:43" ht="12" customHeight="1" x14ac:dyDescent="0.15">
      <c r="A226" s="2"/>
      <c r="V226" s="9"/>
      <c r="W226" s="9"/>
      <c r="AK226" s="2"/>
      <c r="AL226" s="2"/>
      <c r="AP226" s="2"/>
      <c r="AQ226" s="470"/>
    </row>
    <row r="227" spans="1:43" ht="12" customHeight="1" x14ac:dyDescent="0.15">
      <c r="A227" s="2"/>
      <c r="V227" s="9"/>
      <c r="W227" s="9"/>
      <c r="AK227" s="2"/>
      <c r="AL227" s="2"/>
      <c r="AP227" s="2"/>
      <c r="AQ227" s="470"/>
    </row>
    <row r="228" spans="1:43" ht="12" customHeight="1" x14ac:dyDescent="0.15">
      <c r="A228" s="2"/>
      <c r="AK228" s="2"/>
      <c r="AL228" s="2"/>
      <c r="AP228" s="2"/>
      <c r="AQ228" s="470"/>
    </row>
    <row r="229" spans="1:43" ht="12" customHeight="1" x14ac:dyDescent="0.15">
      <c r="A229" s="2"/>
      <c r="AK229" s="2"/>
      <c r="AL229" s="2"/>
      <c r="AP229" s="2"/>
      <c r="AQ229" s="470"/>
    </row>
    <row r="230" spans="1:43" ht="12" customHeight="1" x14ac:dyDescent="0.15">
      <c r="A230" s="2"/>
      <c r="AK230" s="2"/>
      <c r="AL230" s="2"/>
      <c r="AP230" s="2"/>
      <c r="AQ230" s="470"/>
    </row>
    <row r="231" spans="1:43" ht="12" customHeight="1" x14ac:dyDescent="0.15">
      <c r="A231" s="2"/>
      <c r="AK231" s="2"/>
      <c r="AL231" s="2"/>
      <c r="AP231" s="2"/>
      <c r="AQ231" s="470"/>
    </row>
    <row r="232" spans="1:43" ht="12" customHeight="1" x14ac:dyDescent="0.15">
      <c r="A232" s="2"/>
      <c r="AK232" s="2"/>
      <c r="AL232" s="2"/>
      <c r="AP232" s="2"/>
      <c r="AQ232" s="470"/>
    </row>
    <row r="233" spans="1:43" ht="12" customHeight="1" x14ac:dyDescent="0.15">
      <c r="A233" s="2"/>
      <c r="AK233" s="2"/>
      <c r="AL233" s="2"/>
      <c r="AP233" s="2"/>
      <c r="AQ233" s="470"/>
    </row>
    <row r="234" spans="1:43" ht="12" customHeight="1" x14ac:dyDescent="0.15">
      <c r="A234" s="2"/>
      <c r="AK234" s="2"/>
      <c r="AL234" s="2"/>
      <c r="AP234" s="2"/>
      <c r="AQ234" s="470"/>
    </row>
    <row r="235" spans="1:43" ht="12" customHeight="1" x14ac:dyDescent="0.15">
      <c r="A235" s="2"/>
      <c r="AK235" s="2"/>
      <c r="AL235" s="2"/>
      <c r="AP235" s="2"/>
      <c r="AQ235" s="470"/>
    </row>
    <row r="236" spans="1:43" ht="12" customHeight="1" x14ac:dyDescent="0.15">
      <c r="A236" s="2"/>
      <c r="AK236" s="2"/>
      <c r="AL236" s="2"/>
      <c r="AP236" s="2"/>
      <c r="AQ236" s="470"/>
    </row>
    <row r="237" spans="1:43" ht="12" customHeight="1" x14ac:dyDescent="0.15">
      <c r="A237" s="2"/>
      <c r="AK237" s="2"/>
      <c r="AL237" s="2"/>
      <c r="AP237" s="2"/>
      <c r="AQ237" s="470"/>
    </row>
    <row r="238" spans="1:43" ht="12" customHeight="1" x14ac:dyDescent="0.15">
      <c r="A238" s="2"/>
      <c r="AK238" s="2"/>
      <c r="AL238" s="2"/>
      <c r="AP238" s="2"/>
      <c r="AQ238" s="470"/>
    </row>
    <row r="239" spans="1:43" ht="12" customHeight="1" x14ac:dyDescent="0.15">
      <c r="A239" s="2"/>
      <c r="AK239" s="2"/>
      <c r="AL239" s="2"/>
      <c r="AP239" s="2"/>
      <c r="AQ239" s="470"/>
    </row>
    <row r="240" spans="1:43" ht="12" customHeight="1" x14ac:dyDescent="0.15">
      <c r="A240" s="2"/>
      <c r="AK240" s="2"/>
      <c r="AL240" s="2"/>
      <c r="AP240" s="2"/>
      <c r="AQ240" s="470"/>
    </row>
    <row r="241" spans="1:43" ht="12" customHeight="1" x14ac:dyDescent="0.15">
      <c r="A241" s="2"/>
    </row>
    <row r="242" spans="1:43" ht="12" customHeight="1" x14ac:dyDescent="0.15">
      <c r="A242" s="2"/>
      <c r="AK242" s="2"/>
      <c r="AL242" s="2"/>
      <c r="AP242" s="2"/>
      <c r="AQ242" s="470"/>
    </row>
    <row r="243" spans="1:43" ht="12" customHeight="1" x14ac:dyDescent="0.15">
      <c r="A243" s="2"/>
      <c r="AK243" s="2"/>
      <c r="AL243" s="2"/>
      <c r="AP243" s="2"/>
      <c r="AQ243" s="470"/>
    </row>
    <row r="244" spans="1:43" ht="12" customHeight="1" x14ac:dyDescent="0.15">
      <c r="A244" s="2"/>
      <c r="AK244" s="2"/>
      <c r="AL244" s="2"/>
      <c r="AP244" s="2"/>
      <c r="AQ244" s="470"/>
    </row>
    <row r="245" spans="1:43" ht="12" customHeight="1" x14ac:dyDescent="0.15">
      <c r="A245" s="2"/>
      <c r="AK245" s="2"/>
      <c r="AL245" s="2"/>
      <c r="AP245" s="2"/>
      <c r="AQ245" s="470"/>
    </row>
    <row r="246" spans="1:43" ht="12" customHeight="1" x14ac:dyDescent="0.15">
      <c r="A246" s="2"/>
      <c r="AK246" s="2"/>
      <c r="AL246" s="2"/>
      <c r="AP246" s="2"/>
      <c r="AQ246" s="470"/>
    </row>
    <row r="247" spans="1:43" ht="12" customHeight="1" x14ac:dyDescent="0.15">
      <c r="A247" s="2"/>
      <c r="AK247" s="2"/>
      <c r="AL247" s="2"/>
      <c r="AP247" s="2"/>
      <c r="AQ247" s="470"/>
    </row>
    <row r="248" spans="1:43" ht="12" customHeight="1" x14ac:dyDescent="0.15">
      <c r="A248" s="2"/>
      <c r="AK248" s="2"/>
      <c r="AL248" s="2"/>
      <c r="AP248" s="2"/>
      <c r="AQ248" s="470"/>
    </row>
    <row r="249" spans="1:43" ht="12" customHeight="1" x14ac:dyDescent="0.15">
      <c r="A249" s="2"/>
      <c r="AK249" s="2"/>
      <c r="AL249" s="2"/>
      <c r="AP249" s="2"/>
      <c r="AQ249" s="470"/>
    </row>
    <row r="250" spans="1:43" ht="12" customHeight="1" x14ac:dyDescent="0.15">
      <c r="A250" s="2"/>
      <c r="AK250" s="2"/>
      <c r="AL250" s="2"/>
      <c r="AP250" s="2"/>
      <c r="AQ250" s="470"/>
    </row>
    <row r="251" spans="1:43" ht="12" customHeight="1" x14ac:dyDescent="0.15">
      <c r="A251" s="2"/>
    </row>
    <row r="252" spans="1:43" ht="12" customHeight="1" x14ac:dyDescent="0.15">
      <c r="A252" s="2"/>
    </row>
    <row r="253" spans="1:43" ht="12" customHeight="1" x14ac:dyDescent="0.15">
      <c r="A253" s="2"/>
    </row>
    <row r="254" spans="1:43" ht="12" customHeight="1" x14ac:dyDescent="0.15">
      <c r="A254" s="2"/>
    </row>
    <row r="255" spans="1:43" ht="12" customHeight="1" x14ac:dyDescent="0.15">
      <c r="A255" s="2"/>
    </row>
    <row r="256" spans="1:43" ht="12" customHeight="1" x14ac:dyDescent="0.15">
      <c r="A256" s="2"/>
    </row>
    <row r="257" spans="1:42" ht="12" customHeight="1" x14ac:dyDescent="0.15">
      <c r="A257" s="2"/>
      <c r="AK257" s="2"/>
      <c r="AL257" s="2"/>
    </row>
    <row r="258" spans="1:42" ht="12" customHeight="1" x14ac:dyDescent="0.15">
      <c r="A258" s="2"/>
      <c r="AK258" s="2"/>
      <c r="AL258" s="2"/>
      <c r="AP258" s="2"/>
    </row>
    <row r="259" spans="1:42" ht="12" customHeight="1" x14ac:dyDescent="0.15">
      <c r="A259" s="2"/>
      <c r="AK259" s="2"/>
      <c r="AL259" s="2"/>
      <c r="AP259" s="2"/>
    </row>
    <row r="260" spans="1:42" ht="12" customHeight="1" x14ac:dyDescent="0.15">
      <c r="A260" s="2"/>
      <c r="AK260" s="2"/>
      <c r="AL260" s="2"/>
      <c r="AP260" s="2"/>
    </row>
    <row r="261" spans="1:42" ht="12" customHeight="1" x14ac:dyDescent="0.15">
      <c r="A261" s="2"/>
      <c r="AK261" s="2"/>
      <c r="AL261" s="2"/>
      <c r="AP261" s="2"/>
    </row>
    <row r="262" spans="1:42" ht="12" customHeight="1" x14ac:dyDescent="0.15">
      <c r="A262" s="2"/>
      <c r="AK262" s="2"/>
      <c r="AL262" s="2"/>
      <c r="AP262" s="2"/>
    </row>
    <row r="263" spans="1:42" ht="12" customHeight="1" x14ac:dyDescent="0.15">
      <c r="A263" s="2"/>
      <c r="AK263" s="2"/>
      <c r="AL263" s="2"/>
      <c r="AP263" s="2"/>
    </row>
    <row r="264" spans="1:42" ht="12" customHeight="1" x14ac:dyDescent="0.15">
      <c r="A264" s="2"/>
      <c r="AK264" s="2"/>
      <c r="AM264" s="212"/>
      <c r="AN264" s="212"/>
      <c r="AO264" s="212"/>
    </row>
    <row r="265" spans="1:42" ht="12" customHeight="1" x14ac:dyDescent="0.15">
      <c r="A265" s="2"/>
      <c r="AK265" s="2"/>
      <c r="AM265" s="212"/>
      <c r="AN265" s="212"/>
      <c r="AO265" s="212"/>
    </row>
    <row r="266" spans="1:42" ht="12" customHeight="1" x14ac:dyDescent="0.15">
      <c r="A266" s="2"/>
      <c r="AK266" s="2"/>
      <c r="AM266" s="212"/>
      <c r="AN266" s="212"/>
      <c r="AO266" s="212"/>
    </row>
    <row r="267" spans="1:42" ht="12" customHeight="1" x14ac:dyDescent="0.15">
      <c r="A267" s="2"/>
      <c r="AK267" s="2"/>
      <c r="AM267" s="212"/>
      <c r="AN267" s="212"/>
      <c r="AO267" s="212"/>
    </row>
    <row r="268" spans="1:42" ht="12" customHeight="1" x14ac:dyDescent="0.15">
      <c r="A268" s="2"/>
      <c r="AK268" s="2"/>
      <c r="AM268" s="212"/>
      <c r="AN268" s="212"/>
      <c r="AO268" s="212"/>
    </row>
    <row r="269" spans="1:42" ht="12" customHeight="1" x14ac:dyDescent="0.15">
      <c r="A269" s="2"/>
      <c r="AK269" s="2"/>
      <c r="AM269" s="212"/>
      <c r="AN269" s="212"/>
      <c r="AO269" s="212"/>
    </row>
    <row r="270" spans="1:42" ht="12" customHeight="1" x14ac:dyDescent="0.15">
      <c r="A270" s="2"/>
      <c r="AK270" s="2"/>
      <c r="AM270" s="212"/>
      <c r="AN270" s="212"/>
      <c r="AO270" s="212"/>
    </row>
    <row r="271" spans="1:42" ht="12" customHeight="1" x14ac:dyDescent="0.15">
      <c r="A271" s="2"/>
      <c r="AK271" s="2"/>
      <c r="AM271" s="212"/>
      <c r="AN271" s="212"/>
      <c r="AO271" s="212"/>
    </row>
    <row r="272" spans="1:42" ht="12" customHeight="1" x14ac:dyDescent="0.15">
      <c r="A272" s="2"/>
    </row>
    <row r="273" spans="1:1" ht="12" customHeight="1" x14ac:dyDescent="0.15">
      <c r="A273" s="2"/>
    </row>
    <row r="274" spans="1:1" ht="12" customHeight="1" x14ac:dyDescent="0.15">
      <c r="A274" s="2"/>
    </row>
    <row r="275" spans="1:1" ht="12" customHeight="1" x14ac:dyDescent="0.15">
      <c r="A275" s="2"/>
    </row>
    <row r="276" spans="1:1" ht="12" customHeight="1" x14ac:dyDescent="0.15">
      <c r="A276" s="2"/>
    </row>
    <row r="277" spans="1:1" ht="12" customHeight="1" x14ac:dyDescent="0.15">
      <c r="A277" s="2"/>
    </row>
    <row r="278" spans="1:1" ht="12" customHeight="1" x14ac:dyDescent="0.15">
      <c r="A278" s="2"/>
    </row>
    <row r="279" spans="1:1" ht="12" customHeight="1" x14ac:dyDescent="0.15">
      <c r="A279" s="2"/>
    </row>
    <row r="280" spans="1:1" ht="12" customHeight="1" x14ac:dyDescent="0.15">
      <c r="A280" s="2"/>
    </row>
    <row r="281" spans="1:1" ht="12" customHeight="1" x14ac:dyDescent="0.15">
      <c r="A281" s="2"/>
    </row>
    <row r="282" spans="1:1" ht="12" customHeight="1" x14ac:dyDescent="0.15">
      <c r="A282" s="2"/>
    </row>
    <row r="283" spans="1:1" ht="12" customHeight="1" x14ac:dyDescent="0.15">
      <c r="A283" s="2"/>
    </row>
    <row r="284" spans="1:1" ht="12" customHeight="1" x14ac:dyDescent="0.15">
      <c r="A284" s="2"/>
    </row>
    <row r="285" spans="1:1" ht="12" customHeight="1" x14ac:dyDescent="0.15">
      <c r="A285" s="2"/>
    </row>
    <row r="286" spans="1:1" ht="12" customHeight="1" x14ac:dyDescent="0.15">
      <c r="A286" s="2"/>
    </row>
    <row r="287" spans="1:1" ht="11.25" customHeight="1" x14ac:dyDescent="0.15">
      <c r="A287" s="2"/>
    </row>
    <row r="288" spans="1:1" ht="12" customHeight="1" x14ac:dyDescent="0.15">
      <c r="A288" s="2"/>
    </row>
    <row r="289" spans="1:43" ht="12" customHeight="1" x14ac:dyDescent="0.15">
      <c r="A289" s="2"/>
    </row>
    <row r="290" spans="1:43" ht="12" customHeight="1" x14ac:dyDescent="0.15">
      <c r="A290" s="2"/>
    </row>
    <row r="291" spans="1:43" ht="12" customHeight="1" x14ac:dyDescent="0.15">
      <c r="A291" s="2"/>
    </row>
    <row r="292" spans="1:43" ht="12" customHeight="1" x14ac:dyDescent="0.15">
      <c r="A292" s="2"/>
    </row>
    <row r="293" spans="1:43" ht="12" customHeight="1" x14ac:dyDescent="0.15">
      <c r="A293" s="2"/>
    </row>
    <row r="294" spans="1:43" ht="12" customHeight="1" x14ac:dyDescent="0.15">
      <c r="A294" s="2"/>
    </row>
    <row r="295" spans="1:43" ht="12" customHeight="1" x14ac:dyDescent="0.15">
      <c r="A295" s="2"/>
    </row>
    <row r="296" spans="1:43" ht="12" customHeight="1" x14ac:dyDescent="0.15">
      <c r="A296" s="2"/>
    </row>
    <row r="297" spans="1:43" ht="12" customHeight="1" x14ac:dyDescent="0.15">
      <c r="A297" s="2"/>
    </row>
    <row r="298" spans="1:43" ht="12" customHeight="1" x14ac:dyDescent="0.15">
      <c r="A298" s="2"/>
    </row>
    <row r="299" spans="1:43" ht="12" customHeight="1" x14ac:dyDescent="0.15">
      <c r="A299" s="2"/>
    </row>
    <row r="300" spans="1:43" ht="12" customHeight="1" x14ac:dyDescent="0.15">
      <c r="A300" s="2"/>
      <c r="AK300" s="2"/>
      <c r="AL300" s="2"/>
      <c r="AP300" s="2"/>
      <c r="AQ300" s="470"/>
    </row>
    <row r="301" spans="1:43" ht="12" customHeight="1" x14ac:dyDescent="0.15">
      <c r="A301" s="2"/>
    </row>
    <row r="302" spans="1:43" ht="12" customHeight="1" x14ac:dyDescent="0.15">
      <c r="A302" s="2"/>
    </row>
    <row r="303" spans="1:43" ht="12" customHeight="1" x14ac:dyDescent="0.15">
      <c r="A303" s="2"/>
    </row>
    <row r="304" spans="1:43" ht="12" customHeight="1" x14ac:dyDescent="0.15">
      <c r="A304" s="2"/>
    </row>
    <row r="305" spans="1:1" ht="12" customHeight="1" x14ac:dyDescent="0.15">
      <c r="A305" s="2"/>
    </row>
    <row r="306" spans="1:1" ht="12" customHeight="1" x14ac:dyDescent="0.15">
      <c r="A306" s="2"/>
    </row>
    <row r="307" spans="1:1" ht="12" customHeight="1" x14ac:dyDescent="0.15">
      <c r="A307" s="2"/>
    </row>
    <row r="308" spans="1:1" ht="12" customHeight="1" x14ac:dyDescent="0.15">
      <c r="A308" s="2"/>
    </row>
    <row r="309" spans="1:1" ht="12" customHeight="1" x14ac:dyDescent="0.15">
      <c r="A309" s="2"/>
    </row>
    <row r="310" spans="1:1" ht="12" customHeight="1" x14ac:dyDescent="0.15">
      <c r="A310" s="2"/>
    </row>
    <row r="311" spans="1:1" ht="12" customHeight="1" x14ac:dyDescent="0.15">
      <c r="A311" s="2"/>
    </row>
    <row r="312" spans="1:1" ht="12" customHeight="1" x14ac:dyDescent="0.15">
      <c r="A312" s="2"/>
    </row>
    <row r="313" spans="1:1" ht="12" customHeight="1" x14ac:dyDescent="0.15">
      <c r="A313" s="2"/>
    </row>
    <row r="314" spans="1:1" ht="12" customHeight="1" x14ac:dyDescent="0.15">
      <c r="A314" s="2"/>
    </row>
    <row r="315" spans="1:1" ht="12" customHeight="1" x14ac:dyDescent="0.15">
      <c r="A315" s="2"/>
    </row>
    <row r="316" spans="1:1" ht="12" customHeight="1" x14ac:dyDescent="0.15">
      <c r="A316" s="2"/>
    </row>
    <row r="317" spans="1:1" ht="12" customHeight="1" x14ac:dyDescent="0.15">
      <c r="A317" s="2"/>
    </row>
    <row r="318" spans="1:1" ht="12" customHeight="1" x14ac:dyDescent="0.15">
      <c r="A318" s="2"/>
    </row>
    <row r="319" spans="1:1" ht="12" customHeight="1" x14ac:dyDescent="0.15">
      <c r="A319" s="2"/>
    </row>
    <row r="320" spans="1:1" ht="12" customHeight="1" x14ac:dyDescent="0.15">
      <c r="A320" s="2"/>
    </row>
    <row r="321" spans="1:1" ht="12" customHeight="1" x14ac:dyDescent="0.15">
      <c r="A321" s="2"/>
    </row>
    <row r="322" spans="1:1" ht="12" customHeight="1" x14ac:dyDescent="0.15">
      <c r="A322" s="2"/>
    </row>
    <row r="323" spans="1:1" ht="12" customHeight="1" x14ac:dyDescent="0.15">
      <c r="A323" s="2"/>
    </row>
    <row r="324" spans="1:1" ht="12" customHeight="1" x14ac:dyDescent="0.15">
      <c r="A324" s="2"/>
    </row>
    <row r="325" spans="1:1" ht="12" customHeight="1" x14ac:dyDescent="0.15">
      <c r="A325" s="2"/>
    </row>
    <row r="326" spans="1:1" ht="12" customHeight="1" x14ac:dyDescent="0.15">
      <c r="A326" s="2"/>
    </row>
    <row r="327" spans="1:1" ht="12" customHeight="1" x14ac:dyDescent="0.15">
      <c r="A327" s="2"/>
    </row>
    <row r="328" spans="1:1" ht="12" customHeight="1" x14ac:dyDescent="0.15">
      <c r="A328" s="2"/>
    </row>
    <row r="329" spans="1:1" ht="12" customHeight="1" x14ac:dyDescent="0.15">
      <c r="A329" s="2"/>
    </row>
    <row r="330" spans="1:1" ht="12" customHeight="1" x14ac:dyDescent="0.15">
      <c r="A330" s="2"/>
    </row>
    <row r="331" spans="1:1" ht="12" customHeight="1" x14ac:dyDescent="0.15">
      <c r="A331" s="2"/>
    </row>
    <row r="332" spans="1:1" ht="12" customHeight="1" x14ac:dyDescent="0.15">
      <c r="A332" s="2"/>
    </row>
    <row r="333" spans="1:1" ht="12" customHeight="1" x14ac:dyDescent="0.15">
      <c r="A333" s="2"/>
    </row>
    <row r="334" spans="1:1" ht="12" customHeight="1" x14ac:dyDescent="0.15">
      <c r="A334" s="2"/>
    </row>
    <row r="335" spans="1:1" ht="12" customHeight="1" x14ac:dyDescent="0.15">
      <c r="A335" s="2"/>
    </row>
    <row r="336" spans="1:1" ht="12" customHeight="1" x14ac:dyDescent="0.15">
      <c r="A336" s="2"/>
    </row>
    <row r="337" spans="1:1" ht="12" customHeight="1" x14ac:dyDescent="0.15">
      <c r="A337" s="2"/>
    </row>
    <row r="338" spans="1:1" ht="12" customHeight="1" x14ac:dyDescent="0.15">
      <c r="A338" s="2"/>
    </row>
    <row r="339" spans="1:1" ht="12" customHeight="1" x14ac:dyDescent="0.15">
      <c r="A339" s="2"/>
    </row>
    <row r="340" spans="1:1" ht="12" customHeight="1" x14ac:dyDescent="0.15">
      <c r="A340" s="2"/>
    </row>
    <row r="341" spans="1:1" ht="12" customHeight="1" x14ac:dyDescent="0.15">
      <c r="A341" s="2"/>
    </row>
    <row r="342" spans="1:1" ht="12" customHeight="1" x14ac:dyDescent="0.15">
      <c r="A342" s="2"/>
    </row>
    <row r="343" spans="1:1" ht="12" customHeight="1" x14ac:dyDescent="0.15">
      <c r="A343" s="2"/>
    </row>
    <row r="344" spans="1:1" ht="12" customHeight="1" x14ac:dyDescent="0.15">
      <c r="A344" s="2"/>
    </row>
    <row r="345" spans="1:1" ht="12" customHeight="1" x14ac:dyDescent="0.15">
      <c r="A345" s="2"/>
    </row>
    <row r="346" spans="1:1" ht="12" customHeight="1" x14ac:dyDescent="0.15">
      <c r="A346" s="2"/>
    </row>
    <row r="347" spans="1:1" ht="12" customHeight="1" x14ac:dyDescent="0.15">
      <c r="A347" s="2"/>
    </row>
    <row r="348" spans="1:1" ht="12" customHeight="1" x14ac:dyDescent="0.15">
      <c r="A348" s="2"/>
    </row>
    <row r="349" spans="1:1" ht="12" customHeight="1" x14ac:dyDescent="0.15">
      <c r="A349" s="2"/>
    </row>
    <row r="350" spans="1:1" ht="12" customHeight="1" x14ac:dyDescent="0.15">
      <c r="A350" s="2"/>
    </row>
    <row r="351" spans="1:1" ht="12" customHeight="1" x14ac:dyDescent="0.15">
      <c r="A351" s="2"/>
    </row>
    <row r="352" spans="1:1" ht="12" customHeight="1" x14ac:dyDescent="0.15">
      <c r="A352" s="2"/>
    </row>
    <row r="353" spans="1:1" ht="12" customHeight="1" x14ac:dyDescent="0.15">
      <c r="A353" s="2"/>
    </row>
    <row r="354" spans="1:1" ht="12" customHeight="1" x14ac:dyDescent="0.15">
      <c r="A354" s="2"/>
    </row>
    <row r="355" spans="1:1" ht="12" customHeight="1" x14ac:dyDescent="0.15">
      <c r="A355" s="2"/>
    </row>
    <row r="356" spans="1:1" ht="12" customHeight="1" x14ac:dyDescent="0.15">
      <c r="A356" s="2"/>
    </row>
    <row r="357" spans="1:1" ht="12" customHeight="1" x14ac:dyDescent="0.15">
      <c r="A357" s="2"/>
    </row>
    <row r="358" spans="1:1" ht="12" customHeight="1" x14ac:dyDescent="0.15">
      <c r="A358" s="2"/>
    </row>
    <row r="359" spans="1:1" ht="12" customHeight="1" x14ac:dyDescent="0.15">
      <c r="A359" s="2"/>
    </row>
    <row r="360" spans="1:1" ht="12" customHeight="1" x14ac:dyDescent="0.15">
      <c r="A360" s="2"/>
    </row>
    <row r="361" spans="1:1" ht="12" customHeight="1" x14ac:dyDescent="0.15">
      <c r="A361" s="2"/>
    </row>
    <row r="362" spans="1:1" ht="12" customHeight="1" x14ac:dyDescent="0.15">
      <c r="A362" s="2"/>
    </row>
    <row r="363" spans="1:1" ht="12" customHeight="1" x14ac:dyDescent="0.15">
      <c r="A363" s="2"/>
    </row>
    <row r="364" spans="1:1" ht="12" customHeight="1" x14ac:dyDescent="0.15">
      <c r="A364" s="2"/>
    </row>
    <row r="365" spans="1:1" ht="12" customHeight="1" x14ac:dyDescent="0.15">
      <c r="A365" s="2"/>
    </row>
    <row r="366" spans="1:1" ht="12" customHeight="1" x14ac:dyDescent="0.15">
      <c r="A366" s="2"/>
    </row>
    <row r="367" spans="1:1" ht="12" customHeight="1" x14ac:dyDescent="0.15">
      <c r="A367" s="2"/>
    </row>
    <row r="368" spans="1:1" ht="12" customHeight="1" x14ac:dyDescent="0.15">
      <c r="A368" s="2"/>
    </row>
    <row r="369" spans="1:1" ht="12" customHeight="1" x14ac:dyDescent="0.15">
      <c r="A369" s="2"/>
    </row>
    <row r="370" spans="1:1" ht="12" customHeight="1" x14ac:dyDescent="0.15">
      <c r="A370" s="2"/>
    </row>
    <row r="371" spans="1:1" ht="12" customHeight="1" x14ac:dyDescent="0.15">
      <c r="A371" s="2"/>
    </row>
    <row r="372" spans="1:1" ht="12" customHeight="1" x14ac:dyDescent="0.15">
      <c r="A372" s="2"/>
    </row>
    <row r="373" spans="1:1" ht="12" customHeight="1" x14ac:dyDescent="0.15">
      <c r="A373" s="2"/>
    </row>
    <row r="374" spans="1:1" ht="12" customHeight="1" x14ac:dyDescent="0.15">
      <c r="A374" s="2"/>
    </row>
    <row r="375" spans="1:1" ht="12" customHeight="1" x14ac:dyDescent="0.15">
      <c r="A375" s="2"/>
    </row>
    <row r="376" spans="1:1" ht="12" customHeight="1" x14ac:dyDescent="0.15">
      <c r="A376" s="2"/>
    </row>
    <row r="377" spans="1:1" ht="12" customHeight="1" x14ac:dyDescent="0.15">
      <c r="A377" s="2"/>
    </row>
    <row r="378" spans="1:1" ht="12" customHeight="1" x14ac:dyDescent="0.15">
      <c r="A378" s="2"/>
    </row>
    <row r="379" spans="1:1" ht="12" customHeight="1" x14ac:dyDescent="0.15">
      <c r="A379" s="2"/>
    </row>
    <row r="380" spans="1:1" ht="12" customHeight="1" x14ac:dyDescent="0.15">
      <c r="A380" s="2"/>
    </row>
    <row r="381" spans="1:1" ht="12" customHeight="1" x14ac:dyDescent="0.15">
      <c r="A381" s="2"/>
    </row>
    <row r="382" spans="1:1" ht="12" customHeight="1" x14ac:dyDescent="0.15">
      <c r="A382" s="2"/>
    </row>
    <row r="383" spans="1:1" ht="12" customHeight="1" x14ac:dyDescent="0.15">
      <c r="A383" s="2"/>
    </row>
    <row r="384" spans="1:1" ht="12" customHeight="1" x14ac:dyDescent="0.15">
      <c r="A384" s="2"/>
    </row>
    <row r="385" spans="1:1" ht="12" customHeight="1" x14ac:dyDescent="0.15">
      <c r="A385" s="2"/>
    </row>
    <row r="386" spans="1:1" ht="12" customHeight="1" x14ac:dyDescent="0.15">
      <c r="A386" s="2"/>
    </row>
    <row r="387" spans="1:1" ht="12" customHeight="1" x14ac:dyDescent="0.15">
      <c r="A387" s="2"/>
    </row>
    <row r="388" spans="1:1" ht="12" customHeight="1" x14ac:dyDescent="0.15">
      <c r="A388" s="2"/>
    </row>
    <row r="389" spans="1:1" ht="12" customHeight="1" x14ac:dyDescent="0.15">
      <c r="A389" s="2"/>
    </row>
    <row r="390" spans="1:1" ht="12" customHeight="1" x14ac:dyDescent="0.15">
      <c r="A390" s="2"/>
    </row>
    <row r="391" spans="1:1" ht="12" customHeight="1" x14ac:dyDescent="0.15">
      <c r="A391" s="2"/>
    </row>
    <row r="392" spans="1:1" ht="12" customHeight="1" x14ac:dyDescent="0.15">
      <c r="A392" s="2"/>
    </row>
    <row r="393" spans="1:1" ht="12" customHeight="1" x14ac:dyDescent="0.15">
      <c r="A393" s="2"/>
    </row>
    <row r="394" spans="1:1" ht="12" customHeight="1" x14ac:dyDescent="0.15">
      <c r="A394" s="2"/>
    </row>
    <row r="395" spans="1:1" ht="12" customHeight="1" x14ac:dyDescent="0.15">
      <c r="A395" s="2"/>
    </row>
    <row r="396" spans="1:1" ht="12" customHeight="1" x14ac:dyDescent="0.15">
      <c r="A396" s="2"/>
    </row>
    <row r="397" spans="1:1" ht="12" customHeight="1" x14ac:dyDescent="0.15">
      <c r="A397" s="2"/>
    </row>
    <row r="398" spans="1:1" ht="12" customHeight="1" x14ac:dyDescent="0.15">
      <c r="A398" s="2"/>
    </row>
    <row r="399" spans="1:1" ht="12" customHeight="1" x14ac:dyDescent="0.15">
      <c r="A399" s="2"/>
    </row>
    <row r="400" spans="1:1" ht="12" customHeight="1" x14ac:dyDescent="0.15">
      <c r="A400" s="2"/>
    </row>
    <row r="401" spans="1:1" ht="12" customHeight="1" x14ac:dyDescent="0.15">
      <c r="A401" s="2"/>
    </row>
    <row r="402" spans="1:1" ht="12" customHeight="1" x14ac:dyDescent="0.15">
      <c r="A402" s="2"/>
    </row>
    <row r="403" spans="1:1" ht="12" customHeight="1" x14ac:dyDescent="0.15">
      <c r="A403" s="2"/>
    </row>
    <row r="404" spans="1:1" ht="12" customHeight="1" x14ac:dyDescent="0.15">
      <c r="A404" s="2"/>
    </row>
    <row r="405" spans="1:1" ht="12" customHeight="1" x14ac:dyDescent="0.15">
      <c r="A405" s="2"/>
    </row>
    <row r="406" spans="1:1" ht="12" customHeight="1" x14ac:dyDescent="0.15">
      <c r="A406" s="2"/>
    </row>
    <row r="407" spans="1:1" ht="12" customHeight="1" x14ac:dyDescent="0.15">
      <c r="A407" s="2"/>
    </row>
    <row r="408" spans="1:1" ht="12" customHeight="1" x14ac:dyDescent="0.15">
      <c r="A408" s="2"/>
    </row>
    <row r="409" spans="1:1" ht="12" customHeight="1" x14ac:dyDescent="0.15">
      <c r="A409" s="2"/>
    </row>
    <row r="410" spans="1:1" ht="12" customHeight="1" x14ac:dyDescent="0.15">
      <c r="A410" s="2"/>
    </row>
    <row r="411" spans="1:1" ht="12" customHeight="1" x14ac:dyDescent="0.15">
      <c r="A411" s="2"/>
    </row>
    <row r="412" spans="1:1" ht="12" customHeight="1" x14ac:dyDescent="0.15">
      <c r="A412" s="2"/>
    </row>
    <row r="413" spans="1:1" ht="12" customHeight="1" x14ac:dyDescent="0.15">
      <c r="A413" s="2"/>
    </row>
    <row r="414" spans="1:1" ht="12" customHeight="1" x14ac:dyDescent="0.15">
      <c r="A414" s="2"/>
    </row>
    <row r="415" spans="1:1" ht="12" customHeight="1" x14ac:dyDescent="0.15">
      <c r="A415" s="2"/>
    </row>
    <row r="416" spans="1:1" ht="12" customHeight="1" x14ac:dyDescent="0.15">
      <c r="A416" s="2"/>
    </row>
    <row r="417" spans="1:1" ht="12" customHeight="1" x14ac:dyDescent="0.15">
      <c r="A417" s="2"/>
    </row>
    <row r="418" spans="1:1" ht="12" customHeight="1" x14ac:dyDescent="0.15">
      <c r="A418" s="2"/>
    </row>
    <row r="419" spans="1:1" ht="12" customHeight="1" x14ac:dyDescent="0.15">
      <c r="A419" s="2"/>
    </row>
    <row r="420" spans="1:1" ht="12" customHeight="1" x14ac:dyDescent="0.15">
      <c r="A420" s="2"/>
    </row>
    <row r="421" spans="1:1" ht="12" customHeight="1" x14ac:dyDescent="0.15">
      <c r="A421" s="2"/>
    </row>
    <row r="422" spans="1:1" ht="12" customHeight="1" x14ac:dyDescent="0.15">
      <c r="A422" s="2"/>
    </row>
    <row r="423" spans="1:1" ht="12" customHeight="1" x14ac:dyDescent="0.15">
      <c r="A423" s="2"/>
    </row>
    <row r="424" spans="1:1" ht="12" customHeight="1" x14ac:dyDescent="0.15">
      <c r="A424" s="2"/>
    </row>
    <row r="425" spans="1:1" ht="12" customHeight="1" x14ac:dyDescent="0.15">
      <c r="A425" s="2"/>
    </row>
    <row r="426" spans="1:1" ht="12" customHeight="1" x14ac:dyDescent="0.15">
      <c r="A426" s="2"/>
    </row>
    <row r="427" spans="1:1" ht="12" customHeight="1" x14ac:dyDescent="0.15">
      <c r="A427" s="2"/>
    </row>
    <row r="428" spans="1:1" ht="12" customHeight="1" x14ac:dyDescent="0.15">
      <c r="A428" s="2"/>
    </row>
    <row r="429" spans="1:1" ht="12" customHeight="1" x14ac:dyDescent="0.15">
      <c r="A429" s="2"/>
    </row>
    <row r="430" spans="1:1" ht="12" customHeight="1" x14ac:dyDescent="0.15">
      <c r="A430" s="2"/>
    </row>
    <row r="431" spans="1:1" ht="12" customHeight="1" x14ac:dyDescent="0.15">
      <c r="A431" s="2"/>
    </row>
    <row r="432" spans="1:1" ht="12" customHeight="1" x14ac:dyDescent="0.15">
      <c r="A432" s="2"/>
    </row>
    <row r="433" spans="1:1" ht="12" customHeight="1" x14ac:dyDescent="0.15">
      <c r="A433" s="2"/>
    </row>
    <row r="434" spans="1:1" ht="12" customHeight="1" x14ac:dyDescent="0.15">
      <c r="A434" s="2"/>
    </row>
    <row r="435" spans="1:1" ht="12" customHeight="1" x14ac:dyDescent="0.15">
      <c r="A435" s="2"/>
    </row>
    <row r="436" spans="1:1" ht="12" customHeight="1" x14ac:dyDescent="0.15">
      <c r="A436" s="2"/>
    </row>
    <row r="437" spans="1:1" ht="12.95" customHeight="1" x14ac:dyDescent="0.15">
      <c r="A437" s="2"/>
    </row>
    <row r="438" spans="1:1" ht="12.95" customHeight="1" x14ac:dyDescent="0.15">
      <c r="A438" s="2"/>
    </row>
    <row r="439" spans="1:1" ht="12" customHeight="1" x14ac:dyDescent="0.15">
      <c r="A439" s="2"/>
    </row>
    <row r="440" spans="1:1" ht="12" customHeight="1" x14ac:dyDescent="0.15">
      <c r="A440" s="2"/>
    </row>
    <row r="441" spans="1:1" ht="12" customHeight="1" x14ac:dyDescent="0.15">
      <c r="A441" s="2"/>
    </row>
    <row r="442" spans="1:1" ht="12" customHeight="1" x14ac:dyDescent="0.15">
      <c r="A442" s="2"/>
    </row>
    <row r="443" spans="1:1" ht="12" customHeight="1" x14ac:dyDescent="0.15">
      <c r="A443" s="2"/>
    </row>
    <row r="444" spans="1:1" ht="12" customHeight="1" x14ac:dyDescent="0.15">
      <c r="A444" s="2"/>
    </row>
    <row r="445" spans="1:1" ht="12" customHeight="1" x14ac:dyDescent="0.15">
      <c r="A445" s="2"/>
    </row>
    <row r="446" spans="1:1" ht="12" customHeight="1" x14ac:dyDescent="0.15">
      <c r="A446" s="2"/>
    </row>
    <row r="447" spans="1:1" ht="12" customHeight="1" x14ac:dyDescent="0.15">
      <c r="A447" s="2"/>
    </row>
    <row r="448" spans="1:1" ht="12" customHeight="1" x14ac:dyDescent="0.15">
      <c r="A448" s="2"/>
    </row>
    <row r="449" spans="1:1" ht="12" customHeight="1" x14ac:dyDescent="0.15">
      <c r="A449" s="2"/>
    </row>
    <row r="450" spans="1:1" ht="12" customHeight="1" x14ac:dyDescent="0.15">
      <c r="A450" s="2"/>
    </row>
    <row r="451" spans="1:1" ht="12" customHeight="1" x14ac:dyDescent="0.15">
      <c r="A451" s="2"/>
    </row>
    <row r="452" spans="1:1" ht="12" customHeight="1" x14ac:dyDescent="0.15">
      <c r="A452" s="2"/>
    </row>
    <row r="453" spans="1:1" ht="12" customHeight="1" x14ac:dyDescent="0.15">
      <c r="A453" s="2"/>
    </row>
    <row r="454" spans="1:1" ht="12" customHeight="1" x14ac:dyDescent="0.15">
      <c r="A454" s="2"/>
    </row>
    <row r="455" spans="1:1" ht="12" customHeight="1" x14ac:dyDescent="0.15">
      <c r="A455" s="2"/>
    </row>
    <row r="456" spans="1:1" ht="12" customHeight="1" x14ac:dyDescent="0.15">
      <c r="A456" s="2"/>
    </row>
    <row r="457" spans="1:1" ht="12" customHeight="1" x14ac:dyDescent="0.15">
      <c r="A457" s="2"/>
    </row>
    <row r="458" spans="1:1" ht="12" customHeight="1" x14ac:dyDescent="0.15">
      <c r="A458" s="2"/>
    </row>
    <row r="459" spans="1:1" ht="12" customHeight="1" x14ac:dyDescent="0.15">
      <c r="A459" s="2"/>
    </row>
    <row r="460" spans="1:1" ht="12" customHeight="1" x14ac:dyDescent="0.15">
      <c r="A460" s="2"/>
    </row>
    <row r="461" spans="1:1" ht="12" customHeight="1" x14ac:dyDescent="0.15">
      <c r="A461" s="2"/>
    </row>
    <row r="462" spans="1:1" ht="12" customHeight="1" x14ac:dyDescent="0.15">
      <c r="A462" s="2"/>
    </row>
    <row r="463" spans="1:1" ht="12" customHeight="1" x14ac:dyDescent="0.15">
      <c r="A463" s="2"/>
    </row>
    <row r="464" spans="1:1" ht="12" customHeight="1" x14ac:dyDescent="0.15">
      <c r="A464" s="2"/>
    </row>
    <row r="465" spans="1:1" ht="12" customHeight="1" x14ac:dyDescent="0.15">
      <c r="A465" s="2"/>
    </row>
    <row r="466" spans="1:1" ht="12" customHeight="1" x14ac:dyDescent="0.15">
      <c r="A466" s="2"/>
    </row>
    <row r="467" spans="1:1" ht="12" customHeight="1" x14ac:dyDescent="0.15">
      <c r="A467" s="2"/>
    </row>
    <row r="468" spans="1:1" ht="12" customHeight="1" x14ac:dyDescent="0.15">
      <c r="A468" s="2"/>
    </row>
    <row r="469" spans="1:1" ht="12" customHeight="1" x14ac:dyDescent="0.15">
      <c r="A469" s="2"/>
    </row>
    <row r="470" spans="1:1" ht="12" customHeight="1" x14ac:dyDescent="0.15">
      <c r="A470" s="2"/>
    </row>
    <row r="471" spans="1:1" ht="12" customHeight="1" x14ac:dyDescent="0.15">
      <c r="A471" s="2"/>
    </row>
    <row r="472" spans="1:1" ht="12" customHeight="1" x14ac:dyDescent="0.15">
      <c r="A472" s="2"/>
    </row>
    <row r="473" spans="1:1" ht="12" customHeight="1" x14ac:dyDescent="0.15">
      <c r="A473" s="2"/>
    </row>
    <row r="474" spans="1:1" ht="12" customHeight="1" x14ac:dyDescent="0.15">
      <c r="A474" s="2"/>
    </row>
    <row r="475" spans="1:1" ht="12" customHeight="1" x14ac:dyDescent="0.15">
      <c r="A475" s="2"/>
    </row>
    <row r="476" spans="1:1" ht="12" customHeight="1" x14ac:dyDescent="0.15">
      <c r="A476" s="2"/>
    </row>
    <row r="477" spans="1:1" ht="12" customHeight="1" x14ac:dyDescent="0.15">
      <c r="A477" s="2"/>
    </row>
    <row r="478" spans="1:1" ht="12" customHeight="1" x14ac:dyDescent="0.15">
      <c r="A478" s="2"/>
    </row>
    <row r="479" spans="1:1" ht="12" customHeight="1" x14ac:dyDescent="0.15">
      <c r="A479" s="2"/>
    </row>
    <row r="480" spans="1:1" ht="12" customHeight="1" x14ac:dyDescent="0.15">
      <c r="A480" s="2"/>
    </row>
    <row r="481" spans="1:1" ht="12" customHeight="1" x14ac:dyDescent="0.15">
      <c r="A481" s="2"/>
    </row>
    <row r="482" spans="1:1" ht="12" customHeight="1" x14ac:dyDescent="0.15">
      <c r="A482" s="2"/>
    </row>
    <row r="483" spans="1:1" ht="12" customHeight="1" x14ac:dyDescent="0.15">
      <c r="A483" s="2"/>
    </row>
    <row r="484" spans="1:1" ht="12" customHeight="1" x14ac:dyDescent="0.15">
      <c r="A484" s="2"/>
    </row>
    <row r="485" spans="1:1" ht="12" customHeight="1" x14ac:dyDescent="0.15">
      <c r="A485" s="2"/>
    </row>
    <row r="486" spans="1:1" ht="12" customHeight="1" x14ac:dyDescent="0.15">
      <c r="A486" s="2"/>
    </row>
    <row r="487" spans="1:1" ht="12" customHeight="1" x14ac:dyDescent="0.15">
      <c r="A487" s="2"/>
    </row>
    <row r="488" spans="1:1" ht="12" customHeight="1" x14ac:dyDescent="0.15">
      <c r="A488" s="2"/>
    </row>
    <row r="489" spans="1:1" ht="12" customHeight="1" x14ac:dyDescent="0.15">
      <c r="A489" s="2"/>
    </row>
    <row r="490" spans="1:1" ht="12" customHeight="1" x14ac:dyDescent="0.15">
      <c r="A490" s="2"/>
    </row>
    <row r="491" spans="1:1" ht="12" customHeight="1" x14ac:dyDescent="0.15">
      <c r="A491" s="2"/>
    </row>
    <row r="492" spans="1:1" ht="12" customHeight="1" x14ac:dyDescent="0.15">
      <c r="A492" s="2"/>
    </row>
    <row r="493" spans="1:1" ht="12" customHeight="1" x14ac:dyDescent="0.15">
      <c r="A493" s="2"/>
    </row>
    <row r="494" spans="1:1" ht="12" customHeight="1" x14ac:dyDescent="0.15">
      <c r="A494" s="2"/>
    </row>
    <row r="495" spans="1:1" ht="12" customHeight="1" x14ac:dyDescent="0.15">
      <c r="A495" s="2"/>
    </row>
    <row r="496" spans="1:1" ht="12" customHeight="1" x14ac:dyDescent="0.15">
      <c r="A496" s="2"/>
    </row>
    <row r="497" spans="1:1" ht="12" customHeight="1" x14ac:dyDescent="0.15">
      <c r="A497" s="2"/>
    </row>
    <row r="498" spans="1:1" ht="12" customHeight="1" x14ac:dyDescent="0.15">
      <c r="A498" s="2"/>
    </row>
    <row r="499" spans="1:1" ht="12" customHeight="1" x14ac:dyDescent="0.15">
      <c r="A499" s="2"/>
    </row>
    <row r="500" spans="1:1" ht="12" customHeight="1" x14ac:dyDescent="0.15">
      <c r="A500" s="2"/>
    </row>
    <row r="501" spans="1:1" ht="12" customHeight="1" x14ac:dyDescent="0.15">
      <c r="A501" s="2"/>
    </row>
    <row r="502" spans="1:1" ht="12" customHeight="1" x14ac:dyDescent="0.15">
      <c r="A502" s="2"/>
    </row>
    <row r="503" spans="1:1" ht="12" customHeight="1" x14ac:dyDescent="0.15">
      <c r="A503" s="2"/>
    </row>
    <row r="504" spans="1:1" ht="12" customHeight="1" x14ac:dyDescent="0.15">
      <c r="A504" s="2"/>
    </row>
    <row r="505" spans="1:1" ht="12" customHeight="1" x14ac:dyDescent="0.15">
      <c r="A505" s="2"/>
    </row>
    <row r="506" spans="1:1" ht="12" customHeight="1" x14ac:dyDescent="0.15">
      <c r="A506" s="2"/>
    </row>
    <row r="507" spans="1:1" ht="12" customHeight="1" x14ac:dyDescent="0.15">
      <c r="A507" s="2"/>
    </row>
    <row r="508" spans="1:1" ht="12" customHeight="1" x14ac:dyDescent="0.15">
      <c r="A508" s="2"/>
    </row>
    <row r="509" spans="1:1" ht="12" customHeight="1" x14ac:dyDescent="0.15">
      <c r="A509" s="2"/>
    </row>
    <row r="510" spans="1:1" ht="12" customHeight="1" x14ac:dyDescent="0.15">
      <c r="A510" s="2"/>
    </row>
    <row r="511" spans="1:1" ht="12" customHeight="1" x14ac:dyDescent="0.15">
      <c r="A511" s="2"/>
    </row>
    <row r="512" spans="1:1" ht="12" customHeight="1" x14ac:dyDescent="0.15">
      <c r="A512" s="2"/>
    </row>
    <row r="513" spans="1:1" ht="12" customHeight="1" x14ac:dyDescent="0.15">
      <c r="A513" s="2"/>
    </row>
    <row r="514" spans="1:1" ht="12" customHeight="1" x14ac:dyDescent="0.15">
      <c r="A514" s="2"/>
    </row>
    <row r="515" spans="1:1" ht="12" customHeight="1" x14ac:dyDescent="0.15">
      <c r="A515" s="2"/>
    </row>
    <row r="516" spans="1:1" ht="12" customHeight="1" x14ac:dyDescent="0.15">
      <c r="A516" s="2"/>
    </row>
    <row r="517" spans="1:1" ht="12" customHeight="1" x14ac:dyDescent="0.15">
      <c r="A517" s="2"/>
    </row>
    <row r="518" spans="1:1" ht="12" customHeight="1" x14ac:dyDescent="0.15">
      <c r="A518" s="2"/>
    </row>
    <row r="519" spans="1:1" ht="12" customHeight="1" x14ac:dyDescent="0.15">
      <c r="A519" s="2"/>
    </row>
    <row r="520" spans="1:1" ht="12" customHeight="1" x14ac:dyDescent="0.15">
      <c r="A520" s="2"/>
    </row>
    <row r="521" spans="1:1" ht="12" customHeight="1" x14ac:dyDescent="0.15">
      <c r="A521" s="2"/>
    </row>
    <row r="522" spans="1:1" ht="12" customHeight="1" x14ac:dyDescent="0.15">
      <c r="A522" s="2"/>
    </row>
    <row r="523" spans="1:1" ht="12" customHeight="1" x14ac:dyDescent="0.15">
      <c r="A523" s="2"/>
    </row>
    <row r="524" spans="1:1" ht="12" customHeight="1" x14ac:dyDescent="0.15">
      <c r="A524" s="2"/>
    </row>
    <row r="525" spans="1:1" ht="12" customHeight="1" x14ac:dyDescent="0.15">
      <c r="A525" s="2"/>
    </row>
    <row r="526" spans="1:1" ht="12" customHeight="1" x14ac:dyDescent="0.15">
      <c r="A526" s="2"/>
    </row>
    <row r="527" spans="1:1" ht="12" customHeight="1" x14ac:dyDescent="0.15">
      <c r="A527" s="2"/>
    </row>
    <row r="528" spans="1:1" ht="12" customHeight="1" x14ac:dyDescent="0.15">
      <c r="A528" s="2"/>
    </row>
    <row r="529" spans="1:1" ht="12" customHeight="1" x14ac:dyDescent="0.15">
      <c r="A529" s="2"/>
    </row>
    <row r="530" spans="1:1" ht="12" customHeight="1" x14ac:dyDescent="0.15">
      <c r="A530" s="2"/>
    </row>
    <row r="531" spans="1:1" ht="12" customHeight="1" x14ac:dyDescent="0.15">
      <c r="A531" s="2"/>
    </row>
    <row r="532" spans="1:1" ht="12" customHeight="1" x14ac:dyDescent="0.15">
      <c r="A532" s="2"/>
    </row>
    <row r="533" spans="1:1" ht="12" customHeight="1" x14ac:dyDescent="0.15">
      <c r="A533" s="2"/>
    </row>
    <row r="534" spans="1:1" ht="12" customHeight="1" x14ac:dyDescent="0.15">
      <c r="A534" s="2"/>
    </row>
    <row r="535" spans="1:1" ht="12" customHeight="1" x14ac:dyDescent="0.15">
      <c r="A535" s="2"/>
    </row>
    <row r="536" spans="1:1" ht="12" customHeight="1" x14ac:dyDescent="0.15">
      <c r="A536" s="2"/>
    </row>
    <row r="537" spans="1:1" ht="12" customHeight="1" x14ac:dyDescent="0.15">
      <c r="A537" s="2"/>
    </row>
    <row r="538" spans="1:1" ht="12" customHeight="1" x14ac:dyDescent="0.15">
      <c r="A538" s="2"/>
    </row>
    <row r="539" spans="1:1" ht="12" customHeight="1" x14ac:dyDescent="0.15">
      <c r="A539" s="2"/>
    </row>
    <row r="540" spans="1:1" ht="12" customHeight="1" x14ac:dyDescent="0.15">
      <c r="A540" s="2"/>
    </row>
    <row r="541" spans="1:1" ht="12" customHeight="1" x14ac:dyDescent="0.15">
      <c r="A541" s="2"/>
    </row>
    <row r="542" spans="1:1" ht="12" customHeight="1" x14ac:dyDescent="0.15">
      <c r="A542" s="2"/>
    </row>
    <row r="543" spans="1:1" ht="12" customHeight="1" x14ac:dyDescent="0.15">
      <c r="A543" s="2"/>
    </row>
    <row r="544" spans="1:1" ht="12" customHeight="1" x14ac:dyDescent="0.15">
      <c r="A544" s="2"/>
    </row>
    <row r="545" spans="1:1" ht="12" customHeight="1" x14ac:dyDescent="0.15">
      <c r="A545" s="2"/>
    </row>
    <row r="546" spans="1:1" ht="12" customHeight="1" x14ac:dyDescent="0.15">
      <c r="A546" s="2"/>
    </row>
    <row r="547" spans="1:1" ht="12" customHeight="1" x14ac:dyDescent="0.15">
      <c r="A547" s="2"/>
    </row>
    <row r="548" spans="1:1" ht="12" customHeight="1" x14ac:dyDescent="0.15">
      <c r="A548" s="2"/>
    </row>
    <row r="549" spans="1:1" ht="12" customHeight="1" x14ac:dyDescent="0.15">
      <c r="A549" s="2"/>
    </row>
    <row r="550" spans="1:1" ht="12" customHeight="1" x14ac:dyDescent="0.15">
      <c r="A550" s="2"/>
    </row>
    <row r="551" spans="1:1" ht="12" customHeight="1" x14ac:dyDescent="0.15">
      <c r="A551" s="2"/>
    </row>
    <row r="552" spans="1:1" ht="12" customHeight="1" x14ac:dyDescent="0.15">
      <c r="A552" s="2"/>
    </row>
    <row r="553" spans="1:1" ht="12" customHeight="1" x14ac:dyDescent="0.15">
      <c r="A553" s="2"/>
    </row>
    <row r="554" spans="1:1" ht="12" customHeight="1" x14ac:dyDescent="0.15">
      <c r="A554" s="2"/>
    </row>
    <row r="555" spans="1:1" ht="12" customHeight="1" x14ac:dyDescent="0.15">
      <c r="A555" s="2"/>
    </row>
    <row r="556" spans="1:1" ht="12" customHeight="1" x14ac:dyDescent="0.15">
      <c r="A556" s="2"/>
    </row>
    <row r="557" spans="1:1" ht="12" customHeight="1" x14ac:dyDescent="0.15">
      <c r="A557" s="2"/>
    </row>
    <row r="558" spans="1:1" ht="12" customHeight="1" x14ac:dyDescent="0.15">
      <c r="A558" s="2"/>
    </row>
    <row r="559" spans="1:1" ht="12" customHeight="1" x14ac:dyDescent="0.15">
      <c r="A559" s="2"/>
    </row>
    <row r="560" spans="1:1" ht="12" customHeight="1" x14ac:dyDescent="0.15">
      <c r="A560" s="2"/>
    </row>
    <row r="561" spans="1:1" ht="12" customHeight="1" x14ac:dyDescent="0.15">
      <c r="A561" s="2"/>
    </row>
    <row r="562" spans="1:1" ht="12" customHeight="1" x14ac:dyDescent="0.15">
      <c r="A562" s="2"/>
    </row>
    <row r="563" spans="1:1" ht="12" customHeight="1" x14ac:dyDescent="0.15">
      <c r="A563" s="2"/>
    </row>
    <row r="564" spans="1:1" ht="12" customHeight="1" x14ac:dyDescent="0.15">
      <c r="A564" s="2"/>
    </row>
    <row r="565" spans="1:1" ht="12" customHeight="1" x14ac:dyDescent="0.15">
      <c r="A565" s="2"/>
    </row>
    <row r="566" spans="1:1" ht="12" customHeight="1" x14ac:dyDescent="0.15">
      <c r="A566" s="2"/>
    </row>
    <row r="567" spans="1:1" ht="12" customHeight="1" x14ac:dyDescent="0.15">
      <c r="A567" s="2"/>
    </row>
    <row r="568" spans="1:1" ht="12" customHeight="1" x14ac:dyDescent="0.15">
      <c r="A568" s="2"/>
    </row>
    <row r="569" spans="1:1" ht="12" customHeight="1" x14ac:dyDescent="0.15">
      <c r="A569" s="2"/>
    </row>
    <row r="570" spans="1:1" ht="12" customHeight="1" x14ac:dyDescent="0.15">
      <c r="A570" s="2"/>
    </row>
    <row r="571" spans="1:1" ht="12" customHeight="1" x14ac:dyDescent="0.15">
      <c r="A571" s="2"/>
    </row>
    <row r="572" spans="1:1" ht="12" customHeight="1" x14ac:dyDescent="0.15">
      <c r="A572" s="2"/>
    </row>
    <row r="573" spans="1:1" ht="12" customHeight="1" x14ac:dyDescent="0.15">
      <c r="A573" s="2"/>
    </row>
    <row r="574" spans="1:1" ht="12" customHeight="1" x14ac:dyDescent="0.15">
      <c r="A574" s="2"/>
    </row>
    <row r="575" spans="1:1" ht="12" customHeight="1" x14ac:dyDescent="0.15">
      <c r="A575" s="2"/>
    </row>
    <row r="576" spans="1:1" ht="12" customHeight="1" x14ac:dyDescent="0.15">
      <c r="A576" s="2"/>
    </row>
    <row r="577" spans="1:1" ht="12" customHeight="1" x14ac:dyDescent="0.15">
      <c r="A577" s="2"/>
    </row>
    <row r="578" spans="1:1" ht="12" customHeight="1" x14ac:dyDescent="0.15">
      <c r="A578" s="2"/>
    </row>
    <row r="579" spans="1:1" ht="12" customHeight="1" x14ac:dyDescent="0.15">
      <c r="A579" s="2"/>
    </row>
    <row r="580" spans="1:1" ht="12" customHeight="1" x14ac:dyDescent="0.15">
      <c r="A580" s="2"/>
    </row>
    <row r="581" spans="1:1" ht="12" customHeight="1" x14ac:dyDescent="0.15">
      <c r="A581" s="2"/>
    </row>
    <row r="582" spans="1:1" ht="12" customHeight="1" x14ac:dyDescent="0.15">
      <c r="A582" s="2"/>
    </row>
    <row r="583" spans="1:1" ht="12" customHeight="1" x14ac:dyDescent="0.15">
      <c r="A583" s="2"/>
    </row>
    <row r="584" spans="1:1" ht="12" customHeight="1" x14ac:dyDescent="0.15">
      <c r="A584" s="2"/>
    </row>
    <row r="585" spans="1:1" ht="12" customHeight="1" x14ac:dyDescent="0.15">
      <c r="A585" s="2"/>
    </row>
    <row r="586" spans="1:1" ht="12" customHeight="1" x14ac:dyDescent="0.15">
      <c r="A586" s="2"/>
    </row>
    <row r="587" spans="1:1" ht="12" customHeight="1" x14ac:dyDescent="0.15">
      <c r="A587" s="2"/>
    </row>
    <row r="588" spans="1:1" ht="12" customHeight="1" x14ac:dyDescent="0.15">
      <c r="A588" s="2"/>
    </row>
    <row r="589" spans="1:1" ht="12" customHeight="1" x14ac:dyDescent="0.15">
      <c r="A589" s="2"/>
    </row>
    <row r="590" spans="1:1" ht="12" customHeight="1" x14ac:dyDescent="0.15">
      <c r="A590" s="2"/>
    </row>
    <row r="591" spans="1:1" ht="12" customHeight="1" x14ac:dyDescent="0.15">
      <c r="A591" s="2"/>
    </row>
    <row r="592" spans="1:1" ht="12" customHeight="1" x14ac:dyDescent="0.15">
      <c r="A592" s="2"/>
    </row>
    <row r="593" spans="1:1" ht="12" customHeight="1" x14ac:dyDescent="0.15">
      <c r="A593" s="2"/>
    </row>
    <row r="594" spans="1:1" ht="12" customHeight="1" x14ac:dyDescent="0.15">
      <c r="A594" s="2"/>
    </row>
    <row r="595" spans="1:1" ht="12" customHeight="1" x14ac:dyDescent="0.15">
      <c r="A595" s="2"/>
    </row>
    <row r="596" spans="1:1" ht="12" customHeight="1" x14ac:dyDescent="0.15">
      <c r="A596" s="2"/>
    </row>
    <row r="597" spans="1:1" ht="12" customHeight="1" x14ac:dyDescent="0.15">
      <c r="A597" s="2"/>
    </row>
    <row r="598" spans="1:1" ht="12" customHeight="1" x14ac:dyDescent="0.15">
      <c r="A598" s="2"/>
    </row>
    <row r="599" spans="1:1" ht="12" customHeight="1" x14ac:dyDescent="0.15">
      <c r="A599" s="2"/>
    </row>
    <row r="600" spans="1:1" ht="12" customHeight="1" x14ac:dyDescent="0.15">
      <c r="A600" s="2"/>
    </row>
    <row r="601" spans="1:1" ht="12" customHeight="1" x14ac:dyDescent="0.15">
      <c r="A601" s="2"/>
    </row>
    <row r="602" spans="1:1" ht="12" customHeight="1" x14ac:dyDescent="0.15">
      <c r="A602" s="2"/>
    </row>
    <row r="603" spans="1:1" ht="12" customHeight="1" x14ac:dyDescent="0.15">
      <c r="A603" s="2"/>
    </row>
    <row r="604" spans="1:1" ht="12" customHeight="1" x14ac:dyDescent="0.15">
      <c r="A604" s="2"/>
    </row>
    <row r="605" spans="1:1" ht="12" customHeight="1" x14ac:dyDescent="0.15">
      <c r="A605" s="2"/>
    </row>
    <row r="606" spans="1:1" ht="12" customHeight="1" x14ac:dyDescent="0.15">
      <c r="A606" s="2"/>
    </row>
    <row r="607" spans="1:1" ht="12" customHeight="1" x14ac:dyDescent="0.15">
      <c r="A607" s="2"/>
    </row>
    <row r="608" spans="1:1" ht="12" customHeight="1" x14ac:dyDescent="0.15">
      <c r="A608" s="2"/>
    </row>
    <row r="609" spans="1:1" ht="12" customHeight="1" x14ac:dyDescent="0.15">
      <c r="A609" s="2"/>
    </row>
    <row r="610" spans="1:1" ht="12" customHeight="1" x14ac:dyDescent="0.15">
      <c r="A610" s="2"/>
    </row>
    <row r="611" spans="1:1" ht="12" customHeight="1" x14ac:dyDescent="0.15">
      <c r="A611" s="2"/>
    </row>
    <row r="612" spans="1:1" ht="12" customHeight="1" x14ac:dyDescent="0.15">
      <c r="A612" s="2"/>
    </row>
    <row r="613" spans="1:1" ht="12" customHeight="1" x14ac:dyDescent="0.15">
      <c r="A613" s="2"/>
    </row>
    <row r="614" spans="1:1" ht="12" customHeight="1" x14ac:dyDescent="0.15">
      <c r="A614" s="2"/>
    </row>
    <row r="615" spans="1:1" ht="12" customHeight="1" x14ac:dyDescent="0.15">
      <c r="A615" s="2"/>
    </row>
    <row r="616" spans="1:1" ht="12" customHeight="1" x14ac:dyDescent="0.15">
      <c r="A616" s="2"/>
    </row>
    <row r="617" spans="1:1" ht="12" customHeight="1" x14ac:dyDescent="0.15">
      <c r="A617" s="2"/>
    </row>
    <row r="618" spans="1:1" ht="12" customHeight="1" x14ac:dyDescent="0.15">
      <c r="A618" s="2"/>
    </row>
    <row r="619" spans="1:1" ht="12" customHeight="1" x14ac:dyDescent="0.15">
      <c r="A619" s="2"/>
    </row>
    <row r="620" spans="1:1" ht="12" customHeight="1" x14ac:dyDescent="0.15">
      <c r="A620" s="2"/>
    </row>
    <row r="621" spans="1:1" ht="12" customHeight="1" x14ac:dyDescent="0.15">
      <c r="A621" s="2"/>
    </row>
    <row r="622" spans="1:1" ht="12" customHeight="1" x14ac:dyDescent="0.15">
      <c r="A622" s="2"/>
    </row>
    <row r="623" spans="1:1" ht="12" customHeight="1" x14ac:dyDescent="0.15">
      <c r="A623" s="2"/>
    </row>
    <row r="624" spans="1:1" ht="12" customHeight="1" x14ac:dyDescent="0.15">
      <c r="A624" s="2"/>
    </row>
    <row r="625" spans="1:1" ht="12" customHeight="1" x14ac:dyDescent="0.15">
      <c r="A625" s="2"/>
    </row>
    <row r="626" spans="1:1" ht="12" customHeight="1" x14ac:dyDescent="0.15">
      <c r="A626" s="2"/>
    </row>
    <row r="627" spans="1:1" ht="12" customHeight="1" x14ac:dyDescent="0.15">
      <c r="A627" s="2"/>
    </row>
    <row r="628" spans="1:1" ht="12" customHeight="1" x14ac:dyDescent="0.15">
      <c r="A628" s="2"/>
    </row>
    <row r="629" spans="1:1" ht="12" customHeight="1" x14ac:dyDescent="0.15">
      <c r="A629" s="2"/>
    </row>
    <row r="630" spans="1:1" ht="12" customHeight="1" x14ac:dyDescent="0.15">
      <c r="A630" s="2"/>
    </row>
    <row r="631" spans="1:1" ht="12" customHeight="1" x14ac:dyDescent="0.15">
      <c r="A631" s="2"/>
    </row>
    <row r="632" spans="1:1" ht="12" customHeight="1" x14ac:dyDescent="0.15">
      <c r="A632" s="2"/>
    </row>
    <row r="633" spans="1:1" ht="12" customHeight="1" x14ac:dyDescent="0.15">
      <c r="A633" s="2"/>
    </row>
    <row r="634" spans="1:1" ht="12" customHeight="1" x14ac:dyDescent="0.15">
      <c r="A634" s="2"/>
    </row>
    <row r="635" spans="1:1" ht="12" customHeight="1" x14ac:dyDescent="0.15">
      <c r="A635" s="2"/>
    </row>
    <row r="636" spans="1:1" ht="12" customHeight="1" x14ac:dyDescent="0.15">
      <c r="A636" s="2"/>
    </row>
    <row r="637" spans="1:1" ht="12" customHeight="1" x14ac:dyDescent="0.15">
      <c r="A637" s="2"/>
    </row>
    <row r="638" spans="1:1" ht="12" customHeight="1" x14ac:dyDescent="0.15">
      <c r="A638" s="2"/>
    </row>
    <row r="639" spans="1:1" ht="12" customHeight="1" x14ac:dyDescent="0.15">
      <c r="A639" s="2"/>
    </row>
    <row r="640" spans="1:1" ht="12" customHeight="1" x14ac:dyDescent="0.15">
      <c r="A640" s="2"/>
    </row>
    <row r="641" spans="1:1" ht="12" customHeight="1" x14ac:dyDescent="0.15">
      <c r="A641" s="2"/>
    </row>
    <row r="642" spans="1:1" ht="12" customHeight="1" x14ac:dyDescent="0.15">
      <c r="A642" s="2"/>
    </row>
    <row r="643" spans="1:1" ht="12" customHeight="1" x14ac:dyDescent="0.15">
      <c r="A643" s="2"/>
    </row>
    <row r="644" spans="1:1" ht="12" customHeight="1" x14ac:dyDescent="0.15">
      <c r="A644" s="2"/>
    </row>
    <row r="645" spans="1:1" ht="12" customHeight="1" x14ac:dyDescent="0.15">
      <c r="A645" s="2"/>
    </row>
    <row r="646" spans="1:1" ht="12" customHeight="1" x14ac:dyDescent="0.15">
      <c r="A646" s="2"/>
    </row>
    <row r="647" spans="1:1" ht="12" customHeight="1" x14ac:dyDescent="0.15">
      <c r="A647" s="2"/>
    </row>
    <row r="648" spans="1:1" ht="12" customHeight="1" x14ac:dyDescent="0.15">
      <c r="A648" s="2"/>
    </row>
    <row r="649" spans="1:1" ht="12" customHeight="1" x14ac:dyDescent="0.15">
      <c r="A649" s="2"/>
    </row>
    <row r="650" spans="1:1" ht="12" customHeight="1" x14ac:dyDescent="0.15">
      <c r="A650" s="2"/>
    </row>
    <row r="651" spans="1:1" ht="12" customHeight="1" x14ac:dyDescent="0.15">
      <c r="A651" s="2"/>
    </row>
    <row r="652" spans="1:1" ht="12" customHeight="1" x14ac:dyDescent="0.15">
      <c r="A652" s="2"/>
    </row>
    <row r="653" spans="1:1" ht="12" customHeight="1" x14ac:dyDescent="0.15">
      <c r="A653" s="2"/>
    </row>
    <row r="654" spans="1:1" ht="12" customHeight="1" x14ac:dyDescent="0.15">
      <c r="A654" s="2"/>
    </row>
    <row r="655" spans="1:1" ht="12" customHeight="1" x14ac:dyDescent="0.15">
      <c r="A655" s="2"/>
    </row>
    <row r="656" spans="1:1" ht="12" customHeight="1" x14ac:dyDescent="0.15">
      <c r="A656" s="2"/>
    </row>
    <row r="657" spans="1:1" ht="12" customHeight="1" x14ac:dyDescent="0.15">
      <c r="A657" s="2"/>
    </row>
    <row r="658" spans="1:1" ht="12" customHeight="1" x14ac:dyDescent="0.15">
      <c r="A658" s="2"/>
    </row>
    <row r="659" spans="1:1" ht="12" customHeight="1" x14ac:dyDescent="0.15">
      <c r="A659" s="2"/>
    </row>
    <row r="660" spans="1:1" ht="12" customHeight="1" x14ac:dyDescent="0.15">
      <c r="A660" s="2"/>
    </row>
    <row r="661" spans="1:1" ht="12" customHeight="1" x14ac:dyDescent="0.15">
      <c r="A661" s="2"/>
    </row>
    <row r="662" spans="1:1" ht="12" customHeight="1" x14ac:dyDescent="0.15">
      <c r="A662" s="2"/>
    </row>
    <row r="663" spans="1:1" ht="12" customHeight="1" x14ac:dyDescent="0.15">
      <c r="A663" s="2"/>
    </row>
    <row r="664" spans="1:1" ht="12" customHeight="1" x14ac:dyDescent="0.15">
      <c r="A664" s="2"/>
    </row>
    <row r="665" spans="1:1" ht="12" customHeight="1" x14ac:dyDescent="0.15">
      <c r="A665" s="2"/>
    </row>
    <row r="666" spans="1:1" ht="12" customHeight="1" x14ac:dyDescent="0.15">
      <c r="A666" s="2"/>
    </row>
    <row r="667" spans="1:1" ht="12" customHeight="1" x14ac:dyDescent="0.15">
      <c r="A667" s="2"/>
    </row>
    <row r="668" spans="1:1" ht="12" customHeight="1" x14ac:dyDescent="0.15">
      <c r="A668" s="2"/>
    </row>
    <row r="669" spans="1:1" ht="12" customHeight="1" x14ac:dyDescent="0.15">
      <c r="A669" s="2"/>
    </row>
    <row r="670" spans="1:1" ht="12" customHeight="1" x14ac:dyDescent="0.15">
      <c r="A670" s="2"/>
    </row>
    <row r="671" spans="1:1" ht="12" customHeight="1" x14ac:dyDescent="0.15">
      <c r="A671" s="2"/>
    </row>
    <row r="672" spans="1:1" ht="12" customHeight="1" x14ac:dyDescent="0.15">
      <c r="A672" s="2"/>
    </row>
    <row r="673" spans="1:1" ht="12" customHeight="1" x14ac:dyDescent="0.15">
      <c r="A673" s="2"/>
    </row>
    <row r="674" spans="1:1" ht="12" customHeight="1" x14ac:dyDescent="0.15">
      <c r="A674" s="2"/>
    </row>
    <row r="675" spans="1:1" ht="12" customHeight="1" x14ac:dyDescent="0.15">
      <c r="A675" s="2"/>
    </row>
    <row r="676" spans="1:1" ht="12" customHeight="1" x14ac:dyDescent="0.15">
      <c r="A676" s="2"/>
    </row>
    <row r="677" spans="1:1" ht="12" customHeight="1" x14ac:dyDescent="0.15">
      <c r="A677" s="13"/>
    </row>
    <row r="678" spans="1:1" ht="12" customHeight="1" x14ac:dyDescent="0.15">
      <c r="A678" s="13"/>
    </row>
    <row r="679" spans="1:1" ht="12" customHeight="1" x14ac:dyDescent="0.15">
      <c r="A679" s="13"/>
    </row>
    <row r="680" spans="1:1" ht="12" customHeight="1" x14ac:dyDescent="0.15">
      <c r="A680" s="2"/>
    </row>
    <row r="681" spans="1:1" ht="12" customHeight="1" x14ac:dyDescent="0.15">
      <c r="A681" s="2"/>
    </row>
    <row r="682" spans="1:1" ht="12" customHeight="1" x14ac:dyDescent="0.15">
      <c r="A682" s="2"/>
    </row>
    <row r="683" spans="1:1" ht="12" customHeight="1" x14ac:dyDescent="0.15">
      <c r="A683" s="2"/>
    </row>
    <row r="684" spans="1:1" ht="12" customHeight="1" x14ac:dyDescent="0.15">
      <c r="A684" s="2"/>
    </row>
    <row r="685" spans="1:1" ht="12" customHeight="1" x14ac:dyDescent="0.15">
      <c r="A685" s="2"/>
    </row>
    <row r="686" spans="1:1" ht="12" customHeight="1" x14ac:dyDescent="0.15">
      <c r="A686" s="2"/>
    </row>
    <row r="687" spans="1:1" ht="12" customHeight="1" x14ac:dyDescent="0.15">
      <c r="A687" s="2"/>
    </row>
    <row r="688" spans="1:1" ht="12" customHeight="1" x14ac:dyDescent="0.15">
      <c r="A688" s="2"/>
    </row>
    <row r="689" spans="1:1" ht="12" customHeight="1" x14ac:dyDescent="0.15">
      <c r="A689" s="2"/>
    </row>
    <row r="690" spans="1:1" ht="12" customHeight="1" x14ac:dyDescent="0.15">
      <c r="A690" s="2"/>
    </row>
    <row r="691" spans="1:1" ht="12" customHeight="1" x14ac:dyDescent="0.15">
      <c r="A691" s="2"/>
    </row>
    <row r="692" spans="1:1" ht="12" customHeight="1" x14ac:dyDescent="0.15">
      <c r="A692" s="2"/>
    </row>
    <row r="693" spans="1:1" ht="12" customHeight="1" x14ac:dyDescent="0.15">
      <c r="A693" s="2"/>
    </row>
    <row r="694" spans="1:1" ht="12" customHeight="1" x14ac:dyDescent="0.15">
      <c r="A694" s="2"/>
    </row>
    <row r="695" spans="1:1" ht="12" customHeight="1" x14ac:dyDescent="0.15">
      <c r="A695" s="2"/>
    </row>
    <row r="696" spans="1:1" ht="12" customHeight="1" x14ac:dyDescent="0.15">
      <c r="A696" s="2"/>
    </row>
    <row r="697" spans="1:1" ht="12" customHeight="1" x14ac:dyDescent="0.15">
      <c r="A697" s="2"/>
    </row>
    <row r="698" spans="1:1" ht="12" customHeight="1" x14ac:dyDescent="0.15">
      <c r="A698" s="2"/>
    </row>
    <row r="699" spans="1:1" ht="12" customHeight="1" x14ac:dyDescent="0.15">
      <c r="A699" s="2"/>
    </row>
    <row r="700" spans="1:1" ht="12" customHeight="1" x14ac:dyDescent="0.15">
      <c r="A700" s="2"/>
    </row>
    <row r="701" spans="1:1" ht="12" customHeight="1" x14ac:dyDescent="0.15">
      <c r="A701" s="2"/>
    </row>
    <row r="702" spans="1:1" ht="12" customHeight="1" x14ac:dyDescent="0.15">
      <c r="A702" s="2"/>
    </row>
    <row r="703" spans="1:1" ht="12" customHeight="1" x14ac:dyDescent="0.15">
      <c r="A703" s="2"/>
    </row>
    <row r="704" spans="1:1" ht="12" customHeight="1" x14ac:dyDescent="0.15">
      <c r="A704" s="2"/>
    </row>
    <row r="705" spans="1:1" ht="12" customHeight="1" x14ac:dyDescent="0.15">
      <c r="A705" s="2"/>
    </row>
    <row r="706" spans="1:1" ht="12" customHeight="1" x14ac:dyDescent="0.15">
      <c r="A706" s="2"/>
    </row>
    <row r="707" spans="1:1" ht="12" customHeight="1" x14ac:dyDescent="0.15">
      <c r="A707" s="2"/>
    </row>
    <row r="708" spans="1:1" ht="12" customHeight="1" x14ac:dyDescent="0.15">
      <c r="A708" s="2"/>
    </row>
    <row r="709" spans="1:1" ht="12" customHeight="1" x14ac:dyDescent="0.15">
      <c r="A709" s="2"/>
    </row>
    <row r="710" spans="1:1" ht="12" customHeight="1" x14ac:dyDescent="0.15">
      <c r="A710" s="2"/>
    </row>
    <row r="711" spans="1:1" ht="12" customHeight="1" x14ac:dyDescent="0.15">
      <c r="A711" s="2"/>
    </row>
    <row r="712" spans="1:1" ht="12" customHeight="1" x14ac:dyDescent="0.15">
      <c r="A712" s="2"/>
    </row>
    <row r="713" spans="1:1" ht="12" customHeight="1" x14ac:dyDescent="0.15">
      <c r="A713" s="2"/>
    </row>
    <row r="714" spans="1:1" ht="12" customHeight="1" x14ac:dyDescent="0.15">
      <c r="A714" s="2"/>
    </row>
    <row r="715" spans="1:1" ht="12" customHeight="1" x14ac:dyDescent="0.15">
      <c r="A715" s="2"/>
    </row>
    <row r="716" spans="1:1" ht="12" customHeight="1" x14ac:dyDescent="0.15">
      <c r="A716" s="2"/>
    </row>
    <row r="717" spans="1:1" ht="12" customHeight="1" x14ac:dyDescent="0.15">
      <c r="A717" s="2"/>
    </row>
    <row r="718" spans="1:1" ht="12" customHeight="1" x14ac:dyDescent="0.15">
      <c r="A718" s="2"/>
    </row>
    <row r="719" spans="1:1" ht="12" customHeight="1" x14ac:dyDescent="0.15">
      <c r="A719" s="2"/>
    </row>
    <row r="720" spans="1:1" ht="12" customHeight="1" x14ac:dyDescent="0.15">
      <c r="A720" s="2"/>
    </row>
    <row r="721" spans="1:1" ht="12" customHeight="1" x14ac:dyDescent="0.15">
      <c r="A721" s="2"/>
    </row>
    <row r="722" spans="1:1" ht="12" customHeight="1" x14ac:dyDescent="0.15">
      <c r="A722" s="2"/>
    </row>
    <row r="723" spans="1:1" ht="12" customHeight="1" x14ac:dyDescent="0.15">
      <c r="A723" s="2"/>
    </row>
    <row r="724" spans="1:1" ht="12" customHeight="1" x14ac:dyDescent="0.15">
      <c r="A724" s="2"/>
    </row>
    <row r="725" spans="1:1" ht="12" customHeight="1" x14ac:dyDescent="0.15">
      <c r="A725" s="2"/>
    </row>
    <row r="726" spans="1:1" ht="12" customHeight="1" x14ac:dyDescent="0.15">
      <c r="A726" s="2"/>
    </row>
    <row r="727" spans="1:1" ht="12" customHeight="1" x14ac:dyDescent="0.15">
      <c r="A727" s="2"/>
    </row>
    <row r="728" spans="1:1" ht="12" customHeight="1" x14ac:dyDescent="0.15">
      <c r="A728" s="2"/>
    </row>
    <row r="729" spans="1:1" ht="12" customHeight="1" x14ac:dyDescent="0.15">
      <c r="A729" s="2"/>
    </row>
    <row r="730" spans="1:1" ht="12" customHeight="1" x14ac:dyDescent="0.15">
      <c r="A730" s="2"/>
    </row>
    <row r="731" spans="1:1" ht="12" customHeight="1" x14ac:dyDescent="0.15">
      <c r="A731" s="2"/>
    </row>
    <row r="732" spans="1:1" ht="12" customHeight="1" x14ac:dyDescent="0.15">
      <c r="A732" s="2"/>
    </row>
    <row r="733" spans="1:1" ht="12" customHeight="1" x14ac:dyDescent="0.15">
      <c r="A733" s="2"/>
    </row>
    <row r="734" spans="1:1" ht="12" customHeight="1" x14ac:dyDescent="0.15">
      <c r="A734" s="2"/>
    </row>
    <row r="735" spans="1:1" ht="12" customHeight="1" x14ac:dyDescent="0.15">
      <c r="A735" s="2"/>
    </row>
    <row r="736" spans="1:1" ht="12" customHeight="1" x14ac:dyDescent="0.15">
      <c r="A736" s="2"/>
    </row>
    <row r="737" spans="1:1" ht="12" customHeight="1" x14ac:dyDescent="0.15">
      <c r="A737" s="2"/>
    </row>
    <row r="738" spans="1:1" ht="12" customHeight="1" x14ac:dyDescent="0.15">
      <c r="A738" s="2"/>
    </row>
    <row r="739" spans="1:1" ht="12" customHeight="1" x14ac:dyDescent="0.15">
      <c r="A739" s="2"/>
    </row>
    <row r="740" spans="1:1" ht="12" customHeight="1" x14ac:dyDescent="0.15">
      <c r="A740" s="2"/>
    </row>
    <row r="741" spans="1:1" ht="12" customHeight="1" x14ac:dyDescent="0.15">
      <c r="A741" s="2"/>
    </row>
    <row r="742" spans="1:1" ht="12" customHeight="1" x14ac:dyDescent="0.15">
      <c r="A742" s="2"/>
    </row>
    <row r="743" spans="1:1" ht="12" customHeight="1" x14ac:dyDescent="0.15">
      <c r="A743" s="2"/>
    </row>
    <row r="744" spans="1:1" ht="12" customHeight="1" x14ac:dyDescent="0.15">
      <c r="A744" s="2"/>
    </row>
    <row r="745" spans="1:1" ht="12" customHeight="1" x14ac:dyDescent="0.15">
      <c r="A745" s="2"/>
    </row>
    <row r="746" spans="1:1" ht="12" customHeight="1" x14ac:dyDescent="0.15">
      <c r="A746" s="2"/>
    </row>
    <row r="747" spans="1:1" ht="12" customHeight="1" x14ac:dyDescent="0.15">
      <c r="A747" s="2"/>
    </row>
    <row r="748" spans="1:1" ht="12" customHeight="1" x14ac:dyDescent="0.15">
      <c r="A748" s="2"/>
    </row>
    <row r="749" spans="1:1" ht="12" customHeight="1" x14ac:dyDescent="0.15">
      <c r="A749" s="2"/>
    </row>
    <row r="750" spans="1:1" ht="12" customHeight="1" x14ac:dyDescent="0.15">
      <c r="A750" s="2"/>
    </row>
    <row r="751" spans="1:1" ht="12" customHeight="1" x14ac:dyDescent="0.15">
      <c r="A751" s="2"/>
    </row>
    <row r="752" spans="1:1" ht="12" customHeight="1" x14ac:dyDescent="0.15">
      <c r="A752" s="2"/>
    </row>
    <row r="753" spans="1:1" ht="12" customHeight="1" x14ac:dyDescent="0.15">
      <c r="A753" s="2"/>
    </row>
    <row r="754" spans="1:1" ht="12" customHeight="1" x14ac:dyDescent="0.15">
      <c r="A754" s="2"/>
    </row>
    <row r="755" spans="1:1" ht="12" customHeight="1" x14ac:dyDescent="0.15">
      <c r="A755" s="2"/>
    </row>
    <row r="756" spans="1:1" ht="12" customHeight="1" x14ac:dyDescent="0.15">
      <c r="A756" s="2"/>
    </row>
    <row r="757" spans="1:1" ht="12" customHeight="1" x14ac:dyDescent="0.15">
      <c r="A757" s="2"/>
    </row>
    <row r="758" spans="1:1" ht="12" customHeight="1" x14ac:dyDescent="0.15">
      <c r="A758" s="2"/>
    </row>
    <row r="759" spans="1:1" ht="12" customHeight="1" x14ac:dyDescent="0.15">
      <c r="A759" s="2"/>
    </row>
    <row r="760" spans="1:1" ht="12" customHeight="1" x14ac:dyDescent="0.15">
      <c r="A760" s="2"/>
    </row>
    <row r="761" spans="1:1" ht="12" customHeight="1" x14ac:dyDescent="0.15">
      <c r="A761" s="2"/>
    </row>
    <row r="762" spans="1:1" ht="12" customHeight="1" x14ac:dyDescent="0.15">
      <c r="A762" s="2"/>
    </row>
    <row r="763" spans="1:1" ht="12" customHeight="1" x14ac:dyDescent="0.15">
      <c r="A763" s="2"/>
    </row>
    <row r="764" spans="1:1" ht="12" customHeight="1" x14ac:dyDescent="0.15">
      <c r="A764" s="2"/>
    </row>
    <row r="765" spans="1:1" ht="12" customHeight="1" x14ac:dyDescent="0.15">
      <c r="A765" s="2"/>
    </row>
    <row r="766" spans="1:1" ht="12" customHeight="1" x14ac:dyDescent="0.15">
      <c r="A766" s="2"/>
    </row>
    <row r="767" spans="1:1" ht="12" customHeight="1" x14ac:dyDescent="0.15">
      <c r="A767" s="2"/>
    </row>
    <row r="768" spans="1:1" ht="12" customHeight="1" x14ac:dyDescent="0.15">
      <c r="A768" s="2"/>
    </row>
    <row r="769" spans="1:1" ht="12" customHeight="1" x14ac:dyDescent="0.15">
      <c r="A769" s="2"/>
    </row>
    <row r="770" spans="1:1" ht="12" customHeight="1" x14ac:dyDescent="0.15">
      <c r="A770" s="2"/>
    </row>
    <row r="771" spans="1:1" ht="12" customHeight="1" x14ac:dyDescent="0.15">
      <c r="A771" s="2"/>
    </row>
    <row r="772" spans="1:1" ht="12" customHeight="1" x14ac:dyDescent="0.15">
      <c r="A772" s="2"/>
    </row>
    <row r="773" spans="1:1" ht="12" customHeight="1" x14ac:dyDescent="0.15">
      <c r="A773" s="2"/>
    </row>
    <row r="774" spans="1:1" ht="12" customHeight="1" x14ac:dyDescent="0.15">
      <c r="A774" s="2"/>
    </row>
    <row r="775" spans="1:1" ht="12" customHeight="1" x14ac:dyDescent="0.15">
      <c r="A775" s="2"/>
    </row>
    <row r="776" spans="1:1" ht="12" customHeight="1" x14ac:dyDescent="0.15">
      <c r="A776" s="2"/>
    </row>
    <row r="777" spans="1:1" ht="12" customHeight="1" x14ac:dyDescent="0.15">
      <c r="A777" s="2"/>
    </row>
    <row r="778" spans="1:1" ht="12" customHeight="1" x14ac:dyDescent="0.15">
      <c r="A778" s="2"/>
    </row>
    <row r="779" spans="1:1" ht="12" customHeight="1" x14ac:dyDescent="0.15">
      <c r="A779" s="2"/>
    </row>
    <row r="780" spans="1:1" ht="12" customHeight="1" x14ac:dyDescent="0.15">
      <c r="A780" s="2"/>
    </row>
    <row r="781" spans="1:1" ht="12" customHeight="1" x14ac:dyDescent="0.15">
      <c r="A781" s="2"/>
    </row>
    <row r="782" spans="1:1" ht="12" customHeight="1" x14ac:dyDescent="0.15">
      <c r="A782" s="2"/>
    </row>
    <row r="783" spans="1:1" ht="12" customHeight="1" x14ac:dyDescent="0.15">
      <c r="A783" s="2"/>
    </row>
    <row r="784" spans="1:1" ht="12" customHeight="1" x14ac:dyDescent="0.15">
      <c r="A784" s="2"/>
    </row>
    <row r="785" spans="1:1" ht="12" customHeight="1" x14ac:dyDescent="0.15">
      <c r="A785" s="2"/>
    </row>
    <row r="786" spans="1:1" ht="12" customHeight="1" x14ac:dyDescent="0.15">
      <c r="A786" s="2"/>
    </row>
    <row r="787" spans="1:1" ht="12" customHeight="1" x14ac:dyDescent="0.15">
      <c r="A787" s="2"/>
    </row>
    <row r="788" spans="1:1" ht="12" customHeight="1" x14ac:dyDescent="0.15">
      <c r="A788" s="2"/>
    </row>
    <row r="789" spans="1:1" ht="12" customHeight="1" x14ac:dyDescent="0.15">
      <c r="A789" s="2"/>
    </row>
    <row r="790" spans="1:1" ht="12" customHeight="1" x14ac:dyDescent="0.15">
      <c r="A790" s="2"/>
    </row>
    <row r="791" spans="1:1" ht="12" customHeight="1" x14ac:dyDescent="0.15">
      <c r="A791" s="2"/>
    </row>
    <row r="792" spans="1:1" ht="12" customHeight="1" x14ac:dyDescent="0.15">
      <c r="A792" s="2"/>
    </row>
    <row r="793" spans="1:1" ht="12" customHeight="1" x14ac:dyDescent="0.15">
      <c r="A793" s="2"/>
    </row>
    <row r="794" spans="1:1" ht="12" customHeight="1" x14ac:dyDescent="0.15">
      <c r="A794" s="2"/>
    </row>
    <row r="795" spans="1:1" ht="12" customHeight="1" x14ac:dyDescent="0.15">
      <c r="A795" s="2"/>
    </row>
    <row r="796" spans="1:1" ht="12" customHeight="1" x14ac:dyDescent="0.15">
      <c r="A796" s="2"/>
    </row>
    <row r="797" spans="1:1" ht="12" customHeight="1" x14ac:dyDescent="0.15">
      <c r="A797" s="2"/>
    </row>
    <row r="798" spans="1:1" ht="12" customHeight="1" x14ac:dyDescent="0.15">
      <c r="A798" s="2"/>
    </row>
    <row r="799" spans="1:1" ht="12" customHeight="1" x14ac:dyDescent="0.15">
      <c r="A799" s="2"/>
    </row>
    <row r="800" spans="1:1" ht="12" customHeight="1" x14ac:dyDescent="0.15">
      <c r="A800" s="2"/>
    </row>
    <row r="801" spans="1:1" ht="12" customHeight="1" x14ac:dyDescent="0.15">
      <c r="A801" s="2"/>
    </row>
    <row r="802" spans="1:1" ht="12" customHeight="1" x14ac:dyDescent="0.15">
      <c r="A802" s="2"/>
    </row>
    <row r="803" spans="1:1" ht="12" customHeight="1" x14ac:dyDescent="0.15">
      <c r="A803" s="2"/>
    </row>
    <row r="804" spans="1:1" ht="12" customHeight="1" x14ac:dyDescent="0.15">
      <c r="A804" s="2"/>
    </row>
    <row r="805" spans="1:1" ht="12" customHeight="1" x14ac:dyDescent="0.15">
      <c r="A805" s="2"/>
    </row>
    <row r="806" spans="1:1" ht="12" customHeight="1" x14ac:dyDescent="0.15">
      <c r="A806" s="2"/>
    </row>
    <row r="807" spans="1:1" ht="12" customHeight="1" x14ac:dyDescent="0.15">
      <c r="A807" s="2"/>
    </row>
    <row r="808" spans="1:1" ht="12" customHeight="1" x14ac:dyDescent="0.15">
      <c r="A808" s="2"/>
    </row>
    <row r="809" spans="1:1" ht="12" customHeight="1" x14ac:dyDescent="0.15">
      <c r="A809" s="2"/>
    </row>
    <row r="810" spans="1:1" ht="12" customHeight="1" x14ac:dyDescent="0.15">
      <c r="A810" s="2"/>
    </row>
    <row r="811" spans="1:1" ht="12" customHeight="1" x14ac:dyDescent="0.15">
      <c r="A811" s="2"/>
    </row>
    <row r="812" spans="1:1" ht="12" customHeight="1" x14ac:dyDescent="0.15">
      <c r="A812" s="2"/>
    </row>
    <row r="813" spans="1:1" ht="12" customHeight="1" x14ac:dyDescent="0.15">
      <c r="A813" s="2"/>
    </row>
    <row r="814" spans="1:1" ht="12" customHeight="1" x14ac:dyDescent="0.15">
      <c r="A814" s="2"/>
    </row>
    <row r="815" spans="1:1" ht="12" customHeight="1" x14ac:dyDescent="0.15">
      <c r="A815" s="2"/>
    </row>
    <row r="816" spans="1:1" ht="12" customHeight="1" x14ac:dyDescent="0.15">
      <c r="A816" s="2"/>
    </row>
    <row r="817" spans="1:1" ht="12" customHeight="1" x14ac:dyDescent="0.15">
      <c r="A817" s="2"/>
    </row>
    <row r="818" spans="1:1" ht="12" customHeight="1" x14ac:dyDescent="0.15">
      <c r="A818" s="2"/>
    </row>
    <row r="819" spans="1:1" ht="12" customHeight="1" x14ac:dyDescent="0.15">
      <c r="A819" s="2"/>
    </row>
    <row r="820" spans="1:1" ht="12" customHeight="1" x14ac:dyDescent="0.15">
      <c r="A820" s="2"/>
    </row>
    <row r="821" spans="1:1" ht="12" customHeight="1" x14ac:dyDescent="0.15">
      <c r="A821" s="2"/>
    </row>
    <row r="822" spans="1:1" ht="12" customHeight="1" x14ac:dyDescent="0.15">
      <c r="A822" s="2"/>
    </row>
    <row r="823" spans="1:1" ht="12" customHeight="1" x14ac:dyDescent="0.15">
      <c r="A823" s="2"/>
    </row>
    <row r="824" spans="1:1" ht="12" customHeight="1" x14ac:dyDescent="0.15">
      <c r="A824" s="2"/>
    </row>
    <row r="825" spans="1:1" ht="12" customHeight="1" x14ac:dyDescent="0.15">
      <c r="A825" s="2"/>
    </row>
    <row r="826" spans="1:1" ht="12" customHeight="1" x14ac:dyDescent="0.15">
      <c r="A826" s="2"/>
    </row>
    <row r="827" spans="1:1" ht="12" customHeight="1" x14ac:dyDescent="0.15">
      <c r="A827" s="2"/>
    </row>
    <row r="828" spans="1:1" ht="12" customHeight="1" x14ac:dyDescent="0.15">
      <c r="A828" s="2"/>
    </row>
    <row r="829" spans="1:1" ht="12" customHeight="1" x14ac:dyDescent="0.15">
      <c r="A829" s="2"/>
    </row>
    <row r="830" spans="1:1" ht="12" customHeight="1" x14ac:dyDescent="0.15">
      <c r="A830" s="2"/>
    </row>
    <row r="831" spans="1:1" ht="12" customHeight="1" x14ac:dyDescent="0.15">
      <c r="A831" s="2"/>
    </row>
    <row r="832" spans="1:1" ht="12" customHeight="1" x14ac:dyDescent="0.15">
      <c r="A832" s="2"/>
    </row>
    <row r="833" spans="1:1" ht="12" customHeight="1" x14ac:dyDescent="0.15">
      <c r="A833" s="2"/>
    </row>
    <row r="834" spans="1:1" ht="12" customHeight="1" x14ac:dyDescent="0.15">
      <c r="A834" s="2"/>
    </row>
    <row r="835" spans="1:1" ht="12" customHeight="1" x14ac:dyDescent="0.15">
      <c r="A835" s="2"/>
    </row>
    <row r="836" spans="1:1" ht="12" customHeight="1" x14ac:dyDescent="0.15">
      <c r="A836" s="2"/>
    </row>
    <row r="837" spans="1:1" ht="12" customHeight="1" x14ac:dyDescent="0.15">
      <c r="A837" s="2"/>
    </row>
    <row r="838" spans="1:1" ht="12" customHeight="1" x14ac:dyDescent="0.15">
      <c r="A838" s="2"/>
    </row>
    <row r="839" spans="1:1" ht="12" customHeight="1" x14ac:dyDescent="0.15">
      <c r="A839" s="2"/>
    </row>
    <row r="840" spans="1:1" ht="12" customHeight="1" x14ac:dyDescent="0.15">
      <c r="A840" s="2"/>
    </row>
    <row r="841" spans="1:1" ht="12" customHeight="1" x14ac:dyDescent="0.15">
      <c r="A841" s="2"/>
    </row>
    <row r="842" spans="1:1" ht="12" customHeight="1" x14ac:dyDescent="0.15">
      <c r="A842" s="2"/>
    </row>
    <row r="843" spans="1:1" ht="12" customHeight="1" x14ac:dyDescent="0.15">
      <c r="A843" s="2"/>
    </row>
    <row r="844" spans="1:1" ht="12" customHeight="1" x14ac:dyDescent="0.15">
      <c r="A844" s="2"/>
    </row>
    <row r="845" spans="1:1" ht="12" customHeight="1" x14ac:dyDescent="0.15">
      <c r="A845" s="2"/>
    </row>
    <row r="846" spans="1:1" ht="12" customHeight="1" x14ac:dyDescent="0.15">
      <c r="A846" s="2"/>
    </row>
    <row r="847" spans="1:1" ht="12" customHeight="1" x14ac:dyDescent="0.15">
      <c r="A847" s="2"/>
    </row>
    <row r="848" spans="1:1" ht="12" customHeight="1" x14ac:dyDescent="0.15">
      <c r="A848" s="2"/>
    </row>
    <row r="849" spans="1:1" ht="12" customHeight="1" x14ac:dyDescent="0.15">
      <c r="A849" s="2"/>
    </row>
    <row r="850" spans="1:1" ht="12" customHeight="1" x14ac:dyDescent="0.15">
      <c r="A850" s="2"/>
    </row>
    <row r="851" spans="1:1" ht="12" customHeight="1" x14ac:dyDescent="0.15">
      <c r="A851" s="2"/>
    </row>
    <row r="852" spans="1:1" ht="12" customHeight="1" x14ac:dyDescent="0.15">
      <c r="A852" s="2"/>
    </row>
    <row r="853" spans="1:1" ht="12" customHeight="1" x14ac:dyDescent="0.15">
      <c r="A853" s="2"/>
    </row>
    <row r="854" spans="1:1" ht="12" customHeight="1" x14ac:dyDescent="0.15">
      <c r="A854" s="2"/>
    </row>
    <row r="855" spans="1:1" ht="12" customHeight="1" x14ac:dyDescent="0.15">
      <c r="A855" s="2"/>
    </row>
    <row r="856" spans="1:1" ht="12" customHeight="1" x14ac:dyDescent="0.15">
      <c r="A856" s="2"/>
    </row>
    <row r="857" spans="1:1" ht="12" customHeight="1" x14ac:dyDescent="0.15">
      <c r="A857" s="2"/>
    </row>
    <row r="858" spans="1:1" ht="12" customHeight="1" x14ac:dyDescent="0.15">
      <c r="A858" s="2"/>
    </row>
    <row r="859" spans="1:1" ht="12" customHeight="1" x14ac:dyDescent="0.15">
      <c r="A859" s="2"/>
    </row>
    <row r="860" spans="1:1" ht="12" customHeight="1" x14ac:dyDescent="0.15">
      <c r="A860" s="2"/>
    </row>
    <row r="861" spans="1:1" ht="12" customHeight="1" x14ac:dyDescent="0.15">
      <c r="A861" s="2"/>
    </row>
    <row r="862" spans="1:1" ht="12" customHeight="1" x14ac:dyDescent="0.15">
      <c r="A862" s="2"/>
    </row>
    <row r="863" spans="1:1" ht="12" customHeight="1" x14ac:dyDescent="0.15">
      <c r="A863" s="2"/>
    </row>
    <row r="864" spans="1:1" ht="12" customHeight="1" x14ac:dyDescent="0.15">
      <c r="A864" s="2"/>
    </row>
    <row r="865" spans="1:1" ht="12" customHeight="1" x14ac:dyDescent="0.15">
      <c r="A865" s="2"/>
    </row>
    <row r="866" spans="1:1" ht="12" customHeight="1" x14ac:dyDescent="0.15">
      <c r="A866" s="2"/>
    </row>
    <row r="867" spans="1:1" ht="12" customHeight="1" x14ac:dyDescent="0.15">
      <c r="A867" s="2"/>
    </row>
    <row r="868" spans="1:1" ht="12" customHeight="1" x14ac:dyDescent="0.15">
      <c r="A868" s="2"/>
    </row>
    <row r="869" spans="1:1" ht="12" customHeight="1" x14ac:dyDescent="0.15">
      <c r="A869" s="2"/>
    </row>
    <row r="870" spans="1:1" ht="12" customHeight="1" x14ac:dyDescent="0.15">
      <c r="A870" s="2"/>
    </row>
    <row r="871" spans="1:1" ht="12" customHeight="1" x14ac:dyDescent="0.15">
      <c r="A871" s="2"/>
    </row>
    <row r="872" spans="1:1" ht="12" customHeight="1" x14ac:dyDescent="0.15">
      <c r="A872" s="2"/>
    </row>
    <row r="873" spans="1:1" ht="12" customHeight="1" x14ac:dyDescent="0.15">
      <c r="A873" s="2"/>
    </row>
    <row r="874" spans="1:1" ht="12" customHeight="1" x14ac:dyDescent="0.15">
      <c r="A874" s="2"/>
    </row>
    <row r="875" spans="1:1" ht="12" customHeight="1" x14ac:dyDescent="0.15">
      <c r="A875" s="2"/>
    </row>
    <row r="876" spans="1:1" ht="12" customHeight="1" x14ac:dyDescent="0.15">
      <c r="A876" s="2"/>
    </row>
    <row r="877" spans="1:1" ht="12" customHeight="1" x14ac:dyDescent="0.15">
      <c r="A877" s="2"/>
    </row>
    <row r="878" spans="1:1" ht="12" customHeight="1" x14ac:dyDescent="0.15">
      <c r="A878" s="2"/>
    </row>
    <row r="879" spans="1:1" ht="12" customHeight="1" x14ac:dyDescent="0.15">
      <c r="A879" s="2"/>
    </row>
    <row r="880" spans="1:1" ht="12" customHeight="1" x14ac:dyDescent="0.15">
      <c r="A880" s="2"/>
    </row>
    <row r="881" spans="1:1" ht="12" customHeight="1" x14ac:dyDescent="0.15">
      <c r="A881" s="2"/>
    </row>
    <row r="882" spans="1:1" ht="12" customHeight="1" x14ac:dyDescent="0.15">
      <c r="A882" s="2"/>
    </row>
    <row r="883" spans="1:1" ht="12" customHeight="1" x14ac:dyDescent="0.15">
      <c r="A883" s="2"/>
    </row>
    <row r="884" spans="1:1" ht="12" customHeight="1" x14ac:dyDescent="0.15">
      <c r="A884" s="2"/>
    </row>
    <row r="885" spans="1:1" ht="12" customHeight="1" x14ac:dyDescent="0.15">
      <c r="A885" s="2"/>
    </row>
    <row r="886" spans="1:1" ht="12" customHeight="1" x14ac:dyDescent="0.15">
      <c r="A886" s="2"/>
    </row>
    <row r="887" spans="1:1" ht="12" customHeight="1" x14ac:dyDescent="0.15">
      <c r="A887" s="2"/>
    </row>
    <row r="888" spans="1:1" ht="12" customHeight="1" x14ac:dyDescent="0.15">
      <c r="A888" s="2"/>
    </row>
    <row r="889" spans="1:1" ht="12" customHeight="1" x14ac:dyDescent="0.15">
      <c r="A889" s="2"/>
    </row>
    <row r="890" spans="1:1" ht="12" customHeight="1" x14ac:dyDescent="0.15">
      <c r="A890" s="2"/>
    </row>
    <row r="891" spans="1:1" ht="12" customHeight="1" x14ac:dyDescent="0.15">
      <c r="A891" s="2"/>
    </row>
    <row r="892" spans="1:1" ht="12" customHeight="1" x14ac:dyDescent="0.15">
      <c r="A892" s="2"/>
    </row>
    <row r="893" spans="1:1" ht="12" customHeight="1" x14ac:dyDescent="0.15">
      <c r="A893" s="2"/>
    </row>
    <row r="894" spans="1:1" ht="12" customHeight="1" x14ac:dyDescent="0.15">
      <c r="A894" s="2"/>
    </row>
    <row r="895" spans="1:1" ht="12" customHeight="1" x14ac:dyDescent="0.15">
      <c r="A895" s="2"/>
    </row>
    <row r="896" spans="1:1" ht="12" customHeight="1" x14ac:dyDescent="0.15">
      <c r="A896" s="2"/>
    </row>
    <row r="897" spans="1:1" ht="12" customHeight="1" x14ac:dyDescent="0.15">
      <c r="A897" s="2"/>
    </row>
    <row r="898" spans="1:1" ht="12" customHeight="1" x14ac:dyDescent="0.15">
      <c r="A898" s="2"/>
    </row>
    <row r="899" spans="1:1" ht="12" customHeight="1" x14ac:dyDescent="0.15">
      <c r="A899" s="2"/>
    </row>
    <row r="900" spans="1:1" ht="12" customHeight="1" x14ac:dyDescent="0.15">
      <c r="A900" s="2"/>
    </row>
    <row r="901" spans="1:1" ht="12" customHeight="1" x14ac:dyDescent="0.15">
      <c r="A901" s="2"/>
    </row>
    <row r="902" spans="1:1" ht="12" customHeight="1" x14ac:dyDescent="0.15">
      <c r="A902" s="2"/>
    </row>
    <row r="903" spans="1:1" ht="12" customHeight="1" x14ac:dyDescent="0.15">
      <c r="A903" s="2"/>
    </row>
    <row r="904" spans="1:1" ht="12" customHeight="1" x14ac:dyDescent="0.15">
      <c r="A904" s="2"/>
    </row>
    <row r="905" spans="1:1" ht="12" customHeight="1" x14ac:dyDescent="0.15">
      <c r="A905" s="2"/>
    </row>
    <row r="906" spans="1:1" ht="12" customHeight="1" x14ac:dyDescent="0.15">
      <c r="A906" s="2"/>
    </row>
    <row r="907" spans="1:1" ht="12" customHeight="1" x14ac:dyDescent="0.15">
      <c r="A907" s="2"/>
    </row>
    <row r="908" spans="1:1" ht="12" customHeight="1" x14ac:dyDescent="0.15">
      <c r="A908" s="2"/>
    </row>
    <row r="909" spans="1:1" ht="12" customHeight="1" x14ac:dyDescent="0.15">
      <c r="A909" s="2"/>
    </row>
    <row r="910" spans="1:1" ht="12" customHeight="1" x14ac:dyDescent="0.15">
      <c r="A910" s="2"/>
    </row>
    <row r="911" spans="1:1" ht="12" customHeight="1" x14ac:dyDescent="0.15">
      <c r="A911" s="2"/>
    </row>
    <row r="912" spans="1:1" ht="12" customHeight="1" x14ac:dyDescent="0.15">
      <c r="A912" s="2"/>
    </row>
    <row r="913" spans="1:1" ht="12" customHeight="1" x14ac:dyDescent="0.15">
      <c r="A913" s="2"/>
    </row>
    <row r="914" spans="1:1" ht="12" customHeight="1" x14ac:dyDescent="0.15">
      <c r="A914" s="2"/>
    </row>
    <row r="915" spans="1:1" ht="12" customHeight="1" x14ac:dyDescent="0.15">
      <c r="A915" s="2"/>
    </row>
    <row r="916" spans="1:1" ht="12" customHeight="1" x14ac:dyDescent="0.15">
      <c r="A916" s="2"/>
    </row>
    <row r="917" spans="1:1" ht="12" customHeight="1" x14ac:dyDescent="0.15">
      <c r="A917" s="2"/>
    </row>
    <row r="918" spans="1:1" ht="12" customHeight="1" x14ac:dyDescent="0.15">
      <c r="A918" s="2"/>
    </row>
    <row r="919" spans="1:1" ht="12" customHeight="1" x14ac:dyDescent="0.15">
      <c r="A919" s="2"/>
    </row>
    <row r="920" spans="1:1" ht="12" customHeight="1" x14ac:dyDescent="0.15">
      <c r="A920" s="2"/>
    </row>
    <row r="921" spans="1:1" ht="12" customHeight="1" x14ac:dyDescent="0.15">
      <c r="A921" s="2"/>
    </row>
    <row r="922" spans="1:1" ht="12" customHeight="1" x14ac:dyDescent="0.15">
      <c r="A922" s="2"/>
    </row>
    <row r="923" spans="1:1" ht="12" customHeight="1" x14ac:dyDescent="0.15">
      <c r="A923" s="2"/>
    </row>
    <row r="924" spans="1:1" ht="12" customHeight="1" x14ac:dyDescent="0.15">
      <c r="A924" s="2"/>
    </row>
    <row r="925" spans="1:1" ht="12" customHeight="1" x14ac:dyDescent="0.15">
      <c r="A925" s="2"/>
    </row>
    <row r="926" spans="1:1" ht="12" customHeight="1" x14ac:dyDescent="0.15">
      <c r="A926" s="2"/>
    </row>
    <row r="927" spans="1:1" ht="12" customHeight="1" x14ac:dyDescent="0.15">
      <c r="A927" s="2"/>
    </row>
    <row r="928" spans="1:1" ht="12" customHeight="1" x14ac:dyDescent="0.15">
      <c r="A928" s="2"/>
    </row>
    <row r="929" spans="1:1" ht="12" customHeight="1" x14ac:dyDescent="0.15">
      <c r="A929" s="2"/>
    </row>
    <row r="930" spans="1:1" ht="12" customHeight="1" x14ac:dyDescent="0.15">
      <c r="A930" s="2"/>
    </row>
    <row r="931" spans="1:1" ht="12" customHeight="1" x14ac:dyDescent="0.15">
      <c r="A931" s="2"/>
    </row>
    <row r="932" spans="1:1" ht="12" customHeight="1" x14ac:dyDescent="0.15">
      <c r="A932" s="2"/>
    </row>
    <row r="933" spans="1:1" ht="12" customHeight="1" x14ac:dyDescent="0.15">
      <c r="A933" s="2"/>
    </row>
    <row r="934" spans="1:1" ht="12" customHeight="1" x14ac:dyDescent="0.15">
      <c r="A934" s="2"/>
    </row>
    <row r="935" spans="1:1" ht="12" customHeight="1" x14ac:dyDescent="0.15">
      <c r="A935" s="2"/>
    </row>
    <row r="936" spans="1:1" ht="12" customHeight="1" x14ac:dyDescent="0.15">
      <c r="A936" s="2"/>
    </row>
    <row r="937" spans="1:1" ht="12" customHeight="1" x14ac:dyDescent="0.15">
      <c r="A937" s="2"/>
    </row>
    <row r="938" spans="1:1" ht="12" customHeight="1" x14ac:dyDescent="0.15">
      <c r="A938" s="2"/>
    </row>
    <row r="939" spans="1:1" ht="12" customHeight="1" x14ac:dyDescent="0.15">
      <c r="A939" s="2"/>
    </row>
    <row r="940" spans="1:1" ht="12" customHeight="1" x14ac:dyDescent="0.15">
      <c r="A940" s="2"/>
    </row>
    <row r="941" spans="1:1" ht="12" customHeight="1" x14ac:dyDescent="0.15">
      <c r="A941" s="2"/>
    </row>
    <row r="942" spans="1:1" ht="12" customHeight="1" x14ac:dyDescent="0.15">
      <c r="A942" s="2"/>
    </row>
    <row r="943" spans="1:1" ht="12" customHeight="1" x14ac:dyDescent="0.15">
      <c r="A943" s="2"/>
    </row>
    <row r="944" spans="1:1" ht="12" customHeight="1" x14ac:dyDescent="0.15">
      <c r="A944" s="2"/>
    </row>
    <row r="945" spans="1:1" ht="12" customHeight="1" x14ac:dyDescent="0.15">
      <c r="A945" s="2"/>
    </row>
    <row r="946" spans="1:1" ht="12" customHeight="1" x14ac:dyDescent="0.15">
      <c r="A946" s="2"/>
    </row>
    <row r="947" spans="1:1" ht="12" customHeight="1" x14ac:dyDescent="0.15">
      <c r="A947" s="2"/>
    </row>
    <row r="948" spans="1:1" ht="12" customHeight="1" x14ac:dyDescent="0.15">
      <c r="A948" s="2"/>
    </row>
    <row r="949" spans="1:1" ht="12" customHeight="1" x14ac:dyDescent="0.15">
      <c r="A949" s="2"/>
    </row>
    <row r="950" spans="1:1" ht="12" customHeight="1" x14ac:dyDescent="0.15">
      <c r="A950" s="2"/>
    </row>
    <row r="951" spans="1:1" ht="12" customHeight="1" x14ac:dyDescent="0.15">
      <c r="A951" s="2"/>
    </row>
    <row r="952" spans="1:1" ht="12" customHeight="1" x14ac:dyDescent="0.15">
      <c r="A952" s="2"/>
    </row>
    <row r="953" spans="1:1" ht="12" customHeight="1" x14ac:dyDescent="0.15">
      <c r="A953" s="2"/>
    </row>
    <row r="954" spans="1:1" ht="12" customHeight="1" x14ac:dyDescent="0.15">
      <c r="A954" s="2"/>
    </row>
    <row r="955" spans="1:1" ht="12" customHeight="1" x14ac:dyDescent="0.15">
      <c r="A955" s="2"/>
    </row>
    <row r="956" spans="1:1" ht="12" customHeight="1" x14ac:dyDescent="0.15">
      <c r="A956" s="2"/>
    </row>
    <row r="957" spans="1:1" ht="12" customHeight="1" x14ac:dyDescent="0.15">
      <c r="A957" s="2"/>
    </row>
    <row r="958" spans="1:1" ht="12" customHeight="1" x14ac:dyDescent="0.15">
      <c r="A958" s="2"/>
    </row>
    <row r="959" spans="1:1" ht="12" customHeight="1" x14ac:dyDescent="0.15">
      <c r="A959" s="2"/>
    </row>
    <row r="960" spans="1:1" ht="12" customHeight="1" x14ac:dyDescent="0.15">
      <c r="A960" s="2"/>
    </row>
    <row r="961" spans="1:1" ht="12" customHeight="1" x14ac:dyDescent="0.15">
      <c r="A961" s="2"/>
    </row>
    <row r="962" spans="1:1" ht="12" customHeight="1" x14ac:dyDescent="0.15">
      <c r="A962" s="2"/>
    </row>
    <row r="963" spans="1:1" ht="12" customHeight="1" x14ac:dyDescent="0.15">
      <c r="A963" s="2"/>
    </row>
    <row r="964" spans="1:1" ht="12" customHeight="1" x14ac:dyDescent="0.15">
      <c r="A964" s="2"/>
    </row>
    <row r="965" spans="1:1" ht="12" customHeight="1" x14ac:dyDescent="0.15">
      <c r="A965" s="2"/>
    </row>
    <row r="966" spans="1:1" ht="12" customHeight="1" x14ac:dyDescent="0.15">
      <c r="A966" s="2"/>
    </row>
    <row r="967" spans="1:1" ht="12" customHeight="1" x14ac:dyDescent="0.15">
      <c r="A967" s="2"/>
    </row>
    <row r="968" spans="1:1" ht="12" customHeight="1" x14ac:dyDescent="0.15">
      <c r="A968" s="2"/>
    </row>
    <row r="969" spans="1:1" ht="12" customHeight="1" x14ac:dyDescent="0.15">
      <c r="A969" s="2"/>
    </row>
    <row r="970" spans="1:1" ht="12" customHeight="1" x14ac:dyDescent="0.15">
      <c r="A970" s="2"/>
    </row>
    <row r="971" spans="1:1" ht="12" customHeight="1" x14ac:dyDescent="0.15">
      <c r="A971" s="2"/>
    </row>
    <row r="972" spans="1:1" ht="12" customHeight="1" x14ac:dyDescent="0.15">
      <c r="A972" s="2"/>
    </row>
    <row r="973" spans="1:1" ht="12" customHeight="1" x14ac:dyDescent="0.15">
      <c r="A973" s="2"/>
    </row>
    <row r="974" spans="1:1" ht="12" customHeight="1" x14ac:dyDescent="0.15">
      <c r="A974" s="2"/>
    </row>
    <row r="975" spans="1:1" ht="12" customHeight="1" x14ac:dyDescent="0.15">
      <c r="A975" s="2"/>
    </row>
    <row r="976" spans="1:1" ht="12" customHeight="1" x14ac:dyDescent="0.15">
      <c r="A976" s="2"/>
    </row>
    <row r="977" spans="1:1" ht="12" customHeight="1" x14ac:dyDescent="0.15">
      <c r="A977" s="2"/>
    </row>
    <row r="978" spans="1:1" ht="12" customHeight="1" x14ac:dyDescent="0.15">
      <c r="A978" s="2"/>
    </row>
    <row r="979" spans="1:1" ht="12" customHeight="1" x14ac:dyDescent="0.15">
      <c r="A979" s="2"/>
    </row>
    <row r="980" spans="1:1" ht="12" customHeight="1" x14ac:dyDescent="0.15">
      <c r="A980" s="2"/>
    </row>
    <row r="981" spans="1:1" ht="12" customHeight="1" x14ac:dyDescent="0.15">
      <c r="A981" s="2"/>
    </row>
    <row r="982" spans="1:1" ht="12" customHeight="1" x14ac:dyDescent="0.15">
      <c r="A982" s="2"/>
    </row>
    <row r="983" spans="1:1" ht="12" customHeight="1" x14ac:dyDescent="0.15">
      <c r="A983" s="2"/>
    </row>
    <row r="984" spans="1:1" ht="12" customHeight="1" x14ac:dyDescent="0.15">
      <c r="A984" s="2"/>
    </row>
    <row r="985" spans="1:1" ht="12" customHeight="1" x14ac:dyDescent="0.15">
      <c r="A985" s="2"/>
    </row>
    <row r="986" spans="1:1" ht="12" customHeight="1" x14ac:dyDescent="0.15">
      <c r="A986" s="2"/>
    </row>
    <row r="987" spans="1:1" ht="12" customHeight="1" x14ac:dyDescent="0.15">
      <c r="A987" s="2"/>
    </row>
    <row r="988" spans="1:1" ht="12" customHeight="1" x14ac:dyDescent="0.15">
      <c r="A988" s="2"/>
    </row>
    <row r="989" spans="1:1" ht="12" customHeight="1" x14ac:dyDescent="0.15">
      <c r="A989" s="2"/>
    </row>
    <row r="990" spans="1:1" ht="12" customHeight="1" x14ac:dyDescent="0.15">
      <c r="A990" s="2"/>
    </row>
    <row r="991" spans="1:1" ht="12" customHeight="1" x14ac:dyDescent="0.15">
      <c r="A991" s="2"/>
    </row>
    <row r="992" spans="1:1" ht="12" customHeight="1" x14ac:dyDescent="0.15">
      <c r="A992" s="2"/>
    </row>
    <row r="993" spans="1:1" ht="12" customHeight="1" x14ac:dyDescent="0.15">
      <c r="A993" s="2"/>
    </row>
    <row r="994" spans="1:1" ht="12" customHeight="1" x14ac:dyDescent="0.15">
      <c r="A994" s="2"/>
    </row>
    <row r="995" spans="1:1" ht="12" customHeight="1" x14ac:dyDescent="0.15">
      <c r="A995" s="2"/>
    </row>
    <row r="996" spans="1:1" ht="12" customHeight="1" x14ac:dyDescent="0.15">
      <c r="A996" s="2"/>
    </row>
    <row r="997" spans="1:1" ht="12" customHeight="1" x14ac:dyDescent="0.15">
      <c r="A997" s="2"/>
    </row>
    <row r="998" spans="1:1" ht="12" customHeight="1" x14ac:dyDescent="0.15">
      <c r="A998" s="2"/>
    </row>
    <row r="999" spans="1:1" ht="12" customHeight="1" x14ac:dyDescent="0.15">
      <c r="A999" s="2"/>
    </row>
    <row r="1000" spans="1:1" ht="12" customHeight="1" x14ac:dyDescent="0.15">
      <c r="A1000" s="2"/>
    </row>
    <row r="1001" spans="1:1" ht="12" customHeight="1" x14ac:dyDescent="0.15">
      <c r="A1001" s="2"/>
    </row>
    <row r="1002" spans="1:1" ht="12" customHeight="1" x14ac:dyDescent="0.15">
      <c r="A1002" s="2"/>
    </row>
    <row r="1003" spans="1:1" ht="12" customHeight="1" x14ac:dyDescent="0.15">
      <c r="A1003" s="2"/>
    </row>
    <row r="1004" spans="1:1" ht="12" customHeight="1" x14ac:dyDescent="0.15">
      <c r="A1004" s="2"/>
    </row>
    <row r="1005" spans="1:1" ht="12" customHeight="1" x14ac:dyDescent="0.15">
      <c r="A1005" s="2"/>
    </row>
    <row r="1006" spans="1:1" ht="12" customHeight="1" x14ac:dyDescent="0.15">
      <c r="A1006" s="2"/>
    </row>
    <row r="1007" spans="1:1" ht="12" customHeight="1" x14ac:dyDescent="0.15">
      <c r="A1007" s="2"/>
    </row>
    <row r="1008" spans="1:1" ht="12" customHeight="1" x14ac:dyDescent="0.15">
      <c r="A1008" s="2"/>
    </row>
    <row r="1009" spans="1:1" ht="12" customHeight="1" x14ac:dyDescent="0.15">
      <c r="A1009" s="2"/>
    </row>
    <row r="1010" spans="1:1" ht="12" customHeight="1" x14ac:dyDescent="0.15">
      <c r="A1010" s="2"/>
    </row>
    <row r="1011" spans="1:1" ht="12" customHeight="1" x14ac:dyDescent="0.15">
      <c r="A1011" s="2"/>
    </row>
    <row r="1012" spans="1:1" ht="12" customHeight="1" x14ac:dyDescent="0.15">
      <c r="A1012" s="2"/>
    </row>
    <row r="1013" spans="1:1" ht="12" customHeight="1" x14ac:dyDescent="0.15">
      <c r="A1013" s="2"/>
    </row>
    <row r="1014" spans="1:1" ht="12" customHeight="1" x14ac:dyDescent="0.15">
      <c r="A1014" s="2"/>
    </row>
    <row r="1015" spans="1:1" ht="12" customHeight="1" x14ac:dyDescent="0.15">
      <c r="A1015" s="2"/>
    </row>
    <row r="1016" spans="1:1" ht="12" customHeight="1" x14ac:dyDescent="0.15">
      <c r="A1016" s="2"/>
    </row>
    <row r="1017" spans="1:1" ht="12" customHeight="1" x14ac:dyDescent="0.15">
      <c r="A1017" s="2"/>
    </row>
    <row r="1018" spans="1:1" ht="12" customHeight="1" x14ac:dyDescent="0.15">
      <c r="A1018" s="2"/>
    </row>
    <row r="1019" spans="1:1" ht="12" customHeight="1" x14ac:dyDescent="0.15">
      <c r="A1019" s="2"/>
    </row>
    <row r="1020" spans="1:1" ht="12" customHeight="1" x14ac:dyDescent="0.15">
      <c r="A1020" s="2"/>
    </row>
    <row r="1021" spans="1:1" ht="12" customHeight="1" x14ac:dyDescent="0.15">
      <c r="A1021" s="2"/>
    </row>
    <row r="1022" spans="1:1" ht="12" customHeight="1" x14ac:dyDescent="0.15">
      <c r="A1022" s="2"/>
    </row>
    <row r="1023" spans="1:1" ht="12" customHeight="1" x14ac:dyDescent="0.15">
      <c r="A1023" s="2"/>
    </row>
    <row r="1024" spans="1:1" ht="12" customHeight="1" x14ac:dyDescent="0.15">
      <c r="A1024" s="2"/>
    </row>
    <row r="1025" spans="1:1" ht="12" customHeight="1" x14ac:dyDescent="0.15">
      <c r="A1025" s="2"/>
    </row>
    <row r="1026" spans="1:1" ht="12" customHeight="1" x14ac:dyDescent="0.15">
      <c r="A1026" s="2"/>
    </row>
    <row r="1027" spans="1:1" ht="12" customHeight="1" x14ac:dyDescent="0.15">
      <c r="A1027" s="2"/>
    </row>
    <row r="1028" spans="1:1" ht="12" customHeight="1" x14ac:dyDescent="0.15">
      <c r="A1028" s="2"/>
    </row>
    <row r="1029" spans="1:1" ht="12" customHeight="1" x14ac:dyDescent="0.15">
      <c r="A1029" s="2"/>
    </row>
    <row r="1030" spans="1:1" ht="12" customHeight="1" x14ac:dyDescent="0.15">
      <c r="A1030" s="2"/>
    </row>
    <row r="1031" spans="1:1" ht="12" customHeight="1" x14ac:dyDescent="0.15">
      <c r="A1031" s="2"/>
    </row>
    <row r="1032" spans="1:1" ht="12" customHeight="1" x14ac:dyDescent="0.15">
      <c r="A1032" s="2"/>
    </row>
    <row r="1033" spans="1:1" ht="12" customHeight="1" x14ac:dyDescent="0.15">
      <c r="A1033" s="2"/>
    </row>
    <row r="1034" spans="1:1" ht="12" customHeight="1" x14ac:dyDescent="0.15">
      <c r="A1034" s="2"/>
    </row>
    <row r="1035" spans="1:1" ht="12" customHeight="1" x14ac:dyDescent="0.15">
      <c r="A1035" s="2"/>
    </row>
    <row r="1036" spans="1:1" ht="12" customHeight="1" x14ac:dyDescent="0.15">
      <c r="A1036" s="2"/>
    </row>
    <row r="1037" spans="1:1" ht="12" customHeight="1" x14ac:dyDescent="0.15">
      <c r="A1037" s="2"/>
    </row>
    <row r="1038" spans="1:1" ht="12" customHeight="1" x14ac:dyDescent="0.15">
      <c r="A1038" s="2"/>
    </row>
    <row r="1039" spans="1:1" ht="12" customHeight="1" x14ac:dyDescent="0.15">
      <c r="A1039" s="2"/>
    </row>
    <row r="1040" spans="1:1" ht="12" customHeight="1" x14ac:dyDescent="0.15">
      <c r="A1040" s="2"/>
    </row>
    <row r="1041" spans="1:1" ht="12" customHeight="1" x14ac:dyDescent="0.15">
      <c r="A1041" s="2"/>
    </row>
    <row r="1042" spans="1:1" ht="12" customHeight="1" x14ac:dyDescent="0.15">
      <c r="A1042" s="2"/>
    </row>
    <row r="1043" spans="1:1" ht="12" customHeight="1" x14ac:dyDescent="0.15">
      <c r="A1043" s="2"/>
    </row>
    <row r="1044" spans="1:1" ht="12" customHeight="1" x14ac:dyDescent="0.15">
      <c r="A1044" s="2"/>
    </row>
    <row r="1045" spans="1:1" ht="12" customHeight="1" x14ac:dyDescent="0.15">
      <c r="A1045" s="2"/>
    </row>
    <row r="1046" spans="1:1" ht="12" customHeight="1" x14ac:dyDescent="0.15">
      <c r="A1046" s="2"/>
    </row>
    <row r="1047" spans="1:1" ht="12" customHeight="1" x14ac:dyDescent="0.15">
      <c r="A1047" s="2"/>
    </row>
    <row r="1048" spans="1:1" ht="12" customHeight="1" x14ac:dyDescent="0.15">
      <c r="A1048" s="2"/>
    </row>
    <row r="1049" spans="1:1" ht="12" customHeight="1" x14ac:dyDescent="0.15">
      <c r="A1049" s="2"/>
    </row>
    <row r="1050" spans="1:1" ht="12" customHeight="1" x14ac:dyDescent="0.15">
      <c r="A1050" s="2"/>
    </row>
    <row r="1051" spans="1:1" ht="12" customHeight="1" x14ac:dyDescent="0.15">
      <c r="A1051" s="2"/>
    </row>
    <row r="1052" spans="1:1" ht="12" customHeight="1" x14ac:dyDescent="0.15">
      <c r="A1052" s="2"/>
    </row>
    <row r="1053" spans="1:1" ht="12" customHeight="1" x14ac:dyDescent="0.15">
      <c r="A1053" s="2"/>
    </row>
    <row r="1054" spans="1:1" ht="12" customHeight="1" x14ac:dyDescent="0.15">
      <c r="A1054" s="2"/>
    </row>
    <row r="1055" spans="1:1" ht="12" customHeight="1" x14ac:dyDescent="0.15">
      <c r="A1055" s="2"/>
    </row>
    <row r="1056" spans="1:1" ht="12" customHeight="1" x14ac:dyDescent="0.15">
      <c r="A1056" s="2"/>
    </row>
    <row r="1057" spans="1:1" ht="12" customHeight="1" x14ac:dyDescent="0.15">
      <c r="A1057" s="2"/>
    </row>
    <row r="1058" spans="1:1" ht="12" customHeight="1" x14ac:dyDescent="0.15">
      <c r="A1058" s="2"/>
    </row>
    <row r="1059" spans="1:1" ht="12" customHeight="1" x14ac:dyDescent="0.15">
      <c r="A1059" s="2"/>
    </row>
    <row r="1060" spans="1:1" ht="12" customHeight="1" x14ac:dyDescent="0.15">
      <c r="A1060" s="2"/>
    </row>
    <row r="1061" spans="1:1" ht="12" customHeight="1" x14ac:dyDescent="0.15">
      <c r="A1061" s="2"/>
    </row>
    <row r="1062" spans="1:1" ht="12" customHeight="1" x14ac:dyDescent="0.15">
      <c r="A1062" s="2"/>
    </row>
    <row r="1063" spans="1:1" ht="12" customHeight="1" x14ac:dyDescent="0.15">
      <c r="A1063" s="2"/>
    </row>
    <row r="1064" spans="1:1" ht="12" customHeight="1" x14ac:dyDescent="0.15">
      <c r="A1064" s="2"/>
    </row>
    <row r="1065" spans="1:1" ht="12" customHeight="1" x14ac:dyDescent="0.15">
      <c r="A1065" s="2"/>
    </row>
    <row r="1066" spans="1:1" ht="12" customHeight="1" x14ac:dyDescent="0.15">
      <c r="A1066" s="2"/>
    </row>
    <row r="1067" spans="1:1" ht="12" customHeight="1" x14ac:dyDescent="0.15">
      <c r="A1067" s="2"/>
    </row>
    <row r="1068" spans="1:1" ht="12" customHeight="1" x14ac:dyDescent="0.15">
      <c r="A1068" s="2"/>
    </row>
    <row r="1069" spans="1:1" ht="12" customHeight="1" x14ac:dyDescent="0.15">
      <c r="A1069" s="2"/>
    </row>
    <row r="1070" spans="1:1" ht="12" customHeight="1" x14ac:dyDescent="0.15">
      <c r="A1070" s="2"/>
    </row>
    <row r="1071" spans="1:1" ht="12" customHeight="1" x14ac:dyDescent="0.15">
      <c r="A1071" s="2"/>
    </row>
    <row r="1072" spans="1:1" ht="12" customHeight="1" x14ac:dyDescent="0.15">
      <c r="A1072" s="2"/>
    </row>
    <row r="1073" spans="1:1" ht="12" customHeight="1" x14ac:dyDescent="0.15">
      <c r="A1073" s="2"/>
    </row>
    <row r="1074" spans="1:1" ht="12" customHeight="1" x14ac:dyDescent="0.15">
      <c r="A1074" s="2"/>
    </row>
    <row r="1075" spans="1:1" ht="12" customHeight="1" x14ac:dyDescent="0.15">
      <c r="A1075" s="2"/>
    </row>
    <row r="1076" spans="1:1" ht="12" customHeight="1" x14ac:dyDescent="0.15">
      <c r="A1076" s="2"/>
    </row>
    <row r="1077" spans="1:1" ht="12" customHeight="1" x14ac:dyDescent="0.15">
      <c r="A1077" s="2"/>
    </row>
    <row r="1078" spans="1:1" ht="12" customHeight="1" x14ac:dyDescent="0.15">
      <c r="A1078" s="2"/>
    </row>
    <row r="1079" spans="1:1" ht="12" customHeight="1" x14ac:dyDescent="0.15">
      <c r="A1079" s="2"/>
    </row>
    <row r="1080" spans="1:1" ht="12" customHeight="1" x14ac:dyDescent="0.15">
      <c r="A1080" s="2"/>
    </row>
    <row r="1081" spans="1:1" ht="12" customHeight="1" x14ac:dyDescent="0.15">
      <c r="A1081" s="2"/>
    </row>
    <row r="1082" spans="1:1" ht="12" customHeight="1" x14ac:dyDescent="0.15">
      <c r="A1082" s="2"/>
    </row>
    <row r="1083" spans="1:1" ht="12" customHeight="1" x14ac:dyDescent="0.15">
      <c r="A1083" s="2"/>
    </row>
    <row r="1084" spans="1:1" ht="12" customHeight="1" x14ac:dyDescent="0.15">
      <c r="A1084" s="2"/>
    </row>
    <row r="1085" spans="1:1" ht="12" customHeight="1" x14ac:dyDescent="0.15">
      <c r="A1085" s="2"/>
    </row>
    <row r="1086" spans="1:1" ht="12" customHeight="1" x14ac:dyDescent="0.15">
      <c r="A1086" s="2"/>
    </row>
    <row r="1087" spans="1:1" ht="12" customHeight="1" x14ac:dyDescent="0.15">
      <c r="A1087" s="2"/>
    </row>
    <row r="1088" spans="1:1" ht="12" customHeight="1" x14ac:dyDescent="0.15">
      <c r="A1088" s="2"/>
    </row>
    <row r="1089" spans="1:1" ht="12" customHeight="1" x14ac:dyDescent="0.15">
      <c r="A1089" s="2"/>
    </row>
    <row r="1090" spans="1:1" ht="12" customHeight="1" x14ac:dyDescent="0.15">
      <c r="A1090" s="2"/>
    </row>
    <row r="1091" spans="1:1" ht="12" customHeight="1" x14ac:dyDescent="0.15">
      <c r="A1091" s="2"/>
    </row>
    <row r="1092" spans="1:1" ht="12" customHeight="1" x14ac:dyDescent="0.15">
      <c r="A1092" s="2"/>
    </row>
    <row r="1093" spans="1:1" ht="12" customHeight="1" x14ac:dyDescent="0.15">
      <c r="A1093" s="2"/>
    </row>
    <row r="1094" spans="1:1" ht="12" customHeight="1" x14ac:dyDescent="0.15">
      <c r="A1094" s="2"/>
    </row>
    <row r="1095" spans="1:1" ht="12" customHeight="1" x14ac:dyDescent="0.15">
      <c r="A1095" s="2"/>
    </row>
    <row r="1096" spans="1:1" ht="12" customHeight="1" x14ac:dyDescent="0.15">
      <c r="A1096" s="2"/>
    </row>
    <row r="1097" spans="1:1" ht="12" customHeight="1" x14ac:dyDescent="0.15">
      <c r="A1097" s="2"/>
    </row>
    <row r="1098" spans="1:1" ht="12" customHeight="1" x14ac:dyDescent="0.15">
      <c r="A1098" s="2"/>
    </row>
    <row r="1099" spans="1:1" ht="12" customHeight="1" x14ac:dyDescent="0.15">
      <c r="A1099" s="2"/>
    </row>
    <row r="1100" spans="1:1" ht="12" customHeight="1" x14ac:dyDescent="0.15">
      <c r="A1100" s="2"/>
    </row>
    <row r="1101" spans="1:1" ht="12" customHeight="1" x14ac:dyDescent="0.15">
      <c r="A1101" s="2"/>
    </row>
    <row r="1102" spans="1:1" ht="12" customHeight="1" x14ac:dyDescent="0.15">
      <c r="A1102" s="2"/>
    </row>
    <row r="1103" spans="1:1" ht="12" customHeight="1" x14ac:dyDescent="0.15">
      <c r="A1103" s="2"/>
    </row>
    <row r="1104" spans="1:1" ht="12" customHeight="1" x14ac:dyDescent="0.15">
      <c r="A1104" s="2"/>
    </row>
    <row r="1105" spans="1:1" ht="12" customHeight="1" x14ac:dyDescent="0.15">
      <c r="A1105" s="2"/>
    </row>
    <row r="1106" spans="1:1" ht="12" customHeight="1" x14ac:dyDescent="0.15">
      <c r="A1106" s="2"/>
    </row>
    <row r="1107" spans="1:1" ht="12" customHeight="1" x14ac:dyDescent="0.15">
      <c r="A1107" s="2"/>
    </row>
    <row r="1108" spans="1:1" ht="12" customHeight="1" x14ac:dyDescent="0.15">
      <c r="A1108" s="2"/>
    </row>
    <row r="1109" spans="1:1" ht="12" customHeight="1" x14ac:dyDescent="0.15">
      <c r="A1109" s="2"/>
    </row>
    <row r="1110" spans="1:1" ht="12" customHeight="1" x14ac:dyDescent="0.15">
      <c r="A1110" s="2"/>
    </row>
    <row r="1111" spans="1:1" ht="12" customHeight="1" x14ac:dyDescent="0.15">
      <c r="A1111" s="2"/>
    </row>
    <row r="1112" spans="1:1" ht="12" customHeight="1" x14ac:dyDescent="0.15">
      <c r="A1112" s="2"/>
    </row>
    <row r="1113" spans="1:1" ht="12" customHeight="1" x14ac:dyDescent="0.15">
      <c r="A1113" s="2"/>
    </row>
    <row r="1114" spans="1:1" ht="12" customHeight="1" x14ac:dyDescent="0.15">
      <c r="A1114" s="2"/>
    </row>
    <row r="1115" spans="1:1" ht="12" customHeight="1" x14ac:dyDescent="0.15">
      <c r="A1115" s="2"/>
    </row>
    <row r="1116" spans="1:1" ht="12" customHeight="1" x14ac:dyDescent="0.15">
      <c r="A1116" s="2"/>
    </row>
    <row r="1117" spans="1:1" ht="12" customHeight="1" x14ac:dyDescent="0.15">
      <c r="A1117" s="2"/>
    </row>
    <row r="1118" spans="1:1" ht="12" customHeight="1" x14ac:dyDescent="0.15">
      <c r="A1118" s="2"/>
    </row>
    <row r="1119" spans="1:1" ht="12" customHeight="1" x14ac:dyDescent="0.15">
      <c r="A1119" s="2"/>
    </row>
    <row r="1120" spans="1:1" ht="12" customHeight="1" x14ac:dyDescent="0.15">
      <c r="A1120" s="2"/>
    </row>
    <row r="1121" spans="1:1" ht="12" customHeight="1" x14ac:dyDescent="0.15">
      <c r="A1121" s="2"/>
    </row>
    <row r="1122" spans="1:1" ht="12" customHeight="1" x14ac:dyDescent="0.15">
      <c r="A1122" s="2"/>
    </row>
    <row r="1123" spans="1:1" ht="12" customHeight="1" x14ac:dyDescent="0.15">
      <c r="A1123" s="2"/>
    </row>
    <row r="1124" spans="1:1" ht="12" customHeight="1" x14ac:dyDescent="0.15">
      <c r="A1124" s="2"/>
    </row>
    <row r="1125" spans="1:1" ht="12" customHeight="1" x14ac:dyDescent="0.15">
      <c r="A1125" s="2"/>
    </row>
    <row r="1126" spans="1:1" ht="12" customHeight="1" x14ac:dyDescent="0.15">
      <c r="A1126" s="2"/>
    </row>
    <row r="1127" spans="1:1" ht="12" customHeight="1" x14ac:dyDescent="0.15">
      <c r="A1127" s="2"/>
    </row>
    <row r="1128" spans="1:1" ht="12" customHeight="1" x14ac:dyDescent="0.15">
      <c r="A1128" s="2"/>
    </row>
    <row r="1129" spans="1:1" ht="12" customHeight="1" x14ac:dyDescent="0.15">
      <c r="A1129" s="2"/>
    </row>
    <row r="1130" spans="1:1" ht="12" customHeight="1" x14ac:dyDescent="0.15">
      <c r="A1130" s="2"/>
    </row>
    <row r="1131" spans="1:1" ht="12" customHeight="1" x14ac:dyDescent="0.15">
      <c r="A1131" s="2"/>
    </row>
    <row r="1132" spans="1:1" ht="12" customHeight="1" x14ac:dyDescent="0.15">
      <c r="A1132" s="2"/>
    </row>
    <row r="1133" spans="1:1" ht="12" customHeight="1" x14ac:dyDescent="0.15">
      <c r="A1133" s="2"/>
    </row>
    <row r="1134" spans="1:1" ht="12" customHeight="1" x14ac:dyDescent="0.15">
      <c r="A1134" s="2"/>
    </row>
    <row r="1135" spans="1:1" ht="12" customHeight="1" x14ac:dyDescent="0.15">
      <c r="A1135" s="2"/>
    </row>
    <row r="1136" spans="1:1" ht="12" customHeight="1" x14ac:dyDescent="0.15">
      <c r="A1136" s="2"/>
    </row>
    <row r="1137" spans="1:1" ht="12" customHeight="1" x14ac:dyDescent="0.15">
      <c r="A1137" s="2"/>
    </row>
    <row r="1138" spans="1:1" ht="12" customHeight="1" x14ac:dyDescent="0.15">
      <c r="A1138" s="2"/>
    </row>
    <row r="1139" spans="1:1" ht="12" customHeight="1" x14ac:dyDescent="0.15">
      <c r="A1139" s="2"/>
    </row>
    <row r="1140" spans="1:1" ht="12" customHeight="1" x14ac:dyDescent="0.15">
      <c r="A1140" s="2"/>
    </row>
    <row r="1141" spans="1:1" ht="12" customHeight="1" x14ac:dyDescent="0.15">
      <c r="A1141" s="2"/>
    </row>
    <row r="1142" spans="1:1" ht="12" customHeight="1" x14ac:dyDescent="0.15">
      <c r="A1142" s="2"/>
    </row>
    <row r="1143" spans="1:1" ht="12" customHeight="1" x14ac:dyDescent="0.15">
      <c r="A1143" s="2"/>
    </row>
    <row r="1144" spans="1:1" ht="12" customHeight="1" x14ac:dyDescent="0.15">
      <c r="A1144" s="2"/>
    </row>
    <row r="1145" spans="1:1" ht="12" customHeight="1" x14ac:dyDescent="0.15">
      <c r="A1145" s="2"/>
    </row>
    <row r="1146" spans="1:1" ht="12" customHeight="1" x14ac:dyDescent="0.15">
      <c r="A1146" s="2"/>
    </row>
    <row r="1147" spans="1:1" ht="12" customHeight="1" x14ac:dyDescent="0.15">
      <c r="A1147" s="2"/>
    </row>
    <row r="1148" spans="1:1" ht="12" customHeight="1" x14ac:dyDescent="0.15">
      <c r="A1148" s="2"/>
    </row>
    <row r="1149" spans="1:1" ht="12" customHeight="1" x14ac:dyDescent="0.15">
      <c r="A1149" s="2"/>
    </row>
    <row r="1150" spans="1:1" ht="12" customHeight="1" x14ac:dyDescent="0.15">
      <c r="A1150" s="2"/>
    </row>
    <row r="1151" spans="1:1" ht="12" customHeight="1" x14ac:dyDescent="0.15">
      <c r="A1151" s="2"/>
    </row>
    <row r="1152" spans="1:1" ht="12" customHeight="1" x14ac:dyDescent="0.15">
      <c r="A1152" s="2"/>
    </row>
    <row r="1153" spans="1:1" ht="12" customHeight="1" x14ac:dyDescent="0.15">
      <c r="A1153" s="2"/>
    </row>
    <row r="1154" spans="1:1" ht="12" customHeight="1" x14ac:dyDescent="0.15">
      <c r="A1154" s="2"/>
    </row>
    <row r="1155" spans="1:1" ht="12" customHeight="1" x14ac:dyDescent="0.15">
      <c r="A1155" s="2"/>
    </row>
    <row r="1156" spans="1:1" ht="12" customHeight="1" x14ac:dyDescent="0.15">
      <c r="A1156" s="2"/>
    </row>
    <row r="1157" spans="1:1" ht="12" customHeight="1" x14ac:dyDescent="0.15">
      <c r="A1157" s="2"/>
    </row>
    <row r="1158" spans="1:1" ht="12" customHeight="1" x14ac:dyDescent="0.15">
      <c r="A1158" s="2"/>
    </row>
    <row r="1159" spans="1:1" ht="12" customHeight="1" x14ac:dyDescent="0.15">
      <c r="A1159" s="2"/>
    </row>
    <row r="1160" spans="1:1" ht="12" customHeight="1" x14ac:dyDescent="0.15">
      <c r="A1160" s="2"/>
    </row>
    <row r="1161" spans="1:1" ht="12" customHeight="1" x14ac:dyDescent="0.15">
      <c r="A1161" s="2"/>
    </row>
    <row r="1162" spans="1:1" ht="12" customHeight="1" x14ac:dyDescent="0.15">
      <c r="A1162" s="2"/>
    </row>
    <row r="1163" spans="1:1" ht="12" customHeight="1" x14ac:dyDescent="0.15">
      <c r="A1163" s="2"/>
    </row>
    <row r="1164" spans="1:1" ht="12" customHeight="1" x14ac:dyDescent="0.15">
      <c r="A1164" s="2"/>
    </row>
    <row r="1165" spans="1:1" ht="12" customHeight="1" x14ac:dyDescent="0.15">
      <c r="A1165" s="2"/>
    </row>
    <row r="1166" spans="1:1" ht="12" customHeight="1" x14ac:dyDescent="0.15">
      <c r="A1166" s="2"/>
    </row>
    <row r="1167" spans="1:1" ht="12" customHeight="1" x14ac:dyDescent="0.15">
      <c r="A1167" s="2"/>
    </row>
    <row r="1168" spans="1:1" ht="12" customHeight="1" x14ac:dyDescent="0.15">
      <c r="A1168" s="2"/>
    </row>
    <row r="1169" spans="1:1" ht="12" customHeight="1" x14ac:dyDescent="0.15">
      <c r="A1169" s="2"/>
    </row>
    <row r="1170" spans="1:1" ht="12" customHeight="1" x14ac:dyDescent="0.15">
      <c r="A1170" s="2"/>
    </row>
    <row r="1171" spans="1:1" ht="12" customHeight="1" x14ac:dyDescent="0.15">
      <c r="A1171" s="2"/>
    </row>
    <row r="1172" spans="1:1" ht="12" customHeight="1" x14ac:dyDescent="0.15">
      <c r="A1172" s="2"/>
    </row>
    <row r="1173" spans="1:1" ht="12" customHeight="1" x14ac:dyDescent="0.15">
      <c r="A1173" s="2"/>
    </row>
    <row r="1174" spans="1:1" ht="12" customHeight="1" x14ac:dyDescent="0.15">
      <c r="A1174" s="2"/>
    </row>
    <row r="1175" spans="1:1" ht="12" customHeight="1" x14ac:dyDescent="0.15">
      <c r="A1175" s="2"/>
    </row>
    <row r="1176" spans="1:1" ht="12" customHeight="1" x14ac:dyDescent="0.15">
      <c r="A1176" s="2"/>
    </row>
    <row r="1177" spans="1:1" ht="12" customHeight="1" x14ac:dyDescent="0.15">
      <c r="A1177" s="2"/>
    </row>
    <row r="1178" spans="1:1" ht="12" customHeight="1" x14ac:dyDescent="0.15">
      <c r="A1178" s="2"/>
    </row>
    <row r="1179" spans="1:1" ht="12" customHeight="1" x14ac:dyDescent="0.15">
      <c r="A1179" s="2"/>
    </row>
    <row r="1180" spans="1:1" ht="12" customHeight="1" x14ac:dyDescent="0.15">
      <c r="A1180" s="2"/>
    </row>
    <row r="1181" spans="1:1" ht="12" customHeight="1" x14ac:dyDescent="0.15">
      <c r="A1181" s="2"/>
    </row>
    <row r="1182" spans="1:1" ht="12" customHeight="1" x14ac:dyDescent="0.15">
      <c r="A1182" s="2"/>
    </row>
    <row r="1183" spans="1:1" ht="12" customHeight="1" x14ac:dyDescent="0.15">
      <c r="A1183" s="2"/>
    </row>
    <row r="1184" spans="1:1" ht="12" customHeight="1" x14ac:dyDescent="0.15">
      <c r="A1184" s="2"/>
    </row>
    <row r="1185" spans="1:1" ht="12" customHeight="1" x14ac:dyDescent="0.15">
      <c r="A1185" s="2"/>
    </row>
    <row r="1186" spans="1:1" ht="12" customHeight="1" x14ac:dyDescent="0.15">
      <c r="A1186" s="2"/>
    </row>
    <row r="1187" spans="1:1" ht="12" customHeight="1" x14ac:dyDescent="0.15">
      <c r="A1187" s="2"/>
    </row>
    <row r="1188" spans="1:1" ht="12" customHeight="1" x14ac:dyDescent="0.15">
      <c r="A1188" s="2"/>
    </row>
    <row r="1189" spans="1:1" ht="12" customHeight="1" x14ac:dyDescent="0.15">
      <c r="A1189" s="2"/>
    </row>
    <row r="1190" spans="1:1" ht="12" customHeight="1" x14ac:dyDescent="0.15">
      <c r="A1190" s="2"/>
    </row>
    <row r="1191" spans="1:1" ht="12" customHeight="1" x14ac:dyDescent="0.15">
      <c r="A1191" s="2"/>
    </row>
    <row r="1192" spans="1:1" ht="12" customHeight="1" x14ac:dyDescent="0.15">
      <c r="A1192" s="2"/>
    </row>
    <row r="1193" spans="1:1" ht="12" customHeight="1" x14ac:dyDescent="0.15">
      <c r="A1193" s="2"/>
    </row>
    <row r="1194" spans="1:1" ht="12" customHeight="1" x14ac:dyDescent="0.15">
      <c r="A1194" s="2"/>
    </row>
    <row r="1195" spans="1:1" ht="12" customHeight="1" x14ac:dyDescent="0.15">
      <c r="A1195" s="2"/>
    </row>
    <row r="1196" spans="1:1" ht="12" customHeight="1" x14ac:dyDescent="0.15">
      <c r="A1196" s="2"/>
    </row>
    <row r="1197" spans="1:1" ht="12" customHeight="1" x14ac:dyDescent="0.15">
      <c r="A1197" s="2"/>
    </row>
    <row r="1198" spans="1:1" ht="12" customHeight="1" x14ac:dyDescent="0.15">
      <c r="A1198" s="2"/>
    </row>
    <row r="1199" spans="1:1" ht="12" customHeight="1" x14ac:dyDescent="0.15">
      <c r="A1199" s="2"/>
    </row>
    <row r="1200" spans="1:1" ht="12" customHeight="1" x14ac:dyDescent="0.15">
      <c r="A1200" s="2"/>
    </row>
    <row r="1201" spans="1:1" ht="12" customHeight="1" x14ac:dyDescent="0.15">
      <c r="A1201" s="2"/>
    </row>
    <row r="1202" spans="1:1" ht="12" customHeight="1" x14ac:dyDescent="0.15">
      <c r="A1202" s="2"/>
    </row>
    <row r="1203" spans="1:1" ht="12" customHeight="1" x14ac:dyDescent="0.15">
      <c r="A1203" s="2"/>
    </row>
    <row r="1204" spans="1:1" ht="12" customHeight="1" x14ac:dyDescent="0.15">
      <c r="A1204" s="2"/>
    </row>
    <row r="1205" spans="1:1" ht="12" customHeight="1" x14ac:dyDescent="0.15">
      <c r="A1205" s="2"/>
    </row>
    <row r="1206" spans="1:1" ht="12" customHeight="1" x14ac:dyDescent="0.15">
      <c r="A1206" s="2"/>
    </row>
    <row r="1207" spans="1:1" ht="12" customHeight="1" x14ac:dyDescent="0.15">
      <c r="A1207" s="2"/>
    </row>
    <row r="1208" spans="1:1" ht="12" customHeight="1" x14ac:dyDescent="0.15">
      <c r="A1208" s="2"/>
    </row>
    <row r="1209" spans="1:1" ht="12" customHeight="1" x14ac:dyDescent="0.15">
      <c r="A1209" s="2"/>
    </row>
    <row r="1210" spans="1:1" ht="12" customHeight="1" x14ac:dyDescent="0.15">
      <c r="A1210" s="2"/>
    </row>
    <row r="1211" spans="1:1" ht="12" customHeight="1" x14ac:dyDescent="0.15">
      <c r="A1211" s="2"/>
    </row>
    <row r="1212" spans="1:1" ht="12" customHeight="1" x14ac:dyDescent="0.15">
      <c r="A1212" s="2"/>
    </row>
    <row r="1213" spans="1:1" ht="12" customHeight="1" x14ac:dyDescent="0.15">
      <c r="A1213" s="2"/>
    </row>
    <row r="1214" spans="1:1" ht="12" customHeight="1" x14ac:dyDescent="0.15">
      <c r="A1214" s="2"/>
    </row>
    <row r="1215" spans="1:1" ht="12" customHeight="1" x14ac:dyDescent="0.15">
      <c r="A1215" s="2"/>
    </row>
    <row r="1216" spans="1:1" ht="12" customHeight="1" x14ac:dyDescent="0.15">
      <c r="A1216" s="2"/>
    </row>
    <row r="1217" spans="1:1" ht="12" customHeight="1" x14ac:dyDescent="0.15">
      <c r="A1217" s="2"/>
    </row>
    <row r="1218" spans="1:1" ht="12" customHeight="1" x14ac:dyDescent="0.15">
      <c r="A1218" s="2"/>
    </row>
    <row r="1219" spans="1:1" ht="12" customHeight="1" x14ac:dyDescent="0.15">
      <c r="A1219" s="2"/>
    </row>
    <row r="1220" spans="1:1" ht="12" customHeight="1" x14ac:dyDescent="0.15">
      <c r="A1220" s="2"/>
    </row>
    <row r="1221" spans="1:1" ht="12" customHeight="1" x14ac:dyDescent="0.15">
      <c r="A1221" s="2"/>
    </row>
    <row r="1222" spans="1:1" ht="12" customHeight="1" x14ac:dyDescent="0.15">
      <c r="A1222" s="2"/>
    </row>
    <row r="1223" spans="1:1" ht="12" customHeight="1" x14ac:dyDescent="0.15">
      <c r="A1223" s="2"/>
    </row>
    <row r="1224" spans="1:1" ht="12" customHeight="1" x14ac:dyDescent="0.15">
      <c r="A1224" s="2"/>
    </row>
    <row r="1225" spans="1:1" ht="12" customHeight="1" x14ac:dyDescent="0.15">
      <c r="A1225" s="2"/>
    </row>
    <row r="1226" spans="1:1" ht="12" customHeight="1" x14ac:dyDescent="0.15">
      <c r="A1226" s="2"/>
    </row>
    <row r="1227" spans="1:1" ht="12" customHeight="1" x14ac:dyDescent="0.15">
      <c r="A1227" s="2"/>
    </row>
    <row r="1228" spans="1:1" ht="12" customHeight="1" x14ac:dyDescent="0.15">
      <c r="A1228" s="2"/>
    </row>
    <row r="1229" spans="1:1" ht="12" customHeight="1" x14ac:dyDescent="0.15">
      <c r="A1229" s="2"/>
    </row>
    <row r="1230" spans="1:1" ht="12" customHeight="1" x14ac:dyDescent="0.15">
      <c r="A1230" s="2"/>
    </row>
    <row r="1231" spans="1:1" ht="12" customHeight="1" x14ac:dyDescent="0.15">
      <c r="A1231" s="2"/>
    </row>
    <row r="1232" spans="1:1" ht="12" customHeight="1" x14ac:dyDescent="0.15">
      <c r="A1232" s="2"/>
    </row>
    <row r="1233" spans="1:1" ht="12" customHeight="1" x14ac:dyDescent="0.15">
      <c r="A1233" s="2"/>
    </row>
    <row r="1234" spans="1:1" ht="12" customHeight="1" x14ac:dyDescent="0.15">
      <c r="A1234" s="2"/>
    </row>
    <row r="1235" spans="1:1" ht="12" customHeight="1" x14ac:dyDescent="0.15">
      <c r="A1235" s="2"/>
    </row>
    <row r="1236" spans="1:1" ht="12" customHeight="1" x14ac:dyDescent="0.15">
      <c r="A1236" s="2"/>
    </row>
    <row r="1237" spans="1:1" ht="12" customHeight="1" x14ac:dyDescent="0.15">
      <c r="A1237" s="2"/>
    </row>
    <row r="1238" spans="1:1" ht="12" customHeight="1" x14ac:dyDescent="0.15">
      <c r="A1238" s="2"/>
    </row>
    <row r="1239" spans="1:1" ht="12" customHeight="1" x14ac:dyDescent="0.15">
      <c r="A1239" s="2"/>
    </row>
    <row r="1240" spans="1:1" ht="12" customHeight="1" x14ac:dyDescent="0.15">
      <c r="A1240" s="2"/>
    </row>
    <row r="1241" spans="1:1" ht="12" customHeight="1" x14ac:dyDescent="0.15">
      <c r="A1241" s="2"/>
    </row>
    <row r="1242" spans="1:1" ht="12" customHeight="1" x14ac:dyDescent="0.15">
      <c r="A1242" s="2"/>
    </row>
    <row r="1243" spans="1:1" ht="12" customHeight="1" x14ac:dyDescent="0.15">
      <c r="A1243" s="2"/>
    </row>
    <row r="1244" spans="1:1" ht="12" customHeight="1" x14ac:dyDescent="0.15">
      <c r="A1244" s="2"/>
    </row>
    <row r="1245" spans="1:1" ht="12" customHeight="1" x14ac:dyDescent="0.15">
      <c r="A1245" s="2"/>
    </row>
    <row r="1246" spans="1:1" ht="12" customHeight="1" x14ac:dyDescent="0.15">
      <c r="A1246" s="2"/>
    </row>
    <row r="1247" spans="1:1" ht="12" customHeight="1" x14ac:dyDescent="0.15">
      <c r="A1247" s="2"/>
    </row>
    <row r="1248" spans="1:1" ht="12" customHeight="1" x14ac:dyDescent="0.15">
      <c r="A1248" s="2"/>
    </row>
    <row r="1249" spans="1:1" ht="12" customHeight="1" x14ac:dyDescent="0.15">
      <c r="A1249" s="2"/>
    </row>
    <row r="1250" spans="1:1" ht="12" customHeight="1" x14ac:dyDescent="0.15">
      <c r="A1250" s="2"/>
    </row>
    <row r="1251" spans="1:1" ht="12" customHeight="1" x14ac:dyDescent="0.15">
      <c r="A1251" s="2"/>
    </row>
    <row r="1252" spans="1:1" ht="12" customHeight="1" x14ac:dyDescent="0.15">
      <c r="A1252" s="2"/>
    </row>
    <row r="1253" spans="1:1" ht="12" customHeight="1" x14ac:dyDescent="0.15">
      <c r="A1253" s="2"/>
    </row>
    <row r="1254" spans="1:1" ht="12" customHeight="1" x14ac:dyDescent="0.15">
      <c r="A1254" s="2"/>
    </row>
    <row r="1255" spans="1:1" ht="12" customHeight="1" x14ac:dyDescent="0.15">
      <c r="A1255" s="2"/>
    </row>
    <row r="1256" spans="1:1" ht="12" customHeight="1" x14ac:dyDescent="0.15">
      <c r="A1256" s="2"/>
    </row>
    <row r="1257" spans="1:1" ht="12" customHeight="1" x14ac:dyDescent="0.15">
      <c r="A1257" s="2"/>
    </row>
    <row r="1258" spans="1:1" ht="12" customHeight="1" x14ac:dyDescent="0.15">
      <c r="A1258" s="2"/>
    </row>
    <row r="1259" spans="1:1" ht="12" customHeight="1" x14ac:dyDescent="0.15">
      <c r="A1259" s="2"/>
    </row>
    <row r="1260" spans="1:1" ht="12" customHeight="1" x14ac:dyDescent="0.15">
      <c r="A1260" s="2"/>
    </row>
    <row r="1261" spans="1:1" ht="12" customHeight="1" x14ac:dyDescent="0.15">
      <c r="A1261" s="2"/>
    </row>
    <row r="1262" spans="1:1" ht="12" customHeight="1" x14ac:dyDescent="0.15">
      <c r="A1262" s="2"/>
    </row>
    <row r="1263" spans="1:1" ht="12" customHeight="1" x14ac:dyDescent="0.15">
      <c r="A1263" s="2"/>
    </row>
    <row r="1264" spans="1:1" ht="12" customHeight="1" x14ac:dyDescent="0.15">
      <c r="A1264" s="2"/>
    </row>
    <row r="1265" spans="1:1" ht="12" customHeight="1" x14ac:dyDescent="0.15">
      <c r="A1265" s="2"/>
    </row>
    <row r="1266" spans="1:1" ht="12" customHeight="1" x14ac:dyDescent="0.15">
      <c r="A1266" s="2"/>
    </row>
    <row r="1267" spans="1:1" ht="12" customHeight="1" x14ac:dyDescent="0.15">
      <c r="A1267" s="2"/>
    </row>
    <row r="1268" spans="1:1" ht="12" customHeight="1" x14ac:dyDescent="0.15">
      <c r="A1268" s="2"/>
    </row>
  </sheetData>
  <mergeCells count="47">
    <mergeCell ref="AT21:AT28"/>
    <mergeCell ref="AV21:AV28"/>
    <mergeCell ref="AO29:AO31"/>
    <mergeCell ref="AP29:AP31"/>
    <mergeCell ref="AD29:AD31"/>
    <mergeCell ref="AR21:AR28"/>
    <mergeCell ref="AS21:AS28"/>
    <mergeCell ref="C56:I57"/>
    <mergeCell ref="AV29:AV31"/>
    <mergeCell ref="K55:L56"/>
    <mergeCell ref="AL29:AL31"/>
    <mergeCell ref="AJ29:AJ31"/>
    <mergeCell ref="AK29:AK31"/>
    <mergeCell ref="AF29:AF31"/>
    <mergeCell ref="AI29:AI31"/>
    <mergeCell ref="AO120:AO122"/>
    <mergeCell ref="R20:U22"/>
    <mergeCell ref="W22:X23"/>
    <mergeCell ref="AC21:AC28"/>
    <mergeCell ref="AD21:AD28"/>
    <mergeCell ref="AF21:AF28"/>
    <mergeCell ref="AE29:AE31"/>
    <mergeCell ref="AE21:AE28"/>
    <mergeCell ref="AH29:AH31"/>
    <mergeCell ref="AE120:AE122"/>
    <mergeCell ref="AG29:AG31"/>
    <mergeCell ref="AN29:AN31"/>
    <mergeCell ref="S24:T28"/>
    <mergeCell ref="V24:W28"/>
    <mergeCell ref="AB21:AB28"/>
    <mergeCell ref="AC29:AC31"/>
    <mergeCell ref="K58:L59"/>
    <mergeCell ref="AW21:AW28"/>
    <mergeCell ref="AW29:AW31"/>
    <mergeCell ref="AP120:AP122"/>
    <mergeCell ref="AN120:AN122"/>
    <mergeCell ref="AB29:AB31"/>
    <mergeCell ref="AB120:AB122"/>
    <mergeCell ref="AC120:AC122"/>
    <mergeCell ref="AD120:AD122"/>
    <mergeCell ref="AM29:AM31"/>
    <mergeCell ref="AF120:AF122"/>
    <mergeCell ref="AI120:AI122"/>
    <mergeCell ref="AJ120:AJ122"/>
    <mergeCell ref="AK120:AK122"/>
    <mergeCell ref="AL120:AL122"/>
    <mergeCell ref="AM120:AM122"/>
  </mergeCells>
  <phoneticPr fontId="2"/>
  <hyperlinks>
    <hyperlink ref="Q2:U2" r:id="rId1" display="気仙沼市ごみ焼却場"/>
    <hyperlink ref="X2:AE2" r:id="rId2" display="https://www.kesennuma.miyagi.jp/li/life/020/070/030/index.html"/>
  </hyperlinks>
  <pageMargins left="0.75" right="0.75" top="1" bottom="1" header="0" footer="0"/>
  <pageSetup paperSize="8" orientation="portrait" verticalDpi="0" r:id="rId3"/>
  <headerFooter alignWithMargins="0"/>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Y194"/>
  <sheetViews>
    <sheetView zoomScale="80" zoomScaleNormal="80" workbookViewId="0">
      <selection activeCell="Q19" sqref="Q19"/>
    </sheetView>
  </sheetViews>
  <sheetFormatPr defaultRowHeight="12" customHeight="1" x14ac:dyDescent="0.15"/>
  <cols>
    <col min="1" max="1" width="4.375" style="279" customWidth="1"/>
    <col min="2" max="256" width="5.5" style="279" customWidth="1"/>
    <col min="257" max="16384" width="9" style="279"/>
  </cols>
  <sheetData>
    <row r="2" spans="2:21" ht="12" customHeight="1" x14ac:dyDescent="0.15">
      <c r="F2" s="238" t="s">
        <v>234</v>
      </c>
      <c r="L2" s="280"/>
      <c r="M2" s="280"/>
      <c r="N2" s="280"/>
      <c r="O2" s="280"/>
      <c r="P2" s="280"/>
      <c r="Q2" s="280"/>
      <c r="R2" s="280"/>
      <c r="S2" s="280"/>
      <c r="T2" s="280"/>
      <c r="U2" s="280"/>
    </row>
    <row r="3" spans="2:21" ht="12" customHeight="1" x14ac:dyDescent="0.15">
      <c r="B3" s="281" t="s">
        <v>235</v>
      </c>
      <c r="C3" s="281"/>
      <c r="D3" s="281"/>
      <c r="E3" s="281"/>
      <c r="F3" s="281"/>
      <c r="G3" s="281"/>
      <c r="H3" s="281"/>
      <c r="I3" s="281"/>
      <c r="J3" s="281"/>
      <c r="K3" s="281"/>
      <c r="L3" s="282"/>
      <c r="M3" s="280"/>
      <c r="N3" s="280"/>
      <c r="O3" s="280"/>
      <c r="P3" s="280"/>
      <c r="Q3" s="280"/>
      <c r="R3" s="280"/>
      <c r="S3" s="280"/>
      <c r="T3" s="280"/>
      <c r="U3" s="280"/>
    </row>
    <row r="4" spans="2:21" ht="12" customHeight="1" x14ac:dyDescent="0.15">
      <c r="B4" s="279" t="s">
        <v>236</v>
      </c>
      <c r="J4" s="279" t="s">
        <v>237</v>
      </c>
      <c r="L4" s="280"/>
      <c r="M4" s="280"/>
      <c r="N4" s="280"/>
      <c r="O4" s="280"/>
      <c r="P4" s="280"/>
      <c r="Q4" s="280"/>
      <c r="R4" s="280"/>
      <c r="S4" s="280"/>
      <c r="T4" s="280"/>
      <c r="U4" s="280"/>
    </row>
    <row r="5" spans="2:21" ht="12" customHeight="1" x14ac:dyDescent="0.15">
      <c r="B5" s="532" t="s">
        <v>238</v>
      </c>
      <c r="C5" s="529" t="s">
        <v>239</v>
      </c>
      <c r="D5" s="530"/>
      <c r="E5" s="530"/>
      <c r="F5" s="530"/>
      <c r="G5" s="530"/>
      <c r="H5" s="530"/>
      <c r="I5" s="530"/>
      <c r="J5" s="530"/>
      <c r="K5" s="530"/>
      <c r="L5" s="530"/>
      <c r="M5" s="530"/>
      <c r="N5" s="530"/>
      <c r="O5" s="530"/>
      <c r="P5" s="531"/>
      <c r="Q5" s="280"/>
      <c r="R5" s="280"/>
      <c r="S5" s="280"/>
      <c r="T5" s="280"/>
      <c r="U5" s="280"/>
    </row>
    <row r="6" spans="2:21" ht="12" customHeight="1" x14ac:dyDescent="0.15">
      <c r="B6" s="533"/>
      <c r="C6" s="529" t="s">
        <v>240</v>
      </c>
      <c r="D6" s="530"/>
      <c r="E6" s="530"/>
      <c r="F6" s="531"/>
      <c r="G6" s="529" t="s">
        <v>241</v>
      </c>
      <c r="H6" s="531"/>
      <c r="I6" s="534" t="s">
        <v>242</v>
      </c>
      <c r="J6" s="535"/>
      <c r="K6" s="529" t="s">
        <v>243</v>
      </c>
      <c r="L6" s="530"/>
      <c r="M6" s="530"/>
      <c r="N6" s="530"/>
      <c r="O6" s="530"/>
      <c r="P6" s="531"/>
      <c r="Q6" s="280"/>
      <c r="R6" s="280"/>
      <c r="S6" s="280"/>
      <c r="T6" s="280"/>
      <c r="U6" s="280"/>
    </row>
    <row r="7" spans="2:21" ht="12" customHeight="1" x14ac:dyDescent="0.15">
      <c r="B7" s="533"/>
      <c r="C7" s="529" t="s">
        <v>244</v>
      </c>
      <c r="D7" s="531"/>
      <c r="E7" s="529" t="s">
        <v>245</v>
      </c>
      <c r="F7" s="531"/>
      <c r="G7" s="283" t="s">
        <v>244</v>
      </c>
      <c r="H7" s="283" t="s">
        <v>245</v>
      </c>
      <c r="I7" s="536"/>
      <c r="J7" s="537"/>
      <c r="K7" s="529" t="s">
        <v>246</v>
      </c>
      <c r="L7" s="530"/>
      <c r="M7" s="531"/>
      <c r="N7" s="529" t="s">
        <v>247</v>
      </c>
      <c r="O7" s="530"/>
      <c r="P7" s="531"/>
      <c r="Q7" s="280"/>
      <c r="R7" s="280"/>
      <c r="S7" s="280"/>
      <c r="T7" s="280"/>
      <c r="U7" s="280"/>
    </row>
    <row r="8" spans="2:21" ht="12" customHeight="1" x14ac:dyDescent="0.15">
      <c r="B8" s="284">
        <v>27</v>
      </c>
      <c r="C8" s="538" t="s">
        <v>248</v>
      </c>
      <c r="D8" s="531"/>
      <c r="E8" s="529" t="s">
        <v>249</v>
      </c>
      <c r="F8" s="531"/>
      <c r="G8" s="529" t="s">
        <v>250</v>
      </c>
      <c r="H8" s="531"/>
      <c r="I8" s="529" t="s">
        <v>251</v>
      </c>
      <c r="J8" s="531"/>
      <c r="K8" s="529" t="s">
        <v>252</v>
      </c>
      <c r="L8" s="530"/>
      <c r="M8" s="531"/>
      <c r="N8" s="529" t="s">
        <v>253</v>
      </c>
      <c r="O8" s="530"/>
      <c r="P8" s="531"/>
      <c r="Q8" s="280"/>
      <c r="R8" s="280"/>
      <c r="S8" s="280"/>
      <c r="T8" s="280"/>
      <c r="U8" s="280"/>
    </row>
    <row r="9" spans="2:21" ht="12" customHeight="1" x14ac:dyDescent="0.15">
      <c r="B9" s="285" t="s">
        <v>254</v>
      </c>
      <c r="C9" s="286"/>
      <c r="D9" s="286"/>
      <c r="E9" s="286"/>
      <c r="F9" s="286"/>
      <c r="G9" s="286"/>
      <c r="H9" s="286"/>
      <c r="I9" s="286"/>
      <c r="J9" s="286"/>
      <c r="K9" s="286"/>
      <c r="L9" s="286"/>
    </row>
    <row r="10" spans="2:21" s="280" customFormat="1" ht="12" customHeight="1" x14ac:dyDescent="0.15">
      <c r="B10" s="286"/>
      <c r="C10" s="286"/>
      <c r="D10" s="286"/>
      <c r="E10" s="286"/>
      <c r="F10" s="286"/>
      <c r="G10" s="286"/>
      <c r="H10" s="286"/>
      <c r="I10" s="286"/>
      <c r="J10" s="286"/>
      <c r="K10" s="286"/>
      <c r="L10" s="286"/>
      <c r="M10" s="286"/>
      <c r="N10" s="286"/>
      <c r="O10" s="286"/>
      <c r="P10" s="286"/>
      <c r="Q10" s="286"/>
    </row>
    <row r="11" spans="2:21" s="280" customFormat="1" ht="12" customHeight="1" x14ac:dyDescent="0.15">
      <c r="B11" s="286" t="s">
        <v>255</v>
      </c>
      <c r="D11" s="286"/>
      <c r="E11" s="286"/>
      <c r="F11" s="286"/>
      <c r="G11" s="286"/>
      <c r="H11" s="286"/>
      <c r="I11" s="286"/>
      <c r="J11" s="286"/>
      <c r="K11" s="286"/>
      <c r="L11" s="286"/>
      <c r="M11" s="286"/>
      <c r="N11" s="286"/>
      <c r="O11" s="286"/>
      <c r="P11" s="286"/>
      <c r="Q11" s="286"/>
    </row>
    <row r="12" spans="2:21" ht="12" customHeight="1" x14ac:dyDescent="0.15">
      <c r="B12" s="287" t="s">
        <v>256</v>
      </c>
      <c r="C12" s="288"/>
      <c r="D12" s="289"/>
      <c r="E12" s="290" t="s">
        <v>257</v>
      </c>
      <c r="F12" s="290" t="s">
        <v>258</v>
      </c>
      <c r="G12" s="290" t="s">
        <v>259</v>
      </c>
      <c r="H12" s="290" t="s">
        <v>260</v>
      </c>
      <c r="I12" s="290" t="s">
        <v>261</v>
      </c>
      <c r="J12" s="290" t="s">
        <v>262</v>
      </c>
      <c r="K12" s="291" t="s">
        <v>263</v>
      </c>
      <c r="L12" s="280"/>
      <c r="M12" s="280"/>
      <c r="N12" s="280"/>
      <c r="O12" s="280"/>
      <c r="P12" s="280"/>
      <c r="Q12" s="280"/>
      <c r="R12" s="280"/>
      <c r="S12" s="280"/>
      <c r="T12" s="280"/>
      <c r="U12" s="280"/>
    </row>
    <row r="13" spans="2:21" ht="12" customHeight="1" x14ac:dyDescent="0.15">
      <c r="B13" s="287" t="s">
        <v>264</v>
      </c>
      <c r="C13" s="288"/>
      <c r="D13" s="289"/>
      <c r="E13" s="291">
        <v>2E-3</v>
      </c>
      <c r="F13" s="291">
        <v>2E-3</v>
      </c>
      <c r="G13" s="291">
        <v>1.4E-2</v>
      </c>
      <c r="H13" s="291">
        <v>2E-3</v>
      </c>
      <c r="I13" s="291">
        <v>1E-3</v>
      </c>
      <c r="J13" s="291">
        <v>4.4999999999999997E-3</v>
      </c>
      <c r="K13" s="291">
        <v>0.15</v>
      </c>
      <c r="L13" s="280"/>
      <c r="M13" s="280"/>
      <c r="N13" s="280"/>
      <c r="O13" s="280"/>
      <c r="P13" s="280"/>
      <c r="Q13" s="280"/>
      <c r="R13" s="280"/>
      <c r="S13" s="280"/>
      <c r="T13" s="280"/>
      <c r="U13" s="280"/>
    </row>
    <row r="14" spans="2:21" ht="12" customHeight="1" x14ac:dyDescent="0.15">
      <c r="B14" s="287" t="s">
        <v>265</v>
      </c>
      <c r="C14" s="288"/>
      <c r="D14" s="289"/>
      <c r="E14" s="291">
        <v>0.51</v>
      </c>
      <c r="F14" s="291">
        <v>0.2</v>
      </c>
      <c r="G14" s="291">
        <v>0.09</v>
      </c>
      <c r="H14" s="291">
        <v>0.25</v>
      </c>
      <c r="I14" s="291">
        <v>0.35</v>
      </c>
      <c r="J14" s="291">
        <v>0.26</v>
      </c>
      <c r="K14" s="291">
        <v>100</v>
      </c>
      <c r="L14" s="280"/>
      <c r="M14" s="280"/>
      <c r="N14" s="280"/>
      <c r="O14" s="280"/>
      <c r="P14" s="280"/>
      <c r="Q14" s="280"/>
      <c r="R14" s="280"/>
      <c r="S14" s="280"/>
      <c r="T14" s="280"/>
      <c r="U14" s="280"/>
    </row>
    <row r="15" spans="2:21" ht="12" customHeight="1" x14ac:dyDescent="0.15">
      <c r="B15" s="287" t="s">
        <v>266</v>
      </c>
      <c r="C15" s="288"/>
      <c r="D15" s="289"/>
      <c r="E15" s="291">
        <v>140</v>
      </c>
      <c r="F15" s="291">
        <v>170</v>
      </c>
      <c r="G15" s="291">
        <v>150</v>
      </c>
      <c r="H15" s="291">
        <v>160</v>
      </c>
      <c r="I15" s="291">
        <v>160</v>
      </c>
      <c r="J15" s="291">
        <v>150</v>
      </c>
      <c r="K15" s="291">
        <v>250</v>
      </c>
      <c r="L15" s="280"/>
      <c r="M15" s="280"/>
      <c r="N15" s="280"/>
      <c r="O15" s="280"/>
      <c r="P15" s="280"/>
      <c r="Q15" s="280"/>
      <c r="R15" s="280"/>
      <c r="S15" s="280"/>
      <c r="T15" s="280"/>
      <c r="U15" s="280"/>
    </row>
    <row r="16" spans="2:21" ht="12" customHeight="1" x14ac:dyDescent="0.15">
      <c r="B16" s="287" t="s">
        <v>267</v>
      </c>
      <c r="C16" s="288"/>
      <c r="D16" s="289"/>
      <c r="E16" s="291">
        <v>90</v>
      </c>
      <c r="F16" s="291">
        <v>40</v>
      </c>
      <c r="G16" s="291">
        <v>170</v>
      </c>
      <c r="H16" s="291">
        <v>40</v>
      </c>
      <c r="I16" s="291">
        <v>30</v>
      </c>
      <c r="J16" s="291">
        <v>50</v>
      </c>
      <c r="K16" s="291">
        <v>700</v>
      </c>
      <c r="L16" s="280"/>
      <c r="M16" s="280"/>
      <c r="N16" s="280"/>
      <c r="O16" s="280"/>
      <c r="P16" s="280"/>
      <c r="Q16" s="280"/>
      <c r="R16" s="280"/>
      <c r="S16" s="280"/>
      <c r="T16" s="280"/>
      <c r="U16" s="280"/>
    </row>
    <row r="17" spans="2:21" ht="12" customHeight="1" x14ac:dyDescent="0.15">
      <c r="B17" s="287" t="s">
        <v>268</v>
      </c>
      <c r="C17" s="288"/>
      <c r="D17" s="289"/>
      <c r="E17" s="291">
        <v>190</v>
      </c>
      <c r="F17" s="291">
        <v>190</v>
      </c>
      <c r="G17" s="291">
        <v>193</v>
      </c>
      <c r="H17" s="291">
        <v>179</v>
      </c>
      <c r="I17" s="291">
        <v>181</v>
      </c>
      <c r="J17" s="291">
        <v>183</v>
      </c>
      <c r="K17" s="291" t="s">
        <v>269</v>
      </c>
      <c r="L17" s="280"/>
      <c r="M17" s="280"/>
      <c r="N17" s="280"/>
      <c r="O17" s="280"/>
      <c r="P17" s="280"/>
      <c r="Q17" s="280"/>
      <c r="R17" s="280"/>
      <c r="S17" s="280"/>
      <c r="T17" s="280"/>
      <c r="U17" s="280"/>
    </row>
    <row r="18" spans="2:21" ht="12" customHeight="1" x14ac:dyDescent="0.15">
      <c r="B18" s="287" t="s">
        <v>270</v>
      </c>
      <c r="C18" s="288"/>
      <c r="D18" s="289"/>
      <c r="E18" s="291">
        <v>18.5</v>
      </c>
      <c r="F18" s="291">
        <v>23.7</v>
      </c>
      <c r="G18" s="291">
        <v>22.2</v>
      </c>
      <c r="H18" s="291">
        <v>16.3</v>
      </c>
      <c r="I18" s="291">
        <v>17.8</v>
      </c>
      <c r="J18" s="291">
        <v>17.100000000000001</v>
      </c>
      <c r="K18" s="291" t="s">
        <v>269</v>
      </c>
      <c r="L18" s="280"/>
      <c r="M18" s="280"/>
      <c r="N18" s="280"/>
      <c r="O18" s="280"/>
      <c r="P18" s="280"/>
      <c r="Q18" s="280"/>
      <c r="R18" s="280"/>
      <c r="S18" s="280"/>
      <c r="T18" s="280"/>
      <c r="U18" s="280"/>
    </row>
    <row r="19" spans="2:21" ht="12" customHeight="1" x14ac:dyDescent="0.15">
      <c r="B19" s="287" t="s">
        <v>271</v>
      </c>
      <c r="C19" s="288"/>
      <c r="D19" s="289"/>
      <c r="E19" s="291">
        <v>17.3</v>
      </c>
      <c r="F19" s="291">
        <v>17.100000000000001</v>
      </c>
      <c r="G19" s="291">
        <v>17.100000000000001</v>
      </c>
      <c r="H19" s="291">
        <v>18.399999999999999</v>
      </c>
      <c r="I19" s="291">
        <v>17.399999999999999</v>
      </c>
      <c r="J19" s="291">
        <v>17.5</v>
      </c>
      <c r="K19" s="291" t="s">
        <v>269</v>
      </c>
      <c r="L19" s="280"/>
      <c r="M19" s="280"/>
      <c r="N19" s="280"/>
      <c r="O19" s="280"/>
      <c r="P19" s="280"/>
      <c r="Q19" s="280"/>
      <c r="R19" s="280"/>
      <c r="S19" s="280"/>
      <c r="T19" s="280"/>
      <c r="U19" s="280"/>
    </row>
    <row r="20" spans="2:21" ht="12" customHeight="1" x14ac:dyDescent="0.15">
      <c r="B20" s="287" t="s">
        <v>272</v>
      </c>
      <c r="C20" s="288"/>
      <c r="D20" s="289"/>
      <c r="E20" s="291">
        <v>79.5</v>
      </c>
      <c r="F20" s="291">
        <v>79.3</v>
      </c>
      <c r="G20" s="291">
        <v>79.2</v>
      </c>
      <c r="H20" s="291">
        <v>79.2</v>
      </c>
      <c r="I20" s="291">
        <v>79.2</v>
      </c>
      <c r="J20" s="291">
        <v>79.2</v>
      </c>
      <c r="K20" s="291" t="s">
        <v>269</v>
      </c>
      <c r="L20" s="280"/>
      <c r="M20" s="280"/>
      <c r="N20" s="280"/>
      <c r="O20" s="280"/>
      <c r="P20" s="280"/>
      <c r="Q20" s="280"/>
      <c r="R20" s="280"/>
      <c r="S20" s="280"/>
      <c r="T20" s="280"/>
      <c r="U20" s="280"/>
    </row>
    <row r="21" spans="2:21" ht="12" customHeight="1" x14ac:dyDescent="0.15">
      <c r="B21" s="285" t="s">
        <v>273</v>
      </c>
      <c r="C21" s="286"/>
      <c r="D21" s="286"/>
      <c r="E21" s="286"/>
      <c r="F21" s="286"/>
      <c r="G21" s="286"/>
      <c r="H21" s="286"/>
      <c r="I21" s="286"/>
      <c r="J21" s="286"/>
      <c r="K21" s="286"/>
      <c r="L21" s="286"/>
    </row>
    <row r="22" spans="2:21" ht="12" customHeight="1" x14ac:dyDescent="0.15">
      <c r="L22" s="280"/>
      <c r="M22" s="280"/>
      <c r="N22" s="280"/>
      <c r="O22" s="280"/>
      <c r="P22" s="280"/>
      <c r="Q22" s="280"/>
      <c r="R22" s="280"/>
      <c r="S22" s="280"/>
      <c r="T22" s="280"/>
      <c r="U22" s="280"/>
    </row>
    <row r="23" spans="2:21" ht="12" customHeight="1" x14ac:dyDescent="0.15">
      <c r="B23" s="286" t="s">
        <v>274</v>
      </c>
    </row>
    <row r="24" spans="2:21" ht="12" customHeight="1" x14ac:dyDescent="0.15">
      <c r="B24" s="287" t="s">
        <v>256</v>
      </c>
      <c r="C24" s="288"/>
      <c r="D24" s="289"/>
      <c r="E24" s="290" t="s">
        <v>257</v>
      </c>
      <c r="F24" s="290" t="s">
        <v>258</v>
      </c>
      <c r="G24" s="290" t="s">
        <v>259</v>
      </c>
      <c r="H24" s="290" t="s">
        <v>260</v>
      </c>
      <c r="I24" s="290" t="s">
        <v>261</v>
      </c>
      <c r="J24" s="290" t="s">
        <v>262</v>
      </c>
      <c r="K24" s="291" t="s">
        <v>263</v>
      </c>
    </row>
    <row r="25" spans="2:21" ht="12" customHeight="1" x14ac:dyDescent="0.15">
      <c r="B25" s="287" t="s">
        <v>264</v>
      </c>
      <c r="C25" s="288"/>
      <c r="D25" s="289"/>
      <c r="E25" s="291">
        <v>1E-3</v>
      </c>
      <c r="F25" s="291">
        <v>2E-3</v>
      </c>
      <c r="G25" s="291">
        <v>2E-3</v>
      </c>
      <c r="H25" s="291">
        <v>2E-3</v>
      </c>
      <c r="I25" s="291">
        <v>1.2E-2</v>
      </c>
      <c r="J25" s="291">
        <v>8.9999999999999993E-3</v>
      </c>
      <c r="K25" s="291">
        <v>0.15</v>
      </c>
    </row>
    <row r="26" spans="2:21" ht="12" customHeight="1" x14ac:dyDescent="0.15">
      <c r="B26" s="287" t="s">
        <v>265</v>
      </c>
      <c r="C26" s="288"/>
      <c r="D26" s="289"/>
      <c r="E26" s="291">
        <v>0.37</v>
      </c>
      <c r="F26" s="291">
        <v>0.56000000000000005</v>
      </c>
      <c r="G26" s="291">
        <v>0.45</v>
      </c>
      <c r="H26" s="291">
        <v>0.6</v>
      </c>
      <c r="I26" s="291">
        <v>0.43</v>
      </c>
      <c r="J26" s="291">
        <v>0.38</v>
      </c>
      <c r="K26" s="291">
        <v>100</v>
      </c>
    </row>
    <row r="27" spans="2:21" ht="12" customHeight="1" x14ac:dyDescent="0.15">
      <c r="B27" s="287" t="s">
        <v>266</v>
      </c>
      <c r="C27" s="288"/>
      <c r="D27" s="289"/>
      <c r="E27" s="291">
        <v>100</v>
      </c>
      <c r="F27" s="291">
        <v>120</v>
      </c>
      <c r="G27" s="291">
        <v>110</v>
      </c>
      <c r="H27" s="291">
        <v>110</v>
      </c>
      <c r="I27" s="291">
        <v>98</v>
      </c>
      <c r="J27" s="291">
        <v>100</v>
      </c>
      <c r="K27" s="291">
        <v>250</v>
      </c>
    </row>
    <row r="28" spans="2:21" ht="12" customHeight="1" x14ac:dyDescent="0.15">
      <c r="B28" s="287" t="s">
        <v>267</v>
      </c>
      <c r="C28" s="288"/>
      <c r="D28" s="289"/>
      <c r="E28" s="291">
        <v>30</v>
      </c>
      <c r="F28" s="291">
        <v>30</v>
      </c>
      <c r="G28" s="291">
        <v>210</v>
      </c>
      <c r="H28" s="291">
        <v>200</v>
      </c>
      <c r="I28" s="291">
        <v>30</v>
      </c>
      <c r="J28" s="291">
        <v>120</v>
      </c>
      <c r="K28" s="291">
        <v>700</v>
      </c>
    </row>
    <row r="29" spans="2:21" ht="12" customHeight="1" x14ac:dyDescent="0.15">
      <c r="B29" s="287" t="s">
        <v>268</v>
      </c>
      <c r="C29" s="288"/>
      <c r="D29" s="289"/>
      <c r="E29" s="291">
        <v>180</v>
      </c>
      <c r="F29" s="291">
        <v>170</v>
      </c>
      <c r="G29" s="291">
        <v>178</v>
      </c>
      <c r="H29" s="291">
        <v>183</v>
      </c>
      <c r="I29" s="291">
        <v>171</v>
      </c>
      <c r="J29" s="291">
        <v>185</v>
      </c>
      <c r="K29" s="291" t="s">
        <v>275</v>
      </c>
    </row>
    <row r="30" spans="2:21" ht="12" customHeight="1" x14ac:dyDescent="0.15">
      <c r="B30" s="287" t="s">
        <v>270</v>
      </c>
      <c r="C30" s="288"/>
      <c r="D30" s="289"/>
      <c r="E30" s="291">
        <v>19</v>
      </c>
      <c r="F30" s="291">
        <v>24.1</v>
      </c>
      <c r="G30" s="291">
        <v>30.4</v>
      </c>
      <c r="H30" s="291">
        <v>17.100000000000001</v>
      </c>
      <c r="I30" s="291">
        <v>18.399999999999999</v>
      </c>
      <c r="J30" s="291">
        <v>18.399999999999999</v>
      </c>
      <c r="K30" s="291" t="s">
        <v>275</v>
      </c>
    </row>
    <row r="31" spans="2:21" ht="12" customHeight="1" x14ac:dyDescent="0.15">
      <c r="B31" s="287" t="s">
        <v>271</v>
      </c>
      <c r="C31" s="288"/>
      <c r="D31" s="289"/>
      <c r="E31" s="291">
        <v>17.600000000000001</v>
      </c>
      <c r="F31" s="291">
        <v>17</v>
      </c>
      <c r="G31" s="291">
        <v>17</v>
      </c>
      <c r="H31" s="291">
        <v>17.2</v>
      </c>
      <c r="I31" s="291">
        <v>17.399999999999999</v>
      </c>
      <c r="J31" s="291">
        <v>16.5</v>
      </c>
      <c r="K31" s="291" t="s">
        <v>275</v>
      </c>
    </row>
    <row r="32" spans="2:21" ht="12" customHeight="1" x14ac:dyDescent="0.15">
      <c r="B32" s="287" t="s">
        <v>272</v>
      </c>
      <c r="C32" s="288"/>
      <c r="D32" s="289"/>
      <c r="E32" s="291">
        <v>79.3</v>
      </c>
      <c r="F32" s="291">
        <v>79.2</v>
      </c>
      <c r="G32" s="291">
        <v>79.2</v>
      </c>
      <c r="H32" s="291">
        <v>79.2</v>
      </c>
      <c r="I32" s="291">
        <v>79.2</v>
      </c>
      <c r="J32" s="291">
        <v>79.2</v>
      </c>
      <c r="K32" s="291" t="s">
        <v>275</v>
      </c>
    </row>
    <row r="33" spans="2:14" ht="12" customHeight="1" x14ac:dyDescent="0.15">
      <c r="B33" s="285" t="s">
        <v>273</v>
      </c>
      <c r="C33" s="286"/>
      <c r="D33" s="286"/>
      <c r="E33" s="286"/>
      <c r="F33" s="286"/>
      <c r="G33" s="286"/>
      <c r="H33" s="286"/>
      <c r="I33" s="286"/>
      <c r="J33" s="286"/>
      <c r="K33" s="286"/>
      <c r="L33" s="286"/>
    </row>
    <row r="35" spans="2:14" ht="12" customHeight="1" x14ac:dyDescent="0.15">
      <c r="B35" s="281" t="s">
        <v>276</v>
      </c>
      <c r="C35" s="281"/>
      <c r="D35" s="281"/>
      <c r="E35" s="281" t="s">
        <v>277</v>
      </c>
      <c r="F35" s="281"/>
      <c r="G35" s="281"/>
      <c r="H35" s="281"/>
      <c r="I35" s="281"/>
      <c r="J35" s="281"/>
      <c r="K35" s="281"/>
      <c r="L35" s="281"/>
    </row>
    <row r="36" spans="2:14" ht="12" customHeight="1" x14ac:dyDescent="0.15">
      <c r="B36" s="279" t="s">
        <v>278</v>
      </c>
    </row>
    <row r="37" spans="2:14" ht="12" customHeight="1" x14ac:dyDescent="0.15">
      <c r="B37" s="292"/>
      <c r="C37" s="293"/>
      <c r="D37" s="294"/>
      <c r="E37" s="292" t="s">
        <v>279</v>
      </c>
      <c r="F37" s="293"/>
      <c r="G37" s="294"/>
      <c r="H37" s="292" t="s">
        <v>245</v>
      </c>
      <c r="I37" s="293"/>
      <c r="J37" s="294"/>
      <c r="K37" s="284" t="s">
        <v>280</v>
      </c>
    </row>
    <row r="38" spans="2:14" ht="12" customHeight="1" x14ac:dyDescent="0.15">
      <c r="B38" s="292" t="s">
        <v>281</v>
      </c>
      <c r="C38" s="280"/>
      <c r="D38" s="294"/>
      <c r="E38" s="284" t="s">
        <v>282</v>
      </c>
      <c r="F38" s="284" t="s">
        <v>283</v>
      </c>
      <c r="G38" s="284" t="s">
        <v>284</v>
      </c>
      <c r="H38" s="284" t="s">
        <v>282</v>
      </c>
      <c r="I38" s="284" t="s">
        <v>283</v>
      </c>
      <c r="J38" s="284" t="s">
        <v>284</v>
      </c>
      <c r="K38" s="284" t="s">
        <v>285</v>
      </c>
    </row>
    <row r="39" spans="2:14" ht="12" customHeight="1" x14ac:dyDescent="0.15">
      <c r="B39" s="292" t="s">
        <v>264</v>
      </c>
      <c r="C39" s="293"/>
      <c r="D39" s="294"/>
      <c r="E39" s="295">
        <v>1.6999999999999999E-3</v>
      </c>
      <c r="F39" s="295">
        <v>1E-3</v>
      </c>
      <c r="G39" s="295">
        <v>1E-3</v>
      </c>
      <c r="H39" s="296">
        <v>1.7999999999999999E-2</v>
      </c>
      <c r="I39" s="296">
        <v>1.7999999999999999E-2</v>
      </c>
      <c r="J39" s="296">
        <v>6.0000000000000001E-3</v>
      </c>
      <c r="K39" s="297">
        <v>0.15</v>
      </c>
    </row>
    <row r="40" spans="2:14" ht="12" customHeight="1" x14ac:dyDescent="0.15">
      <c r="B40" s="292" t="s">
        <v>286</v>
      </c>
      <c r="C40" s="293"/>
      <c r="D40" s="294"/>
      <c r="E40" s="284">
        <v>0.42</v>
      </c>
      <c r="F40" s="284">
        <v>0.37</v>
      </c>
      <c r="G40" s="284">
        <v>0.6</v>
      </c>
      <c r="H40" s="284">
        <v>0.6</v>
      </c>
      <c r="I40" s="284">
        <v>0.4</v>
      </c>
      <c r="J40" s="284">
        <v>0.4</v>
      </c>
      <c r="K40" s="284">
        <v>100</v>
      </c>
    </row>
    <row r="41" spans="2:14" ht="12" customHeight="1" x14ac:dyDescent="0.15">
      <c r="B41" s="292" t="s">
        <v>287</v>
      </c>
      <c r="C41" s="293"/>
      <c r="D41" s="294"/>
      <c r="E41" s="284">
        <v>160</v>
      </c>
      <c r="F41" s="284">
        <v>150</v>
      </c>
      <c r="G41" s="284">
        <v>160</v>
      </c>
      <c r="H41" s="284">
        <v>110</v>
      </c>
      <c r="I41" s="284">
        <v>100</v>
      </c>
      <c r="J41" s="284">
        <v>110</v>
      </c>
      <c r="K41" s="284">
        <v>250</v>
      </c>
    </row>
    <row r="42" spans="2:14" ht="12" customHeight="1" x14ac:dyDescent="0.15">
      <c r="B42" s="292" t="s">
        <v>288</v>
      </c>
      <c r="C42" s="293"/>
      <c r="D42" s="294"/>
      <c r="E42" s="284">
        <v>150</v>
      </c>
      <c r="F42" s="284">
        <v>30</v>
      </c>
      <c r="G42" s="284">
        <v>30</v>
      </c>
      <c r="H42" s="284">
        <v>90</v>
      </c>
      <c r="I42" s="284">
        <v>40</v>
      </c>
      <c r="J42" s="284">
        <v>70</v>
      </c>
      <c r="K42" s="284">
        <v>700</v>
      </c>
    </row>
    <row r="43" spans="2:14" ht="12" customHeight="1" x14ac:dyDescent="0.15">
      <c r="B43" s="292" t="s">
        <v>289</v>
      </c>
      <c r="C43" s="293"/>
      <c r="D43" s="294"/>
      <c r="E43" s="284">
        <v>182</v>
      </c>
      <c r="F43" s="284">
        <v>183</v>
      </c>
      <c r="G43" s="284">
        <v>184</v>
      </c>
      <c r="H43" s="284">
        <v>181</v>
      </c>
      <c r="I43" s="284">
        <v>172</v>
      </c>
      <c r="J43" s="284">
        <v>166</v>
      </c>
      <c r="K43" s="284" t="s">
        <v>269</v>
      </c>
    </row>
    <row r="44" spans="2:14" ht="12" customHeight="1" x14ac:dyDescent="0.15">
      <c r="B44" s="292" t="s">
        <v>290</v>
      </c>
      <c r="C44" s="293"/>
      <c r="D44" s="294"/>
      <c r="E44" s="284">
        <v>17.3</v>
      </c>
      <c r="F44" s="284">
        <v>24.6</v>
      </c>
      <c r="G44" s="284">
        <v>21.5</v>
      </c>
      <c r="H44" s="284">
        <v>21.9</v>
      </c>
      <c r="I44" s="284">
        <v>18.100000000000001</v>
      </c>
      <c r="J44" s="284">
        <v>19.899999999999999</v>
      </c>
      <c r="K44" s="284" t="s">
        <v>269</v>
      </c>
    </row>
    <row r="45" spans="2:14" ht="12" customHeight="1" x14ac:dyDescent="0.15">
      <c r="B45" s="292" t="s">
        <v>291</v>
      </c>
      <c r="C45" s="293"/>
      <c r="D45" s="294"/>
      <c r="E45" s="284">
        <v>17.7</v>
      </c>
      <c r="F45" s="284">
        <v>18.100000000000001</v>
      </c>
      <c r="G45" s="284">
        <v>16.899999999999999</v>
      </c>
      <c r="H45" s="284">
        <v>16.5</v>
      </c>
      <c r="I45" s="284">
        <v>17.100000000000001</v>
      </c>
      <c r="J45" s="284">
        <v>17.100000000000001</v>
      </c>
      <c r="K45" s="284" t="s">
        <v>269</v>
      </c>
    </row>
    <row r="46" spans="2:14" ht="12" customHeight="1" x14ac:dyDescent="0.15">
      <c r="B46" s="292" t="s">
        <v>292</v>
      </c>
      <c r="C46" s="293"/>
      <c r="D46" s="294"/>
      <c r="E46" s="284">
        <v>79.2</v>
      </c>
      <c r="F46" s="284">
        <v>79.2</v>
      </c>
      <c r="G46" s="284">
        <v>79.8</v>
      </c>
      <c r="H46" s="284">
        <v>79.2</v>
      </c>
      <c r="I46" s="284">
        <v>79.2</v>
      </c>
      <c r="J46" s="284">
        <v>79.8</v>
      </c>
      <c r="K46" s="284" t="s">
        <v>269</v>
      </c>
    </row>
    <row r="47" spans="2:14" s="280" customFormat="1" ht="12" customHeight="1" x14ac:dyDescent="0.15">
      <c r="B47" s="285" t="s">
        <v>293</v>
      </c>
      <c r="C47" s="286"/>
      <c r="D47" s="286"/>
      <c r="E47" s="286"/>
      <c r="F47" s="286"/>
      <c r="G47" s="286"/>
      <c r="H47" s="286"/>
      <c r="I47" s="286"/>
      <c r="J47" s="286"/>
      <c r="K47" s="286"/>
      <c r="L47" s="286"/>
      <c r="M47" s="286"/>
      <c r="N47" s="286"/>
    </row>
    <row r="48" spans="2:14" s="280" customFormat="1" ht="12" customHeight="1" x14ac:dyDescent="0.15">
      <c r="B48" s="286"/>
      <c r="C48" s="286"/>
      <c r="D48" s="286"/>
      <c r="E48" s="286"/>
      <c r="F48" s="286"/>
      <c r="G48" s="286"/>
      <c r="H48" s="286"/>
      <c r="I48" s="286"/>
      <c r="J48" s="286"/>
      <c r="K48" s="286"/>
      <c r="L48" s="286"/>
      <c r="M48" s="286"/>
      <c r="N48" s="286"/>
    </row>
    <row r="49" spans="2:14" s="280" customFormat="1" ht="12" customHeight="1" x14ac:dyDescent="0.15">
      <c r="B49" s="286" t="s">
        <v>294</v>
      </c>
      <c r="C49" s="286"/>
      <c r="D49" s="286"/>
      <c r="E49" s="286"/>
      <c r="F49" s="286"/>
      <c r="G49" s="286"/>
      <c r="H49" s="286"/>
      <c r="I49" s="286"/>
      <c r="J49" s="286" t="s">
        <v>295</v>
      </c>
      <c r="K49" s="286"/>
      <c r="M49" s="286"/>
      <c r="N49" s="286"/>
    </row>
    <row r="50" spans="2:14" ht="12" customHeight="1" x14ac:dyDescent="0.15">
      <c r="B50" s="539" t="s">
        <v>239</v>
      </c>
      <c r="C50" s="540"/>
      <c r="D50" s="540"/>
      <c r="E50" s="540"/>
      <c r="F50" s="540"/>
      <c r="G50" s="540"/>
      <c r="H50" s="540"/>
      <c r="I50" s="540"/>
      <c r="J50" s="540"/>
      <c r="K50" s="540"/>
      <c r="L50" s="541"/>
      <c r="M50" s="286"/>
      <c r="N50" s="286"/>
    </row>
    <row r="51" spans="2:14" ht="12" customHeight="1" x14ac:dyDescent="0.15">
      <c r="B51" s="539" t="s">
        <v>240</v>
      </c>
      <c r="C51" s="540"/>
      <c r="D51" s="540"/>
      <c r="E51" s="541"/>
      <c r="F51" s="539" t="s">
        <v>241</v>
      </c>
      <c r="G51" s="541"/>
      <c r="H51" s="542" t="s">
        <v>242</v>
      </c>
      <c r="I51" s="543"/>
      <c r="J51" s="542" t="s">
        <v>296</v>
      </c>
      <c r="K51" s="546"/>
      <c r="L51" s="543"/>
      <c r="M51" s="286"/>
      <c r="N51" s="286"/>
    </row>
    <row r="52" spans="2:14" ht="12" customHeight="1" x14ac:dyDescent="0.15">
      <c r="B52" s="539" t="s">
        <v>279</v>
      </c>
      <c r="C52" s="541"/>
      <c r="D52" s="539" t="s">
        <v>245</v>
      </c>
      <c r="E52" s="541"/>
      <c r="F52" s="298" t="s">
        <v>279</v>
      </c>
      <c r="G52" s="298" t="s">
        <v>245</v>
      </c>
      <c r="H52" s="544"/>
      <c r="I52" s="545"/>
      <c r="J52" s="544"/>
      <c r="K52" s="547"/>
      <c r="L52" s="545"/>
      <c r="M52" s="286"/>
      <c r="N52" s="286"/>
    </row>
    <row r="53" spans="2:14" ht="12" customHeight="1" x14ac:dyDescent="0.15">
      <c r="B53" s="299" t="s">
        <v>297</v>
      </c>
      <c r="C53" s="300"/>
      <c r="D53" s="299" t="s">
        <v>298</v>
      </c>
      <c r="E53" s="300"/>
      <c r="F53" s="299" t="s">
        <v>299</v>
      </c>
      <c r="G53" s="301"/>
      <c r="H53" s="299" t="s">
        <v>300</v>
      </c>
      <c r="I53" s="301"/>
      <c r="J53" s="299" t="s">
        <v>301</v>
      </c>
      <c r="K53" s="302"/>
      <c r="L53" s="303"/>
      <c r="M53" s="286"/>
      <c r="N53" s="286"/>
    </row>
    <row r="54" spans="2:14" ht="12" customHeight="1" x14ac:dyDescent="0.15">
      <c r="B54" s="304" t="s">
        <v>302</v>
      </c>
      <c r="M54" s="286"/>
    </row>
    <row r="56" spans="2:14" ht="12" customHeight="1" x14ac:dyDescent="0.15">
      <c r="B56" s="281" t="s">
        <v>303</v>
      </c>
      <c r="C56" s="281"/>
      <c r="D56" s="281"/>
      <c r="E56" s="281" t="s">
        <v>277</v>
      </c>
      <c r="F56" s="281"/>
      <c r="G56" s="281"/>
      <c r="H56" s="281"/>
      <c r="I56" s="281"/>
      <c r="J56" s="281"/>
      <c r="K56" s="281"/>
      <c r="L56" s="281"/>
    </row>
    <row r="57" spans="2:14" ht="12" customHeight="1" x14ac:dyDescent="0.15">
      <c r="B57" s="279" t="s">
        <v>278</v>
      </c>
      <c r="M57" s="305"/>
    </row>
    <row r="58" spans="2:14" ht="12" customHeight="1" x14ac:dyDescent="0.15">
      <c r="B58" s="292"/>
      <c r="C58" s="293"/>
      <c r="D58" s="294"/>
      <c r="E58" s="292" t="s">
        <v>279</v>
      </c>
      <c r="F58" s="293"/>
      <c r="G58" s="294"/>
      <c r="H58" s="292" t="s">
        <v>245</v>
      </c>
      <c r="I58" s="293"/>
      <c r="J58" s="294"/>
      <c r="K58" s="284" t="s">
        <v>280</v>
      </c>
      <c r="M58" s="286"/>
    </row>
    <row r="59" spans="2:14" ht="12" customHeight="1" x14ac:dyDescent="0.15">
      <c r="B59" s="292" t="s">
        <v>281</v>
      </c>
      <c r="C59" s="280"/>
      <c r="D59" s="294"/>
      <c r="E59" s="284" t="s">
        <v>304</v>
      </c>
      <c r="F59" s="284" t="s">
        <v>305</v>
      </c>
      <c r="G59" s="284" t="s">
        <v>306</v>
      </c>
      <c r="H59" s="284" t="s">
        <v>304</v>
      </c>
      <c r="I59" s="284" t="s">
        <v>305</v>
      </c>
      <c r="J59" s="284" t="s">
        <v>306</v>
      </c>
      <c r="K59" s="284" t="s">
        <v>285</v>
      </c>
      <c r="M59" s="286"/>
    </row>
    <row r="60" spans="2:14" ht="12" customHeight="1" x14ac:dyDescent="0.15">
      <c r="B60" s="292" t="s">
        <v>264</v>
      </c>
      <c r="C60" s="293"/>
      <c r="D60" s="294"/>
      <c r="E60" s="295">
        <v>3.0000000000000001E-3</v>
      </c>
      <c r="F60" s="295">
        <v>1E-3</v>
      </c>
      <c r="G60" s="295">
        <v>8.9999999999999998E-4</v>
      </c>
      <c r="H60" s="296">
        <v>2.4E-2</v>
      </c>
      <c r="I60" s="296">
        <v>1E-3</v>
      </c>
      <c r="J60" s="296">
        <v>1.0999999999999999E-2</v>
      </c>
      <c r="K60" s="297">
        <v>0.15</v>
      </c>
    </row>
    <row r="61" spans="2:14" ht="12" customHeight="1" x14ac:dyDescent="0.15">
      <c r="B61" s="292" t="s">
        <v>286</v>
      </c>
      <c r="C61" s="293"/>
      <c r="D61" s="294"/>
      <c r="E61" s="284">
        <v>0.38</v>
      </c>
      <c r="F61" s="284">
        <v>0.39</v>
      </c>
      <c r="G61" s="284">
        <v>0.26</v>
      </c>
      <c r="H61" s="284">
        <v>0.6</v>
      </c>
      <c r="I61" s="284">
        <v>0.44</v>
      </c>
      <c r="J61" s="284">
        <v>0.3</v>
      </c>
      <c r="K61" s="284">
        <v>100</v>
      </c>
    </row>
    <row r="62" spans="2:14" ht="12" customHeight="1" x14ac:dyDescent="0.15">
      <c r="B62" s="292" t="s">
        <v>287</v>
      </c>
      <c r="C62" s="293"/>
      <c r="D62" s="294"/>
      <c r="E62" s="284">
        <v>160</v>
      </c>
      <c r="F62" s="284">
        <v>160</v>
      </c>
      <c r="G62" s="284">
        <v>140</v>
      </c>
      <c r="H62" s="284">
        <v>100</v>
      </c>
      <c r="I62" s="284">
        <v>110</v>
      </c>
      <c r="J62" s="284">
        <v>130</v>
      </c>
      <c r="K62" s="284">
        <v>250</v>
      </c>
    </row>
    <row r="63" spans="2:14" ht="12" customHeight="1" x14ac:dyDescent="0.15">
      <c r="B63" s="292" t="s">
        <v>288</v>
      </c>
      <c r="C63" s="293"/>
      <c r="D63" s="294"/>
      <c r="E63" s="284">
        <v>70</v>
      </c>
      <c r="F63" s="284">
        <v>30</v>
      </c>
      <c r="G63" s="284">
        <v>160</v>
      </c>
      <c r="H63" s="284">
        <v>160</v>
      </c>
      <c r="I63" s="284">
        <v>90</v>
      </c>
      <c r="J63" s="284">
        <v>160</v>
      </c>
      <c r="K63" s="284">
        <v>700</v>
      </c>
    </row>
    <row r="64" spans="2:14" ht="12" customHeight="1" x14ac:dyDescent="0.15">
      <c r="B64" s="292" t="s">
        <v>289</v>
      </c>
      <c r="C64" s="293"/>
      <c r="D64" s="294"/>
      <c r="E64" s="284">
        <v>181</v>
      </c>
      <c r="F64" s="284">
        <v>182</v>
      </c>
      <c r="G64" s="284">
        <v>183</v>
      </c>
      <c r="H64" s="284">
        <v>179</v>
      </c>
      <c r="I64" s="284">
        <v>178</v>
      </c>
      <c r="J64" s="284">
        <v>179</v>
      </c>
      <c r="K64" s="284" t="s">
        <v>269</v>
      </c>
    </row>
    <row r="65" spans="2:19" ht="12" customHeight="1" x14ac:dyDescent="0.15">
      <c r="B65" s="292" t="s">
        <v>290</v>
      </c>
      <c r="C65" s="293"/>
      <c r="D65" s="294"/>
      <c r="E65" s="284">
        <v>29.5</v>
      </c>
      <c r="F65" s="284">
        <v>18.600000000000001</v>
      </c>
      <c r="G65" s="284">
        <v>19.899999999999999</v>
      </c>
      <c r="H65" s="284">
        <v>21.6</v>
      </c>
      <c r="I65" s="284">
        <v>21</v>
      </c>
      <c r="J65" s="284">
        <v>20.3</v>
      </c>
      <c r="K65" s="284" t="s">
        <v>269</v>
      </c>
    </row>
    <row r="66" spans="2:19" ht="12" customHeight="1" x14ac:dyDescent="0.15">
      <c r="B66" s="292" t="s">
        <v>291</v>
      </c>
      <c r="C66" s="293"/>
      <c r="D66" s="294"/>
      <c r="E66" s="284">
        <v>17.3</v>
      </c>
      <c r="F66" s="284">
        <v>17.2</v>
      </c>
      <c r="G66" s="284">
        <v>16.8</v>
      </c>
      <c r="H66" s="284">
        <v>16.5</v>
      </c>
      <c r="I66" s="284">
        <v>16.8</v>
      </c>
      <c r="J66" s="284">
        <v>17</v>
      </c>
      <c r="K66" s="284" t="s">
        <v>269</v>
      </c>
    </row>
    <row r="67" spans="2:19" ht="12" customHeight="1" x14ac:dyDescent="0.15">
      <c r="B67" s="292" t="s">
        <v>292</v>
      </c>
      <c r="C67" s="293"/>
      <c r="D67" s="294"/>
      <c r="E67" s="284">
        <v>79.400000000000006</v>
      </c>
      <c r="F67" s="284">
        <v>79.400000000000006</v>
      </c>
      <c r="G67" s="284">
        <v>79.8</v>
      </c>
      <c r="H67" s="284">
        <v>79.400000000000006</v>
      </c>
      <c r="I67" s="284">
        <v>79.400000000000006</v>
      </c>
      <c r="J67" s="284">
        <v>79.900000000000006</v>
      </c>
      <c r="K67" s="284" t="s">
        <v>269</v>
      </c>
    </row>
    <row r="68" spans="2:19" ht="12" customHeight="1" x14ac:dyDescent="0.15">
      <c r="B68" s="285" t="s">
        <v>293</v>
      </c>
      <c r="C68" s="286"/>
      <c r="D68" s="286"/>
      <c r="E68" s="286"/>
      <c r="F68" s="286"/>
      <c r="G68" s="286"/>
      <c r="H68" s="286"/>
      <c r="I68" s="286"/>
      <c r="J68" s="286"/>
      <c r="K68" s="286"/>
      <c r="L68" s="286"/>
    </row>
    <row r="69" spans="2:19" ht="12" customHeight="1" x14ac:dyDescent="0.15">
      <c r="B69" s="286"/>
      <c r="C69" s="286"/>
      <c r="D69" s="286"/>
      <c r="E69" s="286"/>
      <c r="F69" s="286"/>
      <c r="G69" s="286"/>
      <c r="H69" s="286"/>
      <c r="I69" s="286"/>
      <c r="J69" s="286"/>
      <c r="K69" s="286"/>
      <c r="L69" s="286"/>
    </row>
    <row r="70" spans="2:19" s="280" customFormat="1" ht="12" customHeight="1" x14ac:dyDescent="0.15">
      <c r="B70" s="286" t="s">
        <v>307</v>
      </c>
      <c r="C70" s="286"/>
      <c r="D70" s="286"/>
      <c r="E70" s="286"/>
      <c r="F70" s="286"/>
      <c r="G70" s="286"/>
      <c r="H70" s="286"/>
      <c r="I70" s="286"/>
      <c r="J70" s="286" t="s">
        <v>295</v>
      </c>
      <c r="K70" s="286"/>
      <c r="M70" s="286"/>
      <c r="N70" s="286"/>
    </row>
    <row r="71" spans="2:19" ht="12" customHeight="1" x14ac:dyDescent="0.15">
      <c r="B71" s="279" t="s">
        <v>308</v>
      </c>
      <c r="C71" s="286"/>
      <c r="D71" s="286"/>
      <c r="E71" s="286"/>
      <c r="F71" s="286"/>
      <c r="G71" s="286"/>
      <c r="H71" s="286"/>
      <c r="I71" s="286"/>
      <c r="J71" s="286"/>
      <c r="K71" s="286"/>
    </row>
    <row r="72" spans="2:19" ht="12" customHeight="1" x14ac:dyDescent="0.15">
      <c r="B72" s="539" t="s">
        <v>239</v>
      </c>
      <c r="C72" s="540"/>
      <c r="D72" s="540"/>
      <c r="E72" s="540"/>
      <c r="F72" s="540"/>
      <c r="G72" s="540"/>
      <c r="H72" s="540"/>
      <c r="I72" s="540"/>
      <c r="J72" s="540"/>
      <c r="K72" s="540"/>
      <c r="L72" s="541"/>
    </row>
    <row r="73" spans="2:19" ht="12" customHeight="1" x14ac:dyDescent="0.15">
      <c r="B73" s="539" t="s">
        <v>309</v>
      </c>
      <c r="C73" s="540"/>
      <c r="D73" s="540"/>
      <c r="E73" s="541"/>
      <c r="F73" s="539" t="s">
        <v>310</v>
      </c>
      <c r="G73" s="541"/>
      <c r="H73" s="548" t="s">
        <v>311</v>
      </c>
      <c r="I73" s="549"/>
      <c r="J73" s="542" t="s">
        <v>296</v>
      </c>
      <c r="K73" s="546"/>
      <c r="L73" s="543"/>
    </row>
    <row r="74" spans="2:19" ht="12" customHeight="1" x14ac:dyDescent="0.15">
      <c r="B74" s="542" t="s">
        <v>279</v>
      </c>
      <c r="C74" s="543"/>
      <c r="D74" s="542" t="s">
        <v>245</v>
      </c>
      <c r="E74" s="543"/>
      <c r="F74" s="306" t="s">
        <v>279</v>
      </c>
      <c r="G74" s="306" t="s">
        <v>245</v>
      </c>
      <c r="H74" s="550"/>
      <c r="I74" s="551"/>
      <c r="J74" s="552"/>
      <c r="K74" s="553"/>
      <c r="L74" s="554"/>
    </row>
    <row r="75" spans="2:19" ht="12" customHeight="1" x14ac:dyDescent="0.15">
      <c r="B75" s="555" t="s">
        <v>297</v>
      </c>
      <c r="C75" s="556"/>
      <c r="D75" s="555" t="s">
        <v>298</v>
      </c>
      <c r="E75" s="556"/>
      <c r="F75" s="555" t="s">
        <v>299</v>
      </c>
      <c r="G75" s="559"/>
      <c r="H75" s="555" t="s">
        <v>300</v>
      </c>
      <c r="I75" s="556"/>
      <c r="J75" s="561" t="s">
        <v>312</v>
      </c>
      <c r="K75" s="562"/>
      <c r="L75" s="563"/>
    </row>
    <row r="76" spans="2:19" ht="12" customHeight="1" x14ac:dyDescent="0.15">
      <c r="B76" s="557"/>
      <c r="C76" s="558"/>
      <c r="D76" s="557"/>
      <c r="E76" s="558"/>
      <c r="F76" s="557"/>
      <c r="G76" s="560"/>
      <c r="H76" s="557"/>
      <c r="I76" s="558"/>
      <c r="J76" s="564" t="s">
        <v>313</v>
      </c>
      <c r="K76" s="565"/>
      <c r="L76" s="566"/>
    </row>
    <row r="77" spans="2:19" ht="12" customHeight="1" x14ac:dyDescent="0.15">
      <c r="B77" s="285" t="s">
        <v>302</v>
      </c>
      <c r="C77" s="286"/>
      <c r="D77" s="286"/>
      <c r="E77" s="286"/>
      <c r="F77" s="286"/>
      <c r="G77" s="286"/>
      <c r="H77" s="286"/>
      <c r="I77" s="286"/>
      <c r="J77" s="286"/>
      <c r="K77" s="286"/>
      <c r="L77" s="286"/>
    </row>
    <row r="79" spans="2:19" s="280" customFormat="1" ht="12" customHeight="1" x14ac:dyDescent="0.15">
      <c r="B79" s="282" t="s">
        <v>314</v>
      </c>
      <c r="C79" s="282"/>
      <c r="D79" s="282"/>
      <c r="E79" s="282"/>
      <c r="F79" s="282"/>
      <c r="G79" s="282"/>
      <c r="H79" s="282"/>
      <c r="I79" s="282"/>
      <c r="J79" s="282"/>
      <c r="K79" s="282"/>
      <c r="L79" s="282"/>
      <c r="M79" s="286"/>
      <c r="O79" s="286"/>
      <c r="P79" s="286"/>
      <c r="Q79" s="286"/>
      <c r="R79" s="286"/>
      <c r="S79" s="286"/>
    </row>
    <row r="80" spans="2:19" s="280" customFormat="1" ht="12" customHeight="1" x14ac:dyDescent="0.15">
      <c r="B80" s="280" t="s">
        <v>315</v>
      </c>
      <c r="C80" s="286"/>
      <c r="E80" s="286"/>
      <c r="F80" s="286"/>
      <c r="G80" s="286"/>
      <c r="H80" s="286"/>
      <c r="I80" s="286"/>
      <c r="J80" s="286"/>
      <c r="K80" s="286"/>
    </row>
    <row r="81" spans="2:19" ht="12" customHeight="1" x14ac:dyDescent="0.15">
      <c r="B81" s="279" t="s">
        <v>278</v>
      </c>
    </row>
    <row r="82" spans="2:19" ht="12" customHeight="1" x14ac:dyDescent="0.15">
      <c r="B82" s="292"/>
      <c r="C82" s="293" t="s">
        <v>316</v>
      </c>
      <c r="D82" s="294"/>
      <c r="E82" s="292" t="s">
        <v>279</v>
      </c>
      <c r="F82" s="293"/>
      <c r="G82" s="294"/>
      <c r="H82" s="292" t="s">
        <v>245</v>
      </c>
      <c r="I82" s="293"/>
      <c r="J82" s="294"/>
      <c r="K82" s="284" t="s">
        <v>280</v>
      </c>
    </row>
    <row r="83" spans="2:19" ht="12" customHeight="1" x14ac:dyDescent="0.15">
      <c r="B83" s="292" t="s">
        <v>281</v>
      </c>
      <c r="C83" s="280"/>
      <c r="D83" s="294"/>
      <c r="E83" s="307" t="s">
        <v>317</v>
      </c>
      <c r="F83" s="307" t="s">
        <v>318</v>
      </c>
      <c r="G83" s="307" t="s">
        <v>319</v>
      </c>
      <c r="H83" s="307" t="s">
        <v>317</v>
      </c>
      <c r="I83" s="307" t="s">
        <v>318</v>
      </c>
      <c r="J83" s="307" t="s">
        <v>319</v>
      </c>
      <c r="K83" s="284" t="s">
        <v>285</v>
      </c>
    </row>
    <row r="84" spans="2:19" ht="12" customHeight="1" x14ac:dyDescent="0.15">
      <c r="B84" s="292" t="s">
        <v>264</v>
      </c>
      <c r="C84" s="293"/>
      <c r="D84" s="294"/>
      <c r="E84" s="284">
        <v>2E-3</v>
      </c>
      <c r="F84" s="284">
        <v>1E-3</v>
      </c>
      <c r="G84" s="284">
        <v>1E-3</v>
      </c>
      <c r="H84" s="284">
        <v>5.0000000000000001E-3</v>
      </c>
      <c r="I84" s="284">
        <v>8.0000000000000002E-3</v>
      </c>
      <c r="J84" s="284">
        <v>1.6E-2</v>
      </c>
      <c r="K84" s="284">
        <v>0.15</v>
      </c>
    </row>
    <row r="85" spans="2:19" ht="12" customHeight="1" x14ac:dyDescent="0.15">
      <c r="B85" s="292" t="s">
        <v>320</v>
      </c>
      <c r="C85" s="293"/>
      <c r="D85" s="294"/>
      <c r="E85" s="284">
        <v>0.44</v>
      </c>
      <c r="F85" s="284">
        <v>0.6</v>
      </c>
      <c r="G85" s="284">
        <v>0.3</v>
      </c>
      <c r="H85" s="284">
        <v>0.45</v>
      </c>
      <c r="I85" s="284">
        <v>0.47</v>
      </c>
      <c r="J85" s="284">
        <v>0.55000000000000004</v>
      </c>
      <c r="K85" s="284">
        <v>100</v>
      </c>
    </row>
    <row r="86" spans="2:19" ht="12" customHeight="1" x14ac:dyDescent="0.15">
      <c r="B86" s="292" t="s">
        <v>321</v>
      </c>
      <c r="C86" s="293"/>
      <c r="D86" s="294"/>
      <c r="E86" s="284">
        <v>130</v>
      </c>
      <c r="F86" s="284">
        <v>140</v>
      </c>
      <c r="G86" s="284">
        <v>150</v>
      </c>
      <c r="H86" s="284">
        <v>120</v>
      </c>
      <c r="I86" s="284">
        <v>110</v>
      </c>
      <c r="J86" s="284">
        <v>110</v>
      </c>
      <c r="K86" s="284">
        <v>250</v>
      </c>
    </row>
    <row r="87" spans="2:19" ht="12" customHeight="1" x14ac:dyDescent="0.15">
      <c r="B87" s="292" t="s">
        <v>322</v>
      </c>
      <c r="C87" s="293"/>
      <c r="D87" s="294"/>
      <c r="E87" s="284">
        <v>220</v>
      </c>
      <c r="F87" s="284">
        <v>30</v>
      </c>
      <c r="G87" s="284">
        <v>110</v>
      </c>
      <c r="H87" s="284">
        <v>170</v>
      </c>
      <c r="I87" s="284">
        <v>100</v>
      </c>
      <c r="J87" s="284">
        <v>120</v>
      </c>
      <c r="K87" s="284">
        <v>700</v>
      </c>
    </row>
    <row r="88" spans="2:19" ht="12" customHeight="1" x14ac:dyDescent="0.15">
      <c r="B88" s="285" t="s">
        <v>293</v>
      </c>
      <c r="C88" s="286"/>
      <c r="D88" s="286"/>
      <c r="E88" s="286"/>
      <c r="F88" s="286"/>
      <c r="G88" s="286"/>
      <c r="H88" s="286"/>
      <c r="I88" s="286"/>
      <c r="J88" s="286"/>
      <c r="K88" s="286"/>
      <c r="L88" s="286"/>
    </row>
    <row r="89" spans="2:19" s="280" customFormat="1" ht="12" customHeight="1" x14ac:dyDescent="0.15">
      <c r="B89" s="286"/>
      <c r="C89" s="286"/>
      <c r="D89" s="286"/>
      <c r="E89" s="286"/>
      <c r="F89" s="286"/>
      <c r="G89" s="286"/>
      <c r="H89" s="286"/>
      <c r="I89" s="286"/>
      <c r="J89" s="286"/>
      <c r="K89" s="286"/>
      <c r="L89" s="286"/>
      <c r="M89" s="286"/>
      <c r="N89" s="286"/>
      <c r="O89" s="286"/>
      <c r="P89" s="286"/>
      <c r="Q89" s="286"/>
      <c r="R89" s="286"/>
      <c r="S89" s="286"/>
    </row>
    <row r="90" spans="2:19" s="280" customFormat="1" ht="12" customHeight="1" x14ac:dyDescent="0.15">
      <c r="B90" s="308" t="s">
        <v>323</v>
      </c>
      <c r="C90" s="308"/>
      <c r="D90" s="308"/>
      <c r="E90" s="308"/>
      <c r="F90" s="308"/>
      <c r="G90" s="308"/>
      <c r="H90" s="308"/>
      <c r="I90" s="286"/>
      <c r="J90" s="286"/>
      <c r="K90" s="286"/>
      <c r="L90" s="286"/>
      <c r="M90" s="286"/>
      <c r="N90" s="286"/>
      <c r="O90" s="286"/>
      <c r="P90" s="286"/>
      <c r="Q90" s="286"/>
      <c r="R90" s="286"/>
      <c r="S90" s="286"/>
    </row>
    <row r="91" spans="2:19" s="280" customFormat="1" ht="12" customHeight="1" x14ac:dyDescent="0.15">
      <c r="B91" s="309" t="s">
        <v>324</v>
      </c>
      <c r="C91" s="310"/>
      <c r="D91" s="309" t="s">
        <v>325</v>
      </c>
      <c r="E91" s="311"/>
      <c r="F91" s="311"/>
      <c r="G91" s="311"/>
      <c r="H91" s="310"/>
      <c r="I91" s="286"/>
      <c r="J91" s="286"/>
      <c r="K91" s="286"/>
      <c r="L91" s="286"/>
      <c r="M91" s="286"/>
      <c r="N91" s="286"/>
      <c r="O91" s="286"/>
      <c r="P91" s="286"/>
      <c r="Q91" s="286"/>
      <c r="R91" s="286"/>
      <c r="S91" s="286"/>
    </row>
    <row r="92" spans="2:19" ht="12" customHeight="1" x14ac:dyDescent="0.15">
      <c r="B92" s="312" t="s">
        <v>326</v>
      </c>
      <c r="C92" s="313" t="s">
        <v>327</v>
      </c>
      <c r="D92" s="313" t="s">
        <v>328</v>
      </c>
      <c r="E92" s="313" t="s">
        <v>329</v>
      </c>
      <c r="F92" s="313" t="s">
        <v>318</v>
      </c>
      <c r="G92" s="313" t="s">
        <v>330</v>
      </c>
      <c r="H92" s="313" t="s">
        <v>331</v>
      </c>
      <c r="I92" s="286"/>
      <c r="J92" s="286"/>
    </row>
    <row r="93" spans="2:19" s="280" customFormat="1" ht="12" customHeight="1" x14ac:dyDescent="0.15">
      <c r="B93" s="312" t="s">
        <v>332</v>
      </c>
      <c r="C93" s="314">
        <v>48.6</v>
      </c>
      <c r="D93" s="314">
        <v>26</v>
      </c>
      <c r="E93" s="314">
        <v>17</v>
      </c>
      <c r="F93" s="314">
        <v>49</v>
      </c>
      <c r="G93" s="314">
        <v>36</v>
      </c>
      <c r="H93" s="314">
        <v>36</v>
      </c>
      <c r="I93" s="286"/>
      <c r="J93" s="286"/>
    </row>
    <row r="94" spans="2:19" s="280" customFormat="1" ht="12" customHeight="1" x14ac:dyDescent="0.15">
      <c r="B94" s="312" t="s">
        <v>333</v>
      </c>
      <c r="C94" s="312">
        <v>261</v>
      </c>
      <c r="D94" s="312">
        <v>242</v>
      </c>
      <c r="E94" s="312">
        <v>211</v>
      </c>
      <c r="F94" s="312">
        <v>200</v>
      </c>
      <c r="G94" s="312">
        <v>134</v>
      </c>
      <c r="H94" s="312">
        <v>220</v>
      </c>
      <c r="I94" s="286"/>
      <c r="J94" s="286"/>
    </row>
    <row r="95" spans="2:19" s="280" customFormat="1" ht="12" customHeight="1" x14ac:dyDescent="0.15">
      <c r="B95" s="312" t="s">
        <v>334</v>
      </c>
      <c r="C95" s="314">
        <v>90</v>
      </c>
      <c r="D95" s="314">
        <v>83.7</v>
      </c>
      <c r="E95" s="314">
        <v>72.2</v>
      </c>
      <c r="F95" s="314">
        <v>67</v>
      </c>
      <c r="G95" s="314">
        <v>88</v>
      </c>
      <c r="H95" s="314">
        <v>42</v>
      </c>
      <c r="I95" s="286"/>
    </row>
    <row r="96" spans="2:19" ht="12" customHeight="1" x14ac:dyDescent="0.15">
      <c r="B96" s="285" t="s">
        <v>335</v>
      </c>
      <c r="C96" s="286"/>
      <c r="D96" s="286"/>
      <c r="E96" s="286"/>
      <c r="F96" s="286"/>
      <c r="G96" s="286"/>
      <c r="H96" s="286"/>
      <c r="I96" s="286"/>
      <c r="J96" s="286"/>
      <c r="K96" s="286"/>
      <c r="L96" s="286"/>
    </row>
    <row r="97" spans="2:19" s="280" customFormat="1" ht="12" customHeight="1" x14ac:dyDescent="0.15">
      <c r="B97" s="286"/>
      <c r="C97" s="286"/>
      <c r="D97" s="286"/>
      <c r="E97" s="286"/>
      <c r="F97" s="286"/>
      <c r="G97" s="286"/>
      <c r="H97" s="286"/>
      <c r="I97" s="286"/>
      <c r="J97" s="286"/>
      <c r="K97" s="286"/>
      <c r="L97" s="286"/>
      <c r="M97" s="286"/>
      <c r="N97" s="286"/>
      <c r="O97" s="286"/>
      <c r="P97" s="286"/>
      <c r="Q97" s="286"/>
      <c r="R97" s="286"/>
      <c r="S97" s="286"/>
    </row>
    <row r="98" spans="2:19" s="280" customFormat="1" ht="12" customHeight="1" x14ac:dyDescent="0.15">
      <c r="B98" s="280" t="s">
        <v>336</v>
      </c>
      <c r="C98" s="286"/>
      <c r="D98" s="286"/>
      <c r="E98" s="286"/>
      <c r="F98" s="286"/>
      <c r="G98" s="286"/>
      <c r="H98" s="286"/>
      <c r="I98" s="286"/>
      <c r="J98" s="286"/>
      <c r="K98" s="286"/>
      <c r="L98" s="286"/>
      <c r="M98" s="286"/>
      <c r="N98" s="286"/>
      <c r="O98" s="286"/>
      <c r="P98" s="286"/>
      <c r="Q98" s="286"/>
      <c r="R98" s="286"/>
      <c r="S98" s="286"/>
    </row>
    <row r="99" spans="2:19" s="280" customFormat="1" ht="12" customHeight="1" x14ac:dyDescent="0.15">
      <c r="B99" s="286" t="s">
        <v>337</v>
      </c>
      <c r="C99" s="286"/>
      <c r="D99" s="286"/>
      <c r="E99" s="286"/>
      <c r="F99" s="286"/>
      <c r="G99" s="286"/>
      <c r="H99" s="286"/>
      <c r="I99" s="286"/>
      <c r="J99" s="286"/>
      <c r="K99" s="286"/>
      <c r="L99" s="286"/>
      <c r="M99" s="286"/>
      <c r="N99" s="286"/>
      <c r="O99" s="286"/>
      <c r="P99" s="286"/>
      <c r="Q99" s="286"/>
      <c r="R99" s="286"/>
      <c r="S99" s="286"/>
    </row>
    <row r="100" spans="2:19" ht="12" customHeight="1" x14ac:dyDescent="0.15">
      <c r="B100" s="539" t="s">
        <v>239</v>
      </c>
      <c r="C100" s="540"/>
      <c r="D100" s="540"/>
      <c r="E100" s="540"/>
      <c r="F100" s="540"/>
      <c r="G100" s="540"/>
      <c r="H100" s="540"/>
      <c r="I100" s="540"/>
      <c r="J100" s="540"/>
      <c r="K100" s="540"/>
      <c r="L100" s="541"/>
      <c r="M100" s="286"/>
      <c r="N100" s="286"/>
    </row>
    <row r="101" spans="2:19" ht="12" customHeight="1" x14ac:dyDescent="0.15">
      <c r="B101" s="539" t="s">
        <v>309</v>
      </c>
      <c r="C101" s="540"/>
      <c r="D101" s="540"/>
      <c r="E101" s="541"/>
      <c r="F101" s="539" t="s">
        <v>310</v>
      </c>
      <c r="G101" s="541"/>
      <c r="H101" s="567" t="s">
        <v>311</v>
      </c>
      <c r="I101" s="568"/>
      <c r="J101" s="542" t="s">
        <v>296</v>
      </c>
      <c r="K101" s="546"/>
      <c r="L101" s="543"/>
      <c r="M101" s="286"/>
      <c r="N101" s="286"/>
    </row>
    <row r="102" spans="2:19" ht="12" customHeight="1" x14ac:dyDescent="0.15">
      <c r="B102" s="539" t="s">
        <v>279</v>
      </c>
      <c r="C102" s="541"/>
      <c r="D102" s="539" t="s">
        <v>245</v>
      </c>
      <c r="E102" s="541"/>
      <c r="F102" s="298" t="s">
        <v>279</v>
      </c>
      <c r="G102" s="298" t="s">
        <v>245</v>
      </c>
      <c r="H102" s="569"/>
      <c r="I102" s="570"/>
      <c r="J102" s="544"/>
      <c r="K102" s="547"/>
      <c r="L102" s="545"/>
      <c r="M102" s="286"/>
      <c r="N102" s="286"/>
    </row>
    <row r="103" spans="2:19" ht="12" customHeight="1" x14ac:dyDescent="0.15">
      <c r="B103" s="299" t="s">
        <v>298</v>
      </c>
      <c r="C103" s="300"/>
      <c r="D103" s="299" t="s">
        <v>338</v>
      </c>
      <c r="E103" s="300"/>
      <c r="F103" s="299" t="s">
        <v>339</v>
      </c>
      <c r="G103" s="301"/>
      <c r="H103" s="299" t="s">
        <v>340</v>
      </c>
      <c r="I103" s="301"/>
      <c r="J103" s="299" t="s">
        <v>341</v>
      </c>
      <c r="K103" s="302"/>
      <c r="L103" s="303"/>
      <c r="M103" s="286"/>
      <c r="N103" s="286"/>
    </row>
    <row r="104" spans="2:19" ht="12" customHeight="1" x14ac:dyDescent="0.15">
      <c r="B104" s="304" t="s">
        <v>302</v>
      </c>
    </row>
    <row r="106" spans="2:19" s="280" customFormat="1" ht="12" customHeight="1" x14ac:dyDescent="0.15">
      <c r="B106" s="282" t="s">
        <v>342</v>
      </c>
      <c r="C106" s="282"/>
      <c r="D106" s="282"/>
      <c r="E106" s="282"/>
      <c r="F106" s="282"/>
      <c r="G106" s="282"/>
      <c r="H106" s="282"/>
      <c r="I106" s="282"/>
      <c r="J106" s="282"/>
      <c r="K106" s="282"/>
      <c r="L106" s="282"/>
      <c r="M106" s="286"/>
      <c r="N106" s="286"/>
      <c r="O106" s="286"/>
      <c r="P106" s="286"/>
      <c r="Q106" s="286"/>
    </row>
    <row r="107" spans="2:19" s="280" customFormat="1" ht="12" customHeight="1" x14ac:dyDescent="0.15">
      <c r="B107" s="286" t="s">
        <v>315</v>
      </c>
      <c r="C107" s="286"/>
      <c r="D107" s="286"/>
      <c r="E107" s="286"/>
      <c r="F107" s="286"/>
      <c r="G107" s="286"/>
      <c r="H107" s="286"/>
      <c r="I107" s="286"/>
      <c r="J107" s="286"/>
      <c r="K107" s="286"/>
      <c r="L107" s="286"/>
      <c r="M107" s="286"/>
      <c r="N107" s="286"/>
      <c r="O107" s="286"/>
      <c r="P107" s="286"/>
      <c r="Q107" s="286"/>
    </row>
    <row r="109" spans="2:19" s="280" customFormat="1" ht="12" customHeight="1" x14ac:dyDescent="0.15">
      <c r="B109" s="292" t="s">
        <v>281</v>
      </c>
      <c r="D109" s="294"/>
      <c r="E109" s="307" t="s">
        <v>343</v>
      </c>
      <c r="F109" s="307" t="s">
        <v>344</v>
      </c>
      <c r="G109" s="307" t="s">
        <v>345</v>
      </c>
      <c r="H109" s="307" t="s">
        <v>346</v>
      </c>
      <c r="I109" s="307" t="s">
        <v>344</v>
      </c>
      <c r="J109" s="307" t="s">
        <v>345</v>
      </c>
      <c r="K109" s="284"/>
      <c r="L109" s="286"/>
      <c r="M109" s="286"/>
      <c r="N109" s="286"/>
      <c r="O109" s="286"/>
      <c r="P109" s="286"/>
      <c r="Q109" s="286"/>
    </row>
    <row r="110" spans="2:19" s="280" customFormat="1" ht="12" customHeight="1" x14ac:dyDescent="0.15">
      <c r="B110" s="292" t="s">
        <v>264</v>
      </c>
      <c r="C110" s="293"/>
      <c r="D110" s="294"/>
      <c r="E110" s="284">
        <v>7.0000000000000001E-3</v>
      </c>
      <c r="F110" s="284">
        <v>1.6E-2</v>
      </c>
      <c r="G110" s="284" t="s">
        <v>347</v>
      </c>
      <c r="H110" s="284">
        <v>1.2999999999999999E-2</v>
      </c>
      <c r="I110" s="284">
        <v>3.4000000000000002E-2</v>
      </c>
      <c r="J110" s="284">
        <v>2.2000000000000001E-3</v>
      </c>
      <c r="K110" s="284">
        <v>0.15</v>
      </c>
    </row>
    <row r="111" spans="2:19" s="280" customFormat="1" ht="12" customHeight="1" x14ac:dyDescent="0.15">
      <c r="B111" s="292" t="s">
        <v>320</v>
      </c>
      <c r="C111" s="293"/>
      <c r="D111" s="294"/>
      <c r="E111" s="284">
        <v>0.19</v>
      </c>
      <c r="F111" s="284">
        <v>0.18</v>
      </c>
      <c r="G111" s="284">
        <v>0.3</v>
      </c>
      <c r="H111" s="284">
        <v>0.45</v>
      </c>
      <c r="I111" s="284">
        <v>0.38</v>
      </c>
      <c r="J111" s="284">
        <v>0.7</v>
      </c>
      <c r="K111" s="284">
        <v>100</v>
      </c>
    </row>
    <row r="112" spans="2:19" s="280" customFormat="1" ht="12" customHeight="1" x14ac:dyDescent="0.15">
      <c r="B112" s="292" t="s">
        <v>321</v>
      </c>
      <c r="C112" s="293"/>
      <c r="D112" s="294"/>
      <c r="E112" s="284">
        <v>140</v>
      </c>
      <c r="F112" s="284">
        <v>140</v>
      </c>
      <c r="G112" s="284">
        <v>140</v>
      </c>
      <c r="H112" s="284">
        <v>93</v>
      </c>
      <c r="I112" s="284">
        <v>110</v>
      </c>
      <c r="J112" s="284">
        <v>110</v>
      </c>
      <c r="K112" s="284">
        <v>250</v>
      </c>
    </row>
    <row r="113" spans="2:19" s="280" customFormat="1" ht="12" customHeight="1" x14ac:dyDescent="0.15">
      <c r="B113" s="292" t="s">
        <v>322</v>
      </c>
      <c r="C113" s="293"/>
      <c r="D113" s="294"/>
      <c r="E113" s="284">
        <v>100</v>
      </c>
      <c r="F113" s="284">
        <v>160</v>
      </c>
      <c r="G113" s="284">
        <v>60</v>
      </c>
      <c r="H113" s="284">
        <v>100</v>
      </c>
      <c r="I113" s="284">
        <v>160</v>
      </c>
      <c r="J113" s="284">
        <v>150</v>
      </c>
      <c r="K113" s="284">
        <v>700</v>
      </c>
    </row>
    <row r="114" spans="2:19" ht="12" customHeight="1" x14ac:dyDescent="0.15">
      <c r="B114" s="285" t="s">
        <v>348</v>
      </c>
      <c r="C114" s="286"/>
      <c r="D114" s="286"/>
      <c r="E114" s="286"/>
      <c r="F114" s="286"/>
      <c r="G114" s="286"/>
      <c r="H114" s="286"/>
      <c r="I114" s="286"/>
      <c r="J114" s="286"/>
      <c r="K114" s="286"/>
      <c r="L114" s="286"/>
    </row>
    <row r="115" spans="2:19" ht="12" customHeight="1" x14ac:dyDescent="0.15">
      <c r="B115" s="285"/>
      <c r="C115" s="286"/>
      <c r="D115" s="286"/>
      <c r="E115" s="286"/>
      <c r="F115" s="286"/>
      <c r="G115" s="286"/>
      <c r="H115" s="286"/>
      <c r="I115" s="286"/>
      <c r="J115" s="286"/>
      <c r="K115" s="286"/>
      <c r="L115" s="286"/>
    </row>
    <row r="116" spans="2:19" s="280" customFormat="1" ht="12" customHeight="1" x14ac:dyDescent="0.15">
      <c r="B116" s="308" t="s">
        <v>349</v>
      </c>
      <c r="C116" s="308"/>
      <c r="D116" s="308"/>
      <c r="E116" s="308"/>
      <c r="F116" s="308"/>
      <c r="G116" s="308"/>
      <c r="H116" s="308"/>
      <c r="I116" s="286"/>
      <c r="J116" s="286"/>
      <c r="K116" s="286"/>
      <c r="L116" s="286"/>
      <c r="M116" s="286"/>
      <c r="N116" s="286"/>
      <c r="O116" s="286"/>
      <c r="P116" s="286"/>
      <c r="Q116" s="286"/>
      <c r="R116" s="286"/>
      <c r="S116" s="286"/>
    </row>
    <row r="117" spans="2:19" s="280" customFormat="1" ht="12" customHeight="1" x14ac:dyDescent="0.15">
      <c r="B117" s="309" t="s">
        <v>324</v>
      </c>
      <c r="C117" s="310"/>
      <c r="D117" s="309" t="s">
        <v>325</v>
      </c>
      <c r="E117" s="311"/>
      <c r="F117" s="311"/>
      <c r="G117" s="311"/>
      <c r="H117" s="310"/>
      <c r="I117" s="286"/>
      <c r="J117" s="286"/>
      <c r="K117" s="286"/>
      <c r="L117" s="286"/>
      <c r="M117" s="286"/>
      <c r="N117" s="286"/>
      <c r="O117" s="286"/>
      <c r="P117" s="286"/>
      <c r="Q117" s="286"/>
      <c r="R117" s="286"/>
      <c r="S117" s="286"/>
    </row>
    <row r="118" spans="2:19" ht="12" customHeight="1" x14ac:dyDescent="0.15">
      <c r="B118" s="312" t="s">
        <v>326</v>
      </c>
      <c r="C118" s="313" t="s">
        <v>350</v>
      </c>
      <c r="D118" s="313" t="s">
        <v>351</v>
      </c>
      <c r="E118" s="313" t="s">
        <v>352</v>
      </c>
      <c r="F118" s="313" t="s">
        <v>353</v>
      </c>
      <c r="G118" s="313" t="s">
        <v>354</v>
      </c>
      <c r="H118" s="313" t="s">
        <v>355</v>
      </c>
      <c r="I118" s="286"/>
      <c r="J118" s="286"/>
    </row>
    <row r="119" spans="2:19" s="280" customFormat="1" ht="12" customHeight="1" x14ac:dyDescent="0.15">
      <c r="B119" s="312" t="s">
        <v>332</v>
      </c>
      <c r="C119" s="314">
        <v>20</v>
      </c>
      <c r="D119" s="314">
        <v>13</v>
      </c>
      <c r="E119" s="314">
        <v>11</v>
      </c>
      <c r="F119" s="314" t="s">
        <v>356</v>
      </c>
      <c r="G119" s="314">
        <v>9.4</v>
      </c>
      <c r="H119" s="314" t="s">
        <v>356</v>
      </c>
      <c r="I119" s="286"/>
      <c r="J119" s="286"/>
    </row>
    <row r="120" spans="2:19" s="280" customFormat="1" ht="12" customHeight="1" x14ac:dyDescent="0.15">
      <c r="B120" s="312" t="s">
        <v>333</v>
      </c>
      <c r="C120" s="312">
        <v>150</v>
      </c>
      <c r="D120" s="312">
        <v>130</v>
      </c>
      <c r="E120" s="312">
        <v>110</v>
      </c>
      <c r="F120" s="312">
        <v>52</v>
      </c>
      <c r="G120" s="312">
        <v>43</v>
      </c>
      <c r="H120" s="312">
        <v>50</v>
      </c>
      <c r="I120" s="286"/>
      <c r="J120" s="286"/>
    </row>
    <row r="121" spans="2:19" s="280" customFormat="1" ht="12" customHeight="1" x14ac:dyDescent="0.15">
      <c r="B121" s="312" t="s">
        <v>334</v>
      </c>
      <c r="C121" s="314">
        <v>50</v>
      </c>
      <c r="D121" s="314">
        <v>90</v>
      </c>
      <c r="E121" s="314">
        <v>46</v>
      </c>
      <c r="F121" s="314">
        <v>27</v>
      </c>
      <c r="G121" s="314" t="s">
        <v>356</v>
      </c>
      <c r="H121" s="314" t="s">
        <v>356</v>
      </c>
      <c r="I121" s="286"/>
    </row>
    <row r="122" spans="2:19" ht="12" customHeight="1" x14ac:dyDescent="0.15">
      <c r="B122" s="285" t="s">
        <v>335</v>
      </c>
      <c r="C122" s="286"/>
      <c r="D122" s="286"/>
      <c r="E122" s="286"/>
      <c r="F122" s="286"/>
      <c r="G122" s="286"/>
      <c r="H122" s="286"/>
      <c r="I122" s="286"/>
      <c r="J122" s="286"/>
      <c r="K122" s="286"/>
      <c r="L122" s="286"/>
    </row>
    <row r="123" spans="2:19" ht="12" customHeight="1" x14ac:dyDescent="0.15">
      <c r="B123" s="285"/>
      <c r="C123" s="286"/>
      <c r="D123" s="286"/>
      <c r="E123" s="286"/>
      <c r="F123" s="286"/>
      <c r="G123" s="286"/>
      <c r="H123" s="286"/>
      <c r="I123" s="286"/>
      <c r="J123" s="286"/>
      <c r="K123" s="286"/>
      <c r="L123" s="286"/>
    </row>
    <row r="124" spans="2:19" s="280" customFormat="1" ht="12" customHeight="1" x14ac:dyDescent="0.15">
      <c r="B124" s="280" t="s">
        <v>336</v>
      </c>
      <c r="C124" s="286"/>
      <c r="D124" s="286"/>
      <c r="E124" s="286"/>
      <c r="F124" s="286"/>
      <c r="G124" s="286"/>
      <c r="H124" s="286"/>
      <c r="I124" s="286"/>
      <c r="J124" s="286"/>
      <c r="K124" s="286"/>
      <c r="L124" s="286"/>
      <c r="M124" s="286"/>
      <c r="N124" s="286"/>
      <c r="O124" s="286"/>
      <c r="P124" s="286"/>
      <c r="Q124" s="286"/>
      <c r="R124" s="286"/>
      <c r="S124" s="286"/>
    </row>
    <row r="125" spans="2:19" s="280" customFormat="1" ht="12" customHeight="1" x14ac:dyDescent="0.15">
      <c r="B125" s="286" t="s">
        <v>357</v>
      </c>
      <c r="C125" s="286"/>
      <c r="D125" s="286"/>
      <c r="E125" s="286"/>
      <c r="F125" s="286"/>
      <c r="G125" s="286"/>
      <c r="H125" s="286"/>
      <c r="I125" s="286"/>
      <c r="J125" s="286"/>
      <c r="K125" s="286"/>
      <c r="L125" s="286"/>
      <c r="M125" s="286"/>
      <c r="N125" s="286"/>
      <c r="O125" s="286"/>
      <c r="P125" s="286"/>
      <c r="Q125" s="286"/>
      <c r="R125" s="286"/>
      <c r="S125" s="286"/>
    </row>
    <row r="126" spans="2:19" ht="12" customHeight="1" x14ac:dyDescent="0.15">
      <c r="B126" s="539" t="s">
        <v>239</v>
      </c>
      <c r="C126" s="540"/>
      <c r="D126" s="540"/>
      <c r="E126" s="540"/>
      <c r="F126" s="540"/>
      <c r="G126" s="540"/>
      <c r="H126" s="540"/>
      <c r="I126" s="540"/>
      <c r="J126" s="540"/>
      <c r="K126" s="540"/>
      <c r="L126" s="541"/>
      <c r="M126" s="286"/>
      <c r="N126" s="286"/>
    </row>
    <row r="127" spans="2:19" ht="12" customHeight="1" x14ac:dyDescent="0.15">
      <c r="B127" s="539" t="s">
        <v>309</v>
      </c>
      <c r="C127" s="540"/>
      <c r="D127" s="540"/>
      <c r="E127" s="541"/>
      <c r="F127" s="539" t="s">
        <v>310</v>
      </c>
      <c r="G127" s="541"/>
      <c r="H127" s="567" t="s">
        <v>311</v>
      </c>
      <c r="I127" s="568"/>
      <c r="J127" s="548" t="s">
        <v>358</v>
      </c>
      <c r="K127" s="573"/>
      <c r="L127" s="549"/>
      <c r="M127" s="286"/>
      <c r="N127" s="286"/>
    </row>
    <row r="128" spans="2:19" ht="12" customHeight="1" x14ac:dyDescent="0.15">
      <c r="B128" s="542" t="s">
        <v>279</v>
      </c>
      <c r="C128" s="543"/>
      <c r="D128" s="542" t="s">
        <v>245</v>
      </c>
      <c r="E128" s="543"/>
      <c r="F128" s="306" t="s">
        <v>279</v>
      </c>
      <c r="G128" s="306" t="s">
        <v>245</v>
      </c>
      <c r="H128" s="571"/>
      <c r="I128" s="572"/>
      <c r="J128" s="550"/>
      <c r="K128" s="574"/>
      <c r="L128" s="551"/>
      <c r="M128" s="286"/>
      <c r="N128" s="286"/>
    </row>
    <row r="129" spans="2:21" ht="12" customHeight="1" x14ac:dyDescent="0.15">
      <c r="B129" s="315" t="s">
        <v>298</v>
      </c>
      <c r="C129" s="316"/>
      <c r="D129" s="315" t="s">
        <v>338</v>
      </c>
      <c r="E129" s="316"/>
      <c r="F129" s="315" t="s">
        <v>339</v>
      </c>
      <c r="G129" s="317"/>
      <c r="H129" s="315" t="s">
        <v>340</v>
      </c>
      <c r="I129" s="317"/>
      <c r="J129" s="318" t="s">
        <v>359</v>
      </c>
      <c r="K129" s="288" t="s">
        <v>360</v>
      </c>
      <c r="L129" s="319"/>
      <c r="M129" s="286"/>
      <c r="N129" s="286"/>
    </row>
    <row r="130" spans="2:21" ht="12" customHeight="1" x14ac:dyDescent="0.15">
      <c r="B130" s="320"/>
      <c r="C130" s="321"/>
      <c r="D130" s="299"/>
      <c r="E130" s="321"/>
      <c r="F130" s="299"/>
      <c r="G130" s="321"/>
      <c r="H130" s="299"/>
      <c r="I130" s="321"/>
      <c r="J130" s="318" t="s">
        <v>361</v>
      </c>
      <c r="K130" s="288" t="s">
        <v>362</v>
      </c>
      <c r="L130" s="289"/>
    </row>
    <row r="131" spans="2:21" ht="12" customHeight="1" x14ac:dyDescent="0.15">
      <c r="B131" s="285" t="s">
        <v>363</v>
      </c>
      <c r="C131" s="286"/>
      <c r="D131" s="286"/>
      <c r="E131" s="286"/>
      <c r="F131" s="286"/>
      <c r="G131" s="286"/>
      <c r="H131" s="286"/>
      <c r="I131" s="286"/>
      <c r="J131" s="286"/>
      <c r="K131" s="286"/>
      <c r="L131" s="286"/>
    </row>
    <row r="133" spans="2:21" ht="12" customHeight="1" x14ac:dyDescent="0.15">
      <c r="B133" s="322" t="s">
        <v>364</v>
      </c>
      <c r="C133" s="323"/>
      <c r="D133" s="323"/>
      <c r="E133" s="323"/>
      <c r="F133" s="323"/>
      <c r="G133" s="323"/>
      <c r="H133" s="323"/>
      <c r="I133" s="323"/>
      <c r="J133" s="323"/>
      <c r="K133" s="323"/>
      <c r="L133" s="282"/>
      <c r="M133" s="286"/>
      <c r="N133" s="286"/>
      <c r="O133" s="286"/>
      <c r="P133" s="286"/>
      <c r="Q133" s="286"/>
      <c r="R133" s="286"/>
      <c r="S133" s="286"/>
      <c r="T133" s="280"/>
      <c r="U133" s="280"/>
    </row>
    <row r="134" spans="2:21" s="280" customFormat="1" ht="12" customHeight="1" x14ac:dyDescent="0.15">
      <c r="B134" s="286" t="s">
        <v>365</v>
      </c>
      <c r="C134" s="286"/>
      <c r="D134" s="286"/>
      <c r="E134" s="286"/>
      <c r="F134" s="286"/>
      <c r="G134" s="286"/>
      <c r="H134" s="286"/>
      <c r="I134" s="286"/>
      <c r="J134" s="286"/>
      <c r="K134" s="286"/>
      <c r="L134" s="286"/>
      <c r="M134" s="286"/>
      <c r="N134" s="286"/>
      <c r="O134" s="286"/>
      <c r="P134" s="286"/>
      <c r="Q134" s="286"/>
      <c r="R134" s="286"/>
      <c r="S134" s="286"/>
    </row>
    <row r="135" spans="2:21" ht="12" customHeight="1" x14ac:dyDescent="0.15">
      <c r="B135" s="292"/>
      <c r="C135" s="293" t="s">
        <v>316</v>
      </c>
      <c r="D135" s="294"/>
      <c r="E135" s="292" t="s">
        <v>279</v>
      </c>
      <c r="F135" s="293"/>
      <c r="G135" s="294"/>
      <c r="H135" s="292" t="s">
        <v>245</v>
      </c>
      <c r="I135" s="293"/>
      <c r="J135" s="294"/>
      <c r="K135" s="284" t="s">
        <v>280</v>
      </c>
    </row>
    <row r="136" spans="2:21" s="280" customFormat="1" ht="12" customHeight="1" x14ac:dyDescent="0.15">
      <c r="B136" s="292"/>
      <c r="D136" s="294"/>
      <c r="E136" s="307" t="s">
        <v>366</v>
      </c>
      <c r="F136" s="307" t="s">
        <v>367</v>
      </c>
      <c r="G136" s="307" t="s">
        <v>368</v>
      </c>
      <c r="H136" s="307" t="s">
        <v>369</v>
      </c>
      <c r="I136" s="307" t="s">
        <v>370</v>
      </c>
      <c r="J136" s="307" t="s">
        <v>371</v>
      </c>
      <c r="K136" s="284"/>
      <c r="L136" s="286"/>
      <c r="M136" s="286"/>
      <c r="N136" s="286"/>
      <c r="O136" s="286"/>
      <c r="P136" s="286"/>
      <c r="Q136" s="286"/>
    </row>
    <row r="137" spans="2:21" s="280" customFormat="1" ht="12" customHeight="1" x14ac:dyDescent="0.15">
      <c r="B137" s="292" t="s">
        <v>264</v>
      </c>
      <c r="C137" s="293"/>
      <c r="D137" s="294"/>
      <c r="E137" s="284">
        <v>3.0999999999999999E-3</v>
      </c>
      <c r="F137" s="284">
        <v>2.7E-2</v>
      </c>
      <c r="G137" s="284">
        <v>6.8999999999999999E-3</v>
      </c>
      <c r="H137" s="284">
        <v>3.5000000000000001E-3</v>
      </c>
      <c r="I137" s="284">
        <v>1.7000000000000001E-2</v>
      </c>
      <c r="J137" s="284">
        <v>8.6E-3</v>
      </c>
      <c r="K137" s="284">
        <v>0.15</v>
      </c>
    </row>
    <row r="138" spans="2:21" s="280" customFormat="1" ht="12" customHeight="1" x14ac:dyDescent="0.15">
      <c r="B138" s="292" t="s">
        <v>320</v>
      </c>
      <c r="C138" s="293"/>
      <c r="D138" s="294"/>
      <c r="E138" s="284">
        <v>7.1999999999999995E-2</v>
      </c>
      <c r="F138" s="284">
        <v>0.08</v>
      </c>
      <c r="G138" s="284">
        <v>8.4000000000000005E-2</v>
      </c>
      <c r="H138" s="284">
        <v>7.6999999999999999E-2</v>
      </c>
      <c r="I138" s="284">
        <v>0.13</v>
      </c>
      <c r="J138" s="284">
        <v>0.13</v>
      </c>
      <c r="K138" s="284">
        <v>100</v>
      </c>
    </row>
    <row r="139" spans="2:21" s="280" customFormat="1" ht="12" customHeight="1" x14ac:dyDescent="0.15">
      <c r="B139" s="292" t="s">
        <v>321</v>
      </c>
      <c r="C139" s="293"/>
      <c r="D139" s="294"/>
      <c r="E139" s="284">
        <v>140</v>
      </c>
      <c r="F139" s="284">
        <v>170</v>
      </c>
      <c r="G139" s="284">
        <v>120</v>
      </c>
      <c r="H139" s="284">
        <v>130</v>
      </c>
      <c r="I139" s="284">
        <v>100</v>
      </c>
      <c r="J139" s="284">
        <v>88</v>
      </c>
      <c r="K139" s="284">
        <v>250</v>
      </c>
    </row>
    <row r="140" spans="2:21" s="280" customFormat="1" ht="12" customHeight="1" x14ac:dyDescent="0.15">
      <c r="B140" s="292" t="s">
        <v>322</v>
      </c>
      <c r="C140" s="293"/>
      <c r="D140" s="294"/>
      <c r="E140" s="284">
        <v>120</v>
      </c>
      <c r="F140" s="284">
        <v>23</v>
      </c>
      <c r="G140" s="284">
        <v>46</v>
      </c>
      <c r="H140" s="284">
        <v>120</v>
      </c>
      <c r="I140" s="284">
        <v>88</v>
      </c>
      <c r="J140" s="284">
        <v>34</v>
      </c>
      <c r="K140" s="284">
        <v>700</v>
      </c>
    </row>
    <row r="141" spans="2:21" ht="12" customHeight="1" x14ac:dyDescent="0.15">
      <c r="B141" s="285" t="s">
        <v>293</v>
      </c>
      <c r="C141" s="286"/>
      <c r="D141" s="286"/>
      <c r="E141" s="286"/>
      <c r="F141" s="286"/>
      <c r="G141" s="286"/>
      <c r="H141" s="286"/>
      <c r="I141" s="286"/>
      <c r="J141" s="286"/>
      <c r="K141" s="286"/>
      <c r="L141" s="286"/>
    </row>
    <row r="142" spans="2:21" ht="12" customHeight="1" x14ac:dyDescent="0.15">
      <c r="B142" s="286"/>
      <c r="C142" s="286"/>
      <c r="D142" s="286"/>
      <c r="E142" s="286"/>
      <c r="F142" s="286"/>
      <c r="G142" s="286"/>
      <c r="H142" s="286"/>
      <c r="I142" s="286"/>
      <c r="J142" s="286"/>
      <c r="K142" s="286"/>
      <c r="L142" s="286"/>
      <c r="M142" s="286"/>
      <c r="N142" s="286"/>
      <c r="O142" s="286"/>
      <c r="P142" s="286"/>
      <c r="Q142" s="286"/>
      <c r="R142" s="286"/>
      <c r="S142" s="286"/>
      <c r="T142" s="280"/>
      <c r="U142" s="280"/>
    </row>
    <row r="143" spans="2:21" s="280" customFormat="1" ht="12" customHeight="1" x14ac:dyDescent="0.15">
      <c r="B143" s="308" t="s">
        <v>349</v>
      </c>
      <c r="C143" s="308"/>
      <c r="D143" s="308"/>
      <c r="E143" s="308"/>
      <c r="F143" s="308"/>
      <c r="G143" s="308"/>
      <c r="H143" s="308"/>
      <c r="I143" s="286"/>
      <c r="J143" s="286"/>
      <c r="K143" s="286"/>
      <c r="L143" s="286"/>
      <c r="M143" s="286"/>
      <c r="N143" s="286"/>
      <c r="O143" s="286"/>
      <c r="P143" s="286"/>
      <c r="Q143" s="286"/>
      <c r="R143" s="286"/>
      <c r="S143" s="286"/>
    </row>
    <row r="144" spans="2:21" s="280" customFormat="1" ht="12" customHeight="1" x14ac:dyDescent="0.15">
      <c r="B144" s="309" t="s">
        <v>324</v>
      </c>
      <c r="C144" s="310"/>
      <c r="D144" s="309" t="s">
        <v>325</v>
      </c>
      <c r="E144" s="311"/>
      <c r="F144" s="311"/>
      <c r="G144" s="311"/>
      <c r="H144" s="310"/>
      <c r="I144" s="286"/>
      <c r="J144" s="286"/>
      <c r="K144" s="286"/>
      <c r="L144" s="286"/>
      <c r="M144" s="286"/>
      <c r="N144" s="286"/>
      <c r="O144" s="286"/>
      <c r="P144" s="286"/>
      <c r="Q144" s="286"/>
      <c r="R144" s="286"/>
      <c r="S144" s="286"/>
    </row>
    <row r="145" spans="1:25" ht="12" customHeight="1" x14ac:dyDescent="0.15">
      <c r="B145" s="312" t="s">
        <v>326</v>
      </c>
      <c r="C145" s="313" t="s">
        <v>372</v>
      </c>
      <c r="D145" s="313" t="s">
        <v>366</v>
      </c>
      <c r="E145" s="313" t="s">
        <v>373</v>
      </c>
      <c r="F145" s="313" t="s">
        <v>374</v>
      </c>
      <c r="G145" s="313" t="s">
        <v>375</v>
      </c>
      <c r="H145" s="313" t="s">
        <v>331</v>
      </c>
      <c r="I145" s="286"/>
      <c r="J145" s="286"/>
    </row>
    <row r="146" spans="1:25" ht="12" customHeight="1" x14ac:dyDescent="0.15">
      <c r="B146" s="312" t="s">
        <v>332</v>
      </c>
      <c r="C146" s="314">
        <v>32</v>
      </c>
      <c r="D146" s="314">
        <v>190</v>
      </c>
      <c r="E146" s="314">
        <v>58</v>
      </c>
      <c r="F146" s="314">
        <v>42</v>
      </c>
      <c r="G146" s="314">
        <v>38</v>
      </c>
      <c r="H146" s="314">
        <v>24</v>
      </c>
      <c r="I146" s="286"/>
      <c r="L146" s="280"/>
      <c r="M146" s="280"/>
      <c r="N146" s="280"/>
      <c r="O146" s="280"/>
      <c r="P146" s="280"/>
      <c r="Q146" s="280"/>
      <c r="R146" s="280"/>
      <c r="S146" s="280"/>
      <c r="T146" s="280"/>
      <c r="U146" s="280"/>
    </row>
    <row r="147" spans="1:25" ht="12" customHeight="1" x14ac:dyDescent="0.15">
      <c r="B147" s="312" t="s">
        <v>333</v>
      </c>
      <c r="C147" s="312">
        <v>150</v>
      </c>
      <c r="D147" s="312">
        <v>250</v>
      </c>
      <c r="E147" s="312">
        <v>294</v>
      </c>
      <c r="F147" s="312">
        <v>200</v>
      </c>
      <c r="G147" s="312">
        <v>160</v>
      </c>
      <c r="H147" s="312">
        <v>120</v>
      </c>
      <c r="I147" s="286"/>
      <c r="L147" s="280"/>
      <c r="M147" s="280"/>
      <c r="N147" s="280"/>
      <c r="O147" s="280"/>
      <c r="P147" s="280"/>
      <c r="Q147" s="280"/>
      <c r="R147" s="280"/>
      <c r="S147" s="280"/>
      <c r="T147" s="280"/>
      <c r="U147" s="280"/>
    </row>
    <row r="148" spans="1:25" ht="12" customHeight="1" x14ac:dyDescent="0.15">
      <c r="B148" s="312" t="s">
        <v>334</v>
      </c>
      <c r="C148" s="314">
        <v>130</v>
      </c>
      <c r="D148" s="314">
        <v>67</v>
      </c>
      <c r="E148" s="314">
        <v>169</v>
      </c>
      <c r="F148" s="314">
        <v>60</v>
      </c>
      <c r="G148" s="314">
        <v>142</v>
      </c>
      <c r="H148" s="314">
        <v>43</v>
      </c>
      <c r="I148" s="286"/>
      <c r="L148" s="280"/>
      <c r="M148" s="280"/>
      <c r="N148" s="280"/>
      <c r="O148" s="280"/>
      <c r="P148" s="280"/>
      <c r="Q148" s="280"/>
      <c r="R148" s="280"/>
      <c r="S148" s="280"/>
      <c r="T148" s="280"/>
      <c r="U148" s="280"/>
    </row>
    <row r="149" spans="1:25" ht="12" customHeight="1" x14ac:dyDescent="0.15">
      <c r="B149" s="285" t="s">
        <v>376</v>
      </c>
      <c r="C149" s="286"/>
      <c r="D149" s="286"/>
      <c r="E149" s="286"/>
      <c r="F149" s="286"/>
      <c r="G149" s="286"/>
      <c r="H149" s="286"/>
      <c r="I149" s="286"/>
      <c r="L149" s="280"/>
      <c r="M149" s="286"/>
      <c r="N149" s="286"/>
      <c r="O149" s="286"/>
      <c r="P149" s="286"/>
      <c r="Q149" s="286"/>
      <c r="R149" s="286"/>
      <c r="S149" s="286"/>
      <c r="T149" s="280"/>
      <c r="U149" s="280"/>
    </row>
    <row r="150" spans="1:25" ht="12" customHeight="1" x14ac:dyDescent="0.15">
      <c r="B150" s="286"/>
      <c r="C150" s="286"/>
      <c r="D150" s="286"/>
      <c r="E150" s="286"/>
      <c r="F150" s="286"/>
      <c r="G150" s="286"/>
      <c r="H150" s="286"/>
      <c r="I150" s="286"/>
      <c r="L150" s="280"/>
      <c r="M150" s="286"/>
      <c r="N150" s="286"/>
      <c r="O150" s="286"/>
      <c r="P150" s="286"/>
      <c r="Q150" s="286"/>
      <c r="R150" s="286"/>
      <c r="S150" s="286"/>
      <c r="T150" s="280"/>
      <c r="U150" s="280"/>
    </row>
    <row r="151" spans="1:25" s="280" customFormat="1" ht="12" customHeight="1" x14ac:dyDescent="0.15">
      <c r="B151" s="286" t="s">
        <v>377</v>
      </c>
      <c r="C151" s="286"/>
      <c r="D151" s="286"/>
      <c r="E151" s="286"/>
      <c r="F151" s="286"/>
      <c r="G151" s="286"/>
      <c r="H151" s="286"/>
      <c r="I151" s="286"/>
      <c r="J151" s="286"/>
      <c r="K151" s="286"/>
      <c r="L151" s="286"/>
      <c r="M151" s="286"/>
      <c r="N151" s="286"/>
      <c r="O151" s="286"/>
      <c r="P151" s="286"/>
      <c r="Q151" s="286"/>
      <c r="R151" s="286"/>
      <c r="S151" s="286"/>
    </row>
    <row r="152" spans="1:25" s="280" customFormat="1" ht="12" customHeight="1" x14ac:dyDescent="0.15">
      <c r="B152" s="286" t="s">
        <v>378</v>
      </c>
      <c r="C152" s="286"/>
      <c r="D152" s="286"/>
      <c r="E152" s="286"/>
      <c r="F152" s="286"/>
      <c r="G152" s="286"/>
      <c r="H152" s="286"/>
      <c r="I152" s="286"/>
      <c r="J152" s="286"/>
      <c r="K152" s="286"/>
      <c r="L152" s="286"/>
      <c r="M152" s="286"/>
      <c r="N152" s="286"/>
      <c r="O152" s="286"/>
      <c r="P152" s="286"/>
      <c r="Q152" s="286"/>
      <c r="R152" s="286"/>
      <c r="S152" s="286"/>
    </row>
    <row r="153" spans="1:25" ht="12" customHeight="1" x14ac:dyDescent="0.15">
      <c r="B153" s="539" t="s">
        <v>309</v>
      </c>
      <c r="C153" s="540"/>
      <c r="D153" s="540"/>
      <c r="E153" s="541"/>
      <c r="F153" s="539" t="s">
        <v>310</v>
      </c>
      <c r="G153" s="541"/>
      <c r="H153" s="567" t="s">
        <v>311</v>
      </c>
      <c r="I153" s="568"/>
      <c r="J153" s="548" t="s">
        <v>296</v>
      </c>
      <c r="K153" s="573"/>
      <c r="L153" s="549"/>
      <c r="M153" s="286"/>
      <c r="N153" s="286"/>
    </row>
    <row r="154" spans="1:25" ht="12" customHeight="1" x14ac:dyDescent="0.15">
      <c r="B154" s="542" t="s">
        <v>279</v>
      </c>
      <c r="C154" s="543"/>
      <c r="D154" s="542" t="s">
        <v>245</v>
      </c>
      <c r="E154" s="543"/>
      <c r="F154" s="306" t="s">
        <v>279</v>
      </c>
      <c r="G154" s="306" t="s">
        <v>245</v>
      </c>
      <c r="H154" s="571"/>
      <c r="I154" s="572"/>
      <c r="J154" s="550"/>
      <c r="K154" s="574"/>
      <c r="L154" s="551"/>
      <c r="M154" s="286"/>
      <c r="N154" s="286"/>
    </row>
    <row r="155" spans="1:25" ht="12" customHeight="1" x14ac:dyDescent="0.15">
      <c r="B155" s="299" t="s">
        <v>379</v>
      </c>
      <c r="C155" s="300"/>
      <c r="D155" s="299" t="s">
        <v>380</v>
      </c>
      <c r="E155" s="300"/>
      <c r="F155" s="299" t="s">
        <v>381</v>
      </c>
      <c r="G155" s="301"/>
      <c r="H155" s="299" t="s">
        <v>382</v>
      </c>
      <c r="I155" s="301"/>
      <c r="J155" s="299" t="s">
        <v>383</v>
      </c>
      <c r="K155" s="302"/>
      <c r="L155" s="303"/>
      <c r="M155" s="286"/>
      <c r="N155" s="286"/>
    </row>
    <row r="156" spans="1:25" ht="12" customHeight="1" x14ac:dyDescent="0.15">
      <c r="B156" s="304" t="s">
        <v>384</v>
      </c>
    </row>
    <row r="157" spans="1:25" ht="12" customHeight="1" x14ac:dyDescent="0.15">
      <c r="L157" s="280"/>
      <c r="M157" s="280"/>
      <c r="N157" s="280"/>
      <c r="O157" s="280"/>
      <c r="P157" s="280"/>
      <c r="Q157" s="280"/>
      <c r="R157" s="280"/>
      <c r="S157" s="280"/>
      <c r="T157" s="280"/>
      <c r="U157" s="280"/>
    </row>
    <row r="158" spans="1:25" s="324" customFormat="1" ht="35.25" customHeight="1" x14ac:dyDescent="0.15">
      <c r="A158" s="20" t="s">
        <v>5</v>
      </c>
      <c r="B158" s="240" t="s">
        <v>204</v>
      </c>
      <c r="C158" s="241" t="s">
        <v>7</v>
      </c>
      <c r="D158" s="241" t="s">
        <v>8</v>
      </c>
      <c r="E158" s="241" t="s">
        <v>9</v>
      </c>
      <c r="F158" s="241" t="s">
        <v>10</v>
      </c>
      <c r="G158" s="241" t="s">
        <v>205</v>
      </c>
      <c r="H158" s="241" t="s">
        <v>206</v>
      </c>
      <c r="I158" s="241" t="s">
        <v>385</v>
      </c>
      <c r="J158" s="242" t="s">
        <v>386</v>
      </c>
      <c r="K158" s="241" t="s">
        <v>387</v>
      </c>
      <c r="L158" s="241" t="s">
        <v>388</v>
      </c>
      <c r="M158" s="242" t="s">
        <v>211</v>
      </c>
      <c r="N158" s="242" t="s">
        <v>212</v>
      </c>
      <c r="O158" s="243" t="s">
        <v>15</v>
      </c>
      <c r="P158" s="244" t="s">
        <v>213</v>
      </c>
      <c r="Q158" s="242" t="s">
        <v>389</v>
      </c>
      <c r="R158" s="243" t="s">
        <v>17</v>
      </c>
      <c r="S158" s="242" t="s">
        <v>215</v>
      </c>
      <c r="T158" s="242" t="s">
        <v>216</v>
      </c>
      <c r="U158" s="243" t="s">
        <v>217</v>
      </c>
      <c r="V158" s="241" t="s">
        <v>21</v>
      </c>
      <c r="W158" s="241" t="s">
        <v>218</v>
      </c>
      <c r="X158" s="241" t="s">
        <v>219</v>
      </c>
      <c r="Y158" s="246"/>
    </row>
    <row r="159" spans="1:25" s="324" customFormat="1" ht="63" customHeight="1" x14ac:dyDescent="0.15">
      <c r="A159" s="20" t="s">
        <v>5</v>
      </c>
      <c r="B159" s="240" t="s">
        <v>6</v>
      </c>
      <c r="C159" s="241" t="s">
        <v>7</v>
      </c>
      <c r="D159" s="241" t="s">
        <v>8</v>
      </c>
      <c r="E159" s="241" t="s">
        <v>9</v>
      </c>
      <c r="F159" s="241" t="s">
        <v>10</v>
      </c>
      <c r="G159" s="241" t="s">
        <v>390</v>
      </c>
      <c r="H159" s="241" t="s">
        <v>11</v>
      </c>
      <c r="I159" s="241" t="s">
        <v>391</v>
      </c>
      <c r="J159" s="242" t="s">
        <v>392</v>
      </c>
      <c r="K159" s="241" t="s">
        <v>393</v>
      </c>
      <c r="L159" s="241" t="s">
        <v>394</v>
      </c>
      <c r="M159" s="242" t="s">
        <v>13</v>
      </c>
      <c r="N159" s="242" t="s">
        <v>14</v>
      </c>
      <c r="O159" s="243" t="s">
        <v>15</v>
      </c>
      <c r="P159" s="244" t="s">
        <v>16</v>
      </c>
      <c r="Q159" s="242" t="s">
        <v>389</v>
      </c>
      <c r="R159" s="243" t="s">
        <v>17</v>
      </c>
      <c r="S159" s="242" t="s">
        <v>18</v>
      </c>
      <c r="T159" s="242" t="s">
        <v>19</v>
      </c>
      <c r="U159" s="243" t="s">
        <v>20</v>
      </c>
      <c r="V159" s="241" t="s">
        <v>21</v>
      </c>
      <c r="W159" s="241" t="s">
        <v>224</v>
      </c>
      <c r="X159" s="241" t="s">
        <v>225</v>
      </c>
      <c r="Y159" s="253" t="s">
        <v>179</v>
      </c>
    </row>
    <row r="160" spans="1:25" s="1" customFormat="1" x14ac:dyDescent="0.2">
      <c r="A160" s="254">
        <v>30407</v>
      </c>
      <c r="B160" s="24" t="s">
        <v>86</v>
      </c>
      <c r="C160" s="21" t="s">
        <v>226</v>
      </c>
      <c r="D160" s="24" t="s">
        <v>227</v>
      </c>
      <c r="E160" s="26">
        <v>68477</v>
      </c>
      <c r="F160" s="26">
        <v>68477</v>
      </c>
      <c r="G160" s="26">
        <v>23649</v>
      </c>
      <c r="H160" s="26">
        <v>19220</v>
      </c>
      <c r="I160" s="26">
        <v>4429</v>
      </c>
      <c r="J160" s="26"/>
      <c r="K160" s="26">
        <v>15583</v>
      </c>
      <c r="L160" s="26">
        <v>3637</v>
      </c>
      <c r="M160" s="26">
        <v>0</v>
      </c>
      <c r="N160" s="26"/>
      <c r="O160" s="24"/>
      <c r="P160" s="255"/>
      <c r="Q160" s="256"/>
      <c r="R160" s="255"/>
      <c r="S160" s="257"/>
      <c r="T160" s="256"/>
      <c r="U160" s="256"/>
      <c r="V160" s="24" t="s">
        <v>87</v>
      </c>
      <c r="W160" s="24"/>
      <c r="X160" s="24"/>
      <c r="Y160" s="24"/>
    </row>
    <row r="161" spans="1:25" s="1" customFormat="1" x14ac:dyDescent="0.2">
      <c r="A161" s="254">
        <v>30773</v>
      </c>
      <c r="B161" s="24" t="s">
        <v>88</v>
      </c>
      <c r="C161" s="21" t="s">
        <v>226</v>
      </c>
      <c r="D161" s="24" t="s">
        <v>227</v>
      </c>
      <c r="E161" s="26">
        <v>68332</v>
      </c>
      <c r="F161" s="26">
        <v>68332</v>
      </c>
      <c r="G161" s="26">
        <v>24941</v>
      </c>
      <c r="H161" s="26">
        <v>20345</v>
      </c>
      <c r="I161" s="26">
        <v>4596</v>
      </c>
      <c r="J161" s="26"/>
      <c r="K161" s="26">
        <v>16675</v>
      </c>
      <c r="L161" s="26">
        <v>3670</v>
      </c>
      <c r="M161" s="26">
        <v>0</v>
      </c>
      <c r="N161" s="26"/>
      <c r="O161" s="24"/>
      <c r="P161" s="255"/>
      <c r="Q161" s="256"/>
      <c r="R161" s="255"/>
      <c r="S161" s="256"/>
      <c r="T161" s="256"/>
      <c r="U161" s="256"/>
      <c r="V161" s="24" t="s">
        <v>87</v>
      </c>
      <c r="W161" s="24"/>
      <c r="X161" s="24"/>
      <c r="Y161" s="24"/>
    </row>
    <row r="162" spans="1:25" s="1" customFormat="1" x14ac:dyDescent="0.2">
      <c r="A162" s="254">
        <v>31138</v>
      </c>
      <c r="B162" s="24" t="s">
        <v>89</v>
      </c>
      <c r="C162" s="21" t="s">
        <v>226</v>
      </c>
      <c r="D162" s="24" t="s">
        <v>227</v>
      </c>
      <c r="E162" s="26">
        <v>67825</v>
      </c>
      <c r="F162" s="26">
        <v>67825</v>
      </c>
      <c r="G162" s="26">
        <v>24756</v>
      </c>
      <c r="H162" s="26">
        <v>19810</v>
      </c>
      <c r="I162" s="26">
        <v>4946</v>
      </c>
      <c r="J162" s="26"/>
      <c r="K162" s="26">
        <v>16180</v>
      </c>
      <c r="L162" s="26">
        <v>3630</v>
      </c>
      <c r="M162" s="26">
        <v>0</v>
      </c>
      <c r="N162" s="26"/>
      <c r="O162" s="24"/>
      <c r="P162" s="255"/>
      <c r="Q162" s="256"/>
      <c r="R162" s="255"/>
      <c r="S162" s="256"/>
      <c r="T162" s="256"/>
      <c r="U162" s="256"/>
      <c r="V162" s="24" t="s">
        <v>87</v>
      </c>
      <c r="W162" s="24"/>
      <c r="X162" s="24"/>
      <c r="Y162" s="24"/>
    </row>
    <row r="163" spans="1:25" s="1" customFormat="1" x14ac:dyDescent="0.2">
      <c r="A163" s="254">
        <v>31503</v>
      </c>
      <c r="B163" s="24" t="s">
        <v>90</v>
      </c>
      <c r="C163" s="21" t="s">
        <v>226</v>
      </c>
      <c r="D163" s="24" t="s">
        <v>227</v>
      </c>
      <c r="E163" s="26">
        <v>67408</v>
      </c>
      <c r="F163" s="26">
        <v>67408</v>
      </c>
      <c r="G163" s="26">
        <v>24604</v>
      </c>
      <c r="H163" s="26">
        <v>20848</v>
      </c>
      <c r="I163" s="26">
        <v>3756</v>
      </c>
      <c r="J163" s="26"/>
      <c r="K163" s="26">
        <v>16842</v>
      </c>
      <c r="L163" s="26">
        <v>3956</v>
      </c>
      <c r="M163" s="26">
        <v>50</v>
      </c>
      <c r="N163" s="26"/>
      <c r="O163" s="24"/>
      <c r="P163" s="255"/>
      <c r="Q163" s="256"/>
      <c r="R163" s="255"/>
      <c r="S163" s="256"/>
      <c r="T163" s="256"/>
      <c r="U163" s="256"/>
      <c r="V163" s="24" t="s">
        <v>87</v>
      </c>
      <c r="W163" s="24"/>
      <c r="X163" s="24"/>
      <c r="Y163" s="24"/>
    </row>
    <row r="164" spans="1:25" s="1" customFormat="1" x14ac:dyDescent="0.2">
      <c r="A164" s="254">
        <v>31868</v>
      </c>
      <c r="B164" s="24" t="s">
        <v>91</v>
      </c>
      <c r="C164" s="21" t="s">
        <v>226</v>
      </c>
      <c r="D164" s="24" t="s">
        <v>227</v>
      </c>
      <c r="E164" s="26">
        <v>66889</v>
      </c>
      <c r="F164" s="26">
        <v>66889</v>
      </c>
      <c r="G164" s="26">
        <v>24414</v>
      </c>
      <c r="H164" s="26">
        <v>21515</v>
      </c>
      <c r="I164" s="26">
        <v>2899</v>
      </c>
      <c r="J164" s="26"/>
      <c r="K164" s="26">
        <v>17382</v>
      </c>
      <c r="L164" s="26">
        <v>4072</v>
      </c>
      <c r="M164" s="26">
        <v>61</v>
      </c>
      <c r="N164" s="26"/>
      <c r="O164" s="24"/>
      <c r="P164" s="255"/>
      <c r="Q164" s="256"/>
      <c r="R164" s="255"/>
      <c r="S164" s="256"/>
      <c r="T164" s="256"/>
      <c r="U164" s="256"/>
      <c r="V164" s="24" t="s">
        <v>87</v>
      </c>
      <c r="W164" s="24"/>
      <c r="X164" s="24"/>
      <c r="Y164" s="24"/>
    </row>
    <row r="165" spans="1:25" s="1" customFormat="1" x14ac:dyDescent="0.2">
      <c r="A165" s="254">
        <v>32234</v>
      </c>
      <c r="B165" s="24" t="s">
        <v>92</v>
      </c>
      <c r="C165" s="21" t="s">
        <v>226</v>
      </c>
      <c r="D165" s="24" t="s">
        <v>227</v>
      </c>
      <c r="E165" s="26">
        <v>66455</v>
      </c>
      <c r="F165" s="26">
        <v>66455</v>
      </c>
      <c r="G165" s="26">
        <v>24256</v>
      </c>
      <c r="H165" s="26">
        <v>22271</v>
      </c>
      <c r="I165" s="26">
        <v>1985</v>
      </c>
      <c r="J165" s="26"/>
      <c r="K165" s="26">
        <v>17854</v>
      </c>
      <c r="L165" s="26">
        <v>4370</v>
      </c>
      <c r="M165" s="26">
        <v>47</v>
      </c>
      <c r="N165" s="26"/>
      <c r="O165" s="24"/>
      <c r="P165" s="255"/>
      <c r="Q165" s="256"/>
      <c r="R165" s="255"/>
      <c r="S165" s="256"/>
      <c r="T165" s="256"/>
      <c r="U165" s="256"/>
      <c r="V165" s="24" t="s">
        <v>87</v>
      </c>
      <c r="W165" s="24"/>
      <c r="X165" s="24"/>
      <c r="Y165" s="24"/>
    </row>
    <row r="166" spans="1:25" s="1" customFormat="1" x14ac:dyDescent="0.2">
      <c r="A166" s="254">
        <v>32599</v>
      </c>
      <c r="B166" s="325" t="s">
        <v>395</v>
      </c>
      <c r="C166" s="21" t="s">
        <v>226</v>
      </c>
      <c r="D166" s="24" t="s">
        <v>227</v>
      </c>
      <c r="E166" s="26">
        <v>66059</v>
      </c>
      <c r="F166" s="26">
        <v>66059</v>
      </c>
      <c r="G166" s="26">
        <v>24112</v>
      </c>
      <c r="H166" s="26">
        <v>23495</v>
      </c>
      <c r="I166" s="26">
        <v>617</v>
      </c>
      <c r="J166" s="26"/>
      <c r="K166" s="26">
        <v>18947</v>
      </c>
      <c r="L166" s="26">
        <v>4223</v>
      </c>
      <c r="M166" s="26">
        <v>325</v>
      </c>
      <c r="N166" s="26"/>
      <c r="O166" s="24"/>
      <c r="P166" s="255"/>
      <c r="Q166" s="256"/>
      <c r="R166" s="255"/>
      <c r="S166" s="256"/>
      <c r="T166" s="256"/>
      <c r="U166" s="256"/>
      <c r="V166" s="24" t="s">
        <v>87</v>
      </c>
      <c r="W166" s="24"/>
      <c r="X166" s="24"/>
      <c r="Y166" s="24"/>
    </row>
    <row r="167" spans="1:25" s="1" customFormat="1" x14ac:dyDescent="0.2">
      <c r="A167" s="254">
        <v>32964</v>
      </c>
      <c r="B167" s="325" t="s">
        <v>93</v>
      </c>
      <c r="C167" s="21" t="s">
        <v>226</v>
      </c>
      <c r="D167" s="24" t="s">
        <v>227</v>
      </c>
      <c r="E167" s="26">
        <v>65480</v>
      </c>
      <c r="F167" s="26">
        <v>65480</v>
      </c>
      <c r="G167" s="26">
        <v>24941</v>
      </c>
      <c r="H167" s="26">
        <v>23953</v>
      </c>
      <c r="I167" s="26">
        <v>988</v>
      </c>
      <c r="J167" s="26"/>
      <c r="K167" s="26">
        <v>19270</v>
      </c>
      <c r="L167" s="26">
        <v>4551</v>
      </c>
      <c r="M167" s="26">
        <v>132</v>
      </c>
      <c r="N167" s="26"/>
      <c r="O167" s="24"/>
      <c r="P167" s="255"/>
      <c r="Q167" s="256"/>
      <c r="R167" s="255"/>
      <c r="S167" s="256"/>
      <c r="T167" s="256"/>
      <c r="U167" s="256"/>
      <c r="V167" s="24" t="s">
        <v>87</v>
      </c>
      <c r="W167" s="24"/>
      <c r="X167" s="24"/>
      <c r="Y167" s="24"/>
    </row>
    <row r="168" spans="1:25" s="1" customFormat="1" x14ac:dyDescent="0.2">
      <c r="A168" s="254">
        <v>33329</v>
      </c>
      <c r="B168" s="325" t="s">
        <v>94</v>
      </c>
      <c r="C168" s="21" t="s">
        <v>226</v>
      </c>
      <c r="D168" s="24" t="s">
        <v>227</v>
      </c>
      <c r="E168" s="26">
        <v>64964</v>
      </c>
      <c r="F168" s="26">
        <v>64964</v>
      </c>
      <c r="G168" s="26">
        <v>24676</v>
      </c>
      <c r="H168" s="26">
        <v>23707</v>
      </c>
      <c r="I168" s="26">
        <v>969</v>
      </c>
      <c r="J168" s="26"/>
      <c r="K168" s="26">
        <v>18945</v>
      </c>
      <c r="L168" s="26">
        <v>4643</v>
      </c>
      <c r="M168" s="26">
        <v>119</v>
      </c>
      <c r="N168" s="26"/>
      <c r="O168" s="24"/>
      <c r="P168" s="255"/>
      <c r="Q168" s="256"/>
      <c r="R168" s="255"/>
      <c r="S168" s="256"/>
      <c r="T168" s="256"/>
      <c r="U168" s="256"/>
      <c r="V168" s="24" t="s">
        <v>87</v>
      </c>
      <c r="W168" s="24"/>
      <c r="X168" s="24"/>
      <c r="Y168" s="24"/>
    </row>
    <row r="169" spans="1:25" s="1" customFormat="1" x14ac:dyDescent="0.2">
      <c r="A169" s="254">
        <v>33695</v>
      </c>
      <c r="B169" s="325" t="s">
        <v>95</v>
      </c>
      <c r="C169" s="21" t="s">
        <v>226</v>
      </c>
      <c r="D169" s="24" t="s">
        <v>227</v>
      </c>
      <c r="E169" s="26">
        <v>64449</v>
      </c>
      <c r="F169" s="26">
        <v>64449</v>
      </c>
      <c r="G169" s="26">
        <v>25542</v>
      </c>
      <c r="H169" s="26">
        <v>24577</v>
      </c>
      <c r="I169" s="26">
        <v>965</v>
      </c>
      <c r="J169" s="26"/>
      <c r="K169" s="26">
        <v>19372</v>
      </c>
      <c r="L169" s="26">
        <v>5035</v>
      </c>
      <c r="M169" s="26">
        <v>170</v>
      </c>
      <c r="N169" s="26"/>
      <c r="O169" s="24"/>
      <c r="P169" s="255"/>
      <c r="Q169" s="256"/>
      <c r="R169" s="255"/>
      <c r="S169" s="256"/>
      <c r="T169" s="256"/>
      <c r="U169" s="256"/>
      <c r="V169" s="24" t="s">
        <v>87</v>
      </c>
      <c r="W169" s="24"/>
      <c r="X169" s="24"/>
      <c r="Y169" s="24"/>
    </row>
    <row r="170" spans="1:25" s="1" customFormat="1" x14ac:dyDescent="0.2">
      <c r="A170" s="254">
        <v>34060</v>
      </c>
      <c r="B170" s="325" t="s">
        <v>96</v>
      </c>
      <c r="C170" s="21" t="s">
        <v>226</v>
      </c>
      <c r="D170" s="24" t="s">
        <v>227</v>
      </c>
      <c r="E170" s="26">
        <v>63988</v>
      </c>
      <c r="F170" s="26">
        <v>63988</v>
      </c>
      <c r="G170" s="26">
        <v>25165</v>
      </c>
      <c r="H170" s="26">
        <v>24200</v>
      </c>
      <c r="I170" s="26">
        <v>965</v>
      </c>
      <c r="J170" s="26"/>
      <c r="K170" s="26">
        <v>19464</v>
      </c>
      <c r="L170" s="26">
        <v>4685</v>
      </c>
      <c r="M170" s="26">
        <v>51</v>
      </c>
      <c r="N170" s="26"/>
      <c r="O170" s="24"/>
      <c r="P170" s="255"/>
      <c r="Q170" s="256"/>
      <c r="R170" s="255"/>
      <c r="S170" s="256"/>
      <c r="T170" s="256"/>
      <c r="U170" s="256"/>
      <c r="V170" s="24" t="s">
        <v>87</v>
      </c>
      <c r="W170" s="24"/>
      <c r="X170" s="24"/>
      <c r="Y170" s="24"/>
    </row>
    <row r="171" spans="1:25" s="3" customFormat="1" x14ac:dyDescent="0.2">
      <c r="A171" s="254">
        <v>34425</v>
      </c>
      <c r="B171" s="325" t="s">
        <v>97</v>
      </c>
      <c r="C171" s="21" t="s">
        <v>226</v>
      </c>
      <c r="D171" s="10" t="s">
        <v>227</v>
      </c>
      <c r="E171" s="31">
        <v>63595</v>
      </c>
      <c r="F171" s="31">
        <v>63595</v>
      </c>
      <c r="G171" s="31">
        <v>24438</v>
      </c>
      <c r="H171" s="31">
        <v>23476</v>
      </c>
      <c r="I171" s="31">
        <v>962</v>
      </c>
      <c r="J171" s="31"/>
      <c r="K171" s="31">
        <v>18907</v>
      </c>
      <c r="L171" s="31">
        <v>4221</v>
      </c>
      <c r="M171" s="31">
        <v>348</v>
      </c>
      <c r="N171" s="31"/>
      <c r="O171" s="10"/>
      <c r="P171" s="259"/>
      <c r="Q171" s="260"/>
      <c r="R171" s="259"/>
      <c r="S171" s="260"/>
      <c r="T171" s="260"/>
      <c r="U171" s="260"/>
      <c r="V171" s="10" t="s">
        <v>87</v>
      </c>
      <c r="W171" s="10"/>
      <c r="X171" s="10"/>
      <c r="Y171" s="10"/>
    </row>
    <row r="172" spans="1:25" s="3" customFormat="1" x14ac:dyDescent="0.2">
      <c r="A172" s="254">
        <v>34790</v>
      </c>
      <c r="B172" s="326" t="s">
        <v>98</v>
      </c>
      <c r="C172" s="262" t="s">
        <v>226</v>
      </c>
      <c r="D172" s="10" t="s">
        <v>227</v>
      </c>
      <c r="E172" s="31"/>
      <c r="F172" s="31"/>
      <c r="G172" s="31"/>
      <c r="H172" s="31"/>
      <c r="I172" s="31"/>
      <c r="J172" s="31"/>
      <c r="K172" s="31"/>
      <c r="L172" s="31"/>
      <c r="M172" s="31"/>
      <c r="N172" s="31"/>
      <c r="O172" s="10"/>
      <c r="P172" s="259"/>
      <c r="Q172" s="260"/>
      <c r="R172" s="259"/>
      <c r="S172" s="260"/>
      <c r="T172" s="260"/>
      <c r="U172" s="260"/>
      <c r="V172" s="10" t="s">
        <v>87</v>
      </c>
      <c r="W172" s="10"/>
      <c r="X172" s="10"/>
      <c r="Y172" s="10"/>
    </row>
    <row r="173" spans="1:25" s="3" customFormat="1" x14ac:dyDescent="0.2">
      <c r="A173" s="254">
        <v>35156</v>
      </c>
      <c r="B173" s="326" t="s">
        <v>99</v>
      </c>
      <c r="C173" s="262" t="s">
        <v>226</v>
      </c>
      <c r="D173" s="10" t="s">
        <v>227</v>
      </c>
      <c r="E173" s="31"/>
      <c r="F173" s="31"/>
      <c r="G173" s="31"/>
      <c r="H173" s="31"/>
      <c r="I173" s="31"/>
      <c r="J173" s="31"/>
      <c r="K173" s="31"/>
      <c r="L173" s="31"/>
      <c r="M173" s="31"/>
      <c r="N173" s="31"/>
      <c r="O173" s="10"/>
      <c r="P173" s="259"/>
      <c r="Q173" s="260"/>
      <c r="R173" s="259"/>
      <c r="S173" s="260"/>
      <c r="T173" s="260"/>
      <c r="U173" s="260"/>
      <c r="V173" s="10" t="s">
        <v>87</v>
      </c>
      <c r="W173" s="10"/>
      <c r="X173" s="10"/>
      <c r="Y173" s="10"/>
    </row>
    <row r="174" spans="1:25" s="3" customFormat="1" x14ac:dyDescent="0.2">
      <c r="A174" s="254">
        <v>35521</v>
      </c>
      <c r="B174" s="325" t="s">
        <v>396</v>
      </c>
      <c r="C174" s="21" t="s">
        <v>226</v>
      </c>
      <c r="D174" s="10" t="s">
        <v>227</v>
      </c>
      <c r="E174" s="31">
        <v>62555</v>
      </c>
      <c r="F174" s="31">
        <v>62555</v>
      </c>
      <c r="G174" s="31">
        <v>20422</v>
      </c>
      <c r="H174" s="31">
        <v>20422</v>
      </c>
      <c r="I174" s="31"/>
      <c r="J174" s="31"/>
      <c r="K174" s="31">
        <v>16352</v>
      </c>
      <c r="L174" s="31">
        <v>2014</v>
      </c>
      <c r="M174" s="31">
        <v>2056</v>
      </c>
      <c r="N174" s="31"/>
      <c r="O174" s="260"/>
      <c r="P174" s="259"/>
      <c r="Q174" s="260"/>
      <c r="R174" s="259"/>
      <c r="S174" s="260"/>
      <c r="T174" s="260"/>
      <c r="U174" s="260"/>
      <c r="V174" s="10" t="s">
        <v>87</v>
      </c>
      <c r="W174" s="10"/>
      <c r="X174" s="10"/>
      <c r="Y174" s="10"/>
    </row>
    <row r="175" spans="1:25" s="23" customFormat="1" x14ac:dyDescent="0.2">
      <c r="A175" s="254">
        <v>35886</v>
      </c>
      <c r="B175" s="10" t="s">
        <v>22</v>
      </c>
      <c r="C175" s="21" t="s">
        <v>226</v>
      </c>
      <c r="D175" s="22" t="s">
        <v>227</v>
      </c>
      <c r="E175" s="206">
        <v>62498</v>
      </c>
      <c r="F175" s="206">
        <v>62498</v>
      </c>
      <c r="G175" s="206">
        <v>19145</v>
      </c>
      <c r="H175" s="206">
        <v>22086</v>
      </c>
      <c r="I175" s="206">
        <v>0</v>
      </c>
      <c r="J175" s="206">
        <v>117</v>
      </c>
      <c r="K175" s="206">
        <v>16734</v>
      </c>
      <c r="L175" s="206">
        <v>539</v>
      </c>
      <c r="M175" s="206">
        <v>3046</v>
      </c>
      <c r="N175" s="206">
        <v>1251</v>
      </c>
      <c r="O175" s="207">
        <v>21570</v>
      </c>
      <c r="P175" s="263">
        <v>97.501159017153455</v>
      </c>
      <c r="Q175" s="208">
        <v>1103</v>
      </c>
      <c r="R175" s="263">
        <v>11.393922626458247</v>
      </c>
      <c r="S175" s="208">
        <v>2689</v>
      </c>
      <c r="T175" s="208">
        <v>1727</v>
      </c>
      <c r="U175" s="207">
        <v>4955</v>
      </c>
      <c r="V175" s="22"/>
      <c r="W175" s="22"/>
      <c r="X175" s="10"/>
      <c r="Y175" s="22"/>
    </row>
    <row r="176" spans="1:25" s="23" customFormat="1" x14ac:dyDescent="0.2">
      <c r="A176" s="254">
        <v>36251</v>
      </c>
      <c r="B176" s="10" t="s">
        <v>23</v>
      </c>
      <c r="C176" s="21" t="s">
        <v>226</v>
      </c>
      <c r="D176" s="264" t="s">
        <v>227</v>
      </c>
      <c r="E176" s="265">
        <v>62215</v>
      </c>
      <c r="F176" s="265">
        <v>62215</v>
      </c>
      <c r="G176" s="265">
        <v>19657</v>
      </c>
      <c r="H176" s="265">
        <v>22168</v>
      </c>
      <c r="I176" s="265">
        <v>0</v>
      </c>
      <c r="J176" s="265">
        <v>76</v>
      </c>
      <c r="K176" s="265">
        <v>17238</v>
      </c>
      <c r="L176" s="265">
        <v>776</v>
      </c>
      <c r="M176" s="265">
        <v>3121</v>
      </c>
      <c r="N176" s="265">
        <v>1258</v>
      </c>
      <c r="O176" s="207">
        <v>22393</v>
      </c>
      <c r="P176" s="263">
        <v>96.534631358013669</v>
      </c>
      <c r="Q176" s="266">
        <v>1124</v>
      </c>
      <c r="R176" s="263">
        <v>10.939516667408428</v>
      </c>
      <c r="S176" s="266">
        <v>1715</v>
      </c>
      <c r="T176" s="266">
        <v>1617</v>
      </c>
      <c r="U176" s="207">
        <v>4108</v>
      </c>
      <c r="V176" s="264"/>
      <c r="W176" s="22"/>
      <c r="X176" s="10"/>
      <c r="Y176" s="22"/>
    </row>
    <row r="177" spans="1:25" s="23" customFormat="1" x14ac:dyDescent="0.2">
      <c r="A177" s="254">
        <v>36617</v>
      </c>
      <c r="B177" s="10" t="s">
        <v>24</v>
      </c>
      <c r="C177" s="21" t="s">
        <v>226</v>
      </c>
      <c r="D177" s="22" t="s">
        <v>227</v>
      </c>
      <c r="E177" s="206">
        <v>61929</v>
      </c>
      <c r="F177" s="206">
        <v>61929</v>
      </c>
      <c r="G177" s="206">
        <v>20000</v>
      </c>
      <c r="H177" s="206">
        <v>22758</v>
      </c>
      <c r="I177" s="206">
        <v>0</v>
      </c>
      <c r="J177" s="206">
        <v>57</v>
      </c>
      <c r="K177" s="206">
        <v>17529</v>
      </c>
      <c r="L177" s="206">
        <v>721</v>
      </c>
      <c r="M177" s="206">
        <v>3247</v>
      </c>
      <c r="N177" s="206">
        <v>1500</v>
      </c>
      <c r="O177" s="207">
        <v>22997</v>
      </c>
      <c r="P177" s="263">
        <v>96.864808453276524</v>
      </c>
      <c r="Q177" s="208">
        <v>1430</v>
      </c>
      <c r="R177" s="263">
        <v>12.95653682658107</v>
      </c>
      <c r="S177" s="208">
        <v>721</v>
      </c>
      <c r="T177" s="208">
        <v>1419</v>
      </c>
      <c r="U177" s="207">
        <v>2861</v>
      </c>
      <c r="V177" s="22"/>
      <c r="W177" s="22"/>
      <c r="X177" s="10"/>
      <c r="Y177" s="22"/>
    </row>
    <row r="178" spans="1:25" s="23" customFormat="1" x14ac:dyDescent="0.2">
      <c r="A178" s="254">
        <v>36982</v>
      </c>
      <c r="B178" s="10" t="s">
        <v>25</v>
      </c>
      <c r="C178" s="21" t="s">
        <v>226</v>
      </c>
      <c r="D178" s="22" t="s">
        <v>227</v>
      </c>
      <c r="E178" s="206">
        <v>61495</v>
      </c>
      <c r="F178" s="206">
        <v>61495</v>
      </c>
      <c r="G178" s="206">
        <v>20176</v>
      </c>
      <c r="H178" s="206">
        <v>22728</v>
      </c>
      <c r="I178" s="206">
        <v>0</v>
      </c>
      <c r="J178" s="206">
        <v>57</v>
      </c>
      <c r="K178" s="206">
        <v>18266</v>
      </c>
      <c r="L178" s="206">
        <v>720</v>
      </c>
      <c r="M178" s="206">
        <v>2841</v>
      </c>
      <c r="N178" s="206">
        <v>1472</v>
      </c>
      <c r="O178" s="207">
        <v>23299</v>
      </c>
      <c r="P178" s="263">
        <v>96.90973861539122</v>
      </c>
      <c r="Q178" s="208">
        <v>1399</v>
      </c>
      <c r="R178" s="263">
        <v>12.536393218016784</v>
      </c>
      <c r="S178" s="208">
        <v>2095</v>
      </c>
      <c r="T178" s="208">
        <v>1297</v>
      </c>
      <c r="U178" s="207">
        <v>4112</v>
      </c>
      <c r="V178" s="22"/>
      <c r="W178" s="22"/>
      <c r="X178" s="10"/>
      <c r="Y178" s="22"/>
    </row>
    <row r="179" spans="1:25" s="23" customFormat="1" x14ac:dyDescent="0.2">
      <c r="A179" s="254">
        <v>37347</v>
      </c>
      <c r="B179" s="10" t="s">
        <v>26</v>
      </c>
      <c r="C179" s="21" t="s">
        <v>226</v>
      </c>
      <c r="D179" s="22" t="s">
        <v>227</v>
      </c>
      <c r="E179" s="206">
        <v>61003</v>
      </c>
      <c r="F179" s="206">
        <v>61003</v>
      </c>
      <c r="G179" s="206">
        <v>21015</v>
      </c>
      <c r="H179" s="206">
        <v>23563</v>
      </c>
      <c r="I179" s="206">
        <v>0</v>
      </c>
      <c r="J179" s="206">
        <v>50</v>
      </c>
      <c r="K179" s="206">
        <v>18473</v>
      </c>
      <c r="L179" s="206">
        <v>1052</v>
      </c>
      <c r="M179" s="206">
        <v>2744</v>
      </c>
      <c r="N179" s="206">
        <v>1295</v>
      </c>
      <c r="O179" s="207">
        <v>23564</v>
      </c>
      <c r="P179" s="263">
        <v>95.535562722797479</v>
      </c>
      <c r="Q179" s="208">
        <v>1426</v>
      </c>
      <c r="R179" s="263">
        <v>11.734564241551622</v>
      </c>
      <c r="S179" s="208">
        <v>2166</v>
      </c>
      <c r="T179" s="208">
        <v>1180</v>
      </c>
      <c r="U179" s="207">
        <v>4398</v>
      </c>
      <c r="V179" s="22"/>
      <c r="W179" s="22"/>
      <c r="X179" s="10"/>
      <c r="Y179" s="22"/>
    </row>
    <row r="180" spans="1:25" s="23" customFormat="1" x14ac:dyDescent="0.2">
      <c r="A180" s="254">
        <v>37712</v>
      </c>
      <c r="B180" s="10" t="s">
        <v>27</v>
      </c>
      <c r="C180" s="21" t="s">
        <v>226</v>
      </c>
      <c r="D180" s="268" t="s">
        <v>227</v>
      </c>
      <c r="E180" s="269">
        <v>60580</v>
      </c>
      <c r="F180" s="269">
        <v>60580</v>
      </c>
      <c r="G180" s="269">
        <v>23723</v>
      </c>
      <c r="H180" s="269">
        <v>21523</v>
      </c>
      <c r="I180" s="269">
        <v>0</v>
      </c>
      <c r="J180" s="269">
        <v>67</v>
      </c>
      <c r="K180" s="269">
        <v>19034</v>
      </c>
      <c r="L180" s="269">
        <v>724</v>
      </c>
      <c r="M180" s="269">
        <v>3965</v>
      </c>
      <c r="N180" s="269">
        <v>0</v>
      </c>
      <c r="O180" s="207">
        <v>23723</v>
      </c>
      <c r="P180" s="263">
        <v>96.948109429667412</v>
      </c>
      <c r="Q180" s="270">
        <v>2608</v>
      </c>
      <c r="R180" s="263">
        <v>11.244220260613703</v>
      </c>
      <c r="S180" s="270">
        <v>2485</v>
      </c>
      <c r="T180" s="270">
        <v>1228</v>
      </c>
      <c r="U180" s="207">
        <v>4437</v>
      </c>
      <c r="V180" s="268"/>
      <c r="W180" s="22"/>
      <c r="X180" s="10"/>
      <c r="Y180" s="22"/>
    </row>
    <row r="181" spans="1:25" s="23" customFormat="1" x14ac:dyDescent="0.2">
      <c r="A181" s="254">
        <v>38078</v>
      </c>
      <c r="B181" s="10" t="s">
        <v>28</v>
      </c>
      <c r="C181" s="21" t="s">
        <v>226</v>
      </c>
      <c r="D181" s="22" t="s">
        <v>227</v>
      </c>
      <c r="E181" s="206">
        <v>60012</v>
      </c>
      <c r="F181" s="206">
        <v>60012</v>
      </c>
      <c r="G181" s="206">
        <v>22568</v>
      </c>
      <c r="H181" s="206">
        <v>20834</v>
      </c>
      <c r="I181" s="206">
        <v>0</v>
      </c>
      <c r="J181" s="206">
        <v>52</v>
      </c>
      <c r="K181" s="206">
        <v>18268</v>
      </c>
      <c r="L181" s="206">
        <v>708</v>
      </c>
      <c r="M181" s="206">
        <v>3592</v>
      </c>
      <c r="N181" s="206">
        <v>0</v>
      </c>
      <c r="O181" s="207">
        <v>22568</v>
      </c>
      <c r="P181" s="263">
        <v>96.862814604750085</v>
      </c>
      <c r="Q181" s="208">
        <v>2604</v>
      </c>
      <c r="R181" s="263">
        <v>11.74182139699381</v>
      </c>
      <c r="S181" s="208">
        <v>1877</v>
      </c>
      <c r="T181" s="208">
        <v>856</v>
      </c>
      <c r="U181" s="207">
        <v>3441</v>
      </c>
      <c r="V181" s="22"/>
      <c r="W181" s="22"/>
      <c r="X181" s="10"/>
      <c r="Y181" s="22"/>
    </row>
    <row r="182" spans="1:25" s="23" customFormat="1" x14ac:dyDescent="0.2">
      <c r="A182" s="254">
        <v>38443</v>
      </c>
      <c r="B182" s="10" t="s">
        <v>29</v>
      </c>
      <c r="C182" s="21" t="s">
        <v>226</v>
      </c>
      <c r="D182" s="22" t="s">
        <v>227</v>
      </c>
      <c r="E182" s="206">
        <v>67532</v>
      </c>
      <c r="F182" s="206">
        <v>67532</v>
      </c>
      <c r="G182" s="206">
        <v>24308</v>
      </c>
      <c r="H182" s="206">
        <v>22488</v>
      </c>
      <c r="I182" s="206">
        <v>0</v>
      </c>
      <c r="J182" s="206">
        <v>53</v>
      </c>
      <c r="K182" s="206">
        <v>19725</v>
      </c>
      <c r="L182" s="206">
        <v>576</v>
      </c>
      <c r="M182" s="206">
        <v>3822</v>
      </c>
      <c r="N182" s="206">
        <v>0</v>
      </c>
      <c r="O182" s="207">
        <v>24123</v>
      </c>
      <c r="P182" s="263">
        <v>97.61223728391991</v>
      </c>
      <c r="Q182" s="208">
        <v>2919</v>
      </c>
      <c r="R182" s="263">
        <v>12.293183322303111</v>
      </c>
      <c r="S182" s="208">
        <v>2302</v>
      </c>
      <c r="T182" s="208">
        <v>717</v>
      </c>
      <c r="U182" s="207">
        <v>3595</v>
      </c>
      <c r="V182" s="22"/>
      <c r="W182" s="22"/>
      <c r="X182" s="10"/>
      <c r="Y182" s="22"/>
    </row>
    <row r="183" spans="1:25" s="23" customFormat="1" x14ac:dyDescent="0.2">
      <c r="A183" s="254">
        <v>38808</v>
      </c>
      <c r="B183" s="10" t="s">
        <v>30</v>
      </c>
      <c r="C183" s="21" t="s">
        <v>226</v>
      </c>
      <c r="D183" s="22" t="s">
        <v>227</v>
      </c>
      <c r="E183" s="206">
        <v>66694</v>
      </c>
      <c r="F183" s="206">
        <v>66694</v>
      </c>
      <c r="G183" s="206">
        <v>24440</v>
      </c>
      <c r="H183" s="206">
        <v>22622</v>
      </c>
      <c r="I183" s="206">
        <v>0</v>
      </c>
      <c r="J183" s="206">
        <v>98</v>
      </c>
      <c r="K183" s="206">
        <v>19536</v>
      </c>
      <c r="L183" s="206">
        <v>120</v>
      </c>
      <c r="M183" s="206">
        <v>4686</v>
      </c>
      <c r="N183" s="206">
        <v>0</v>
      </c>
      <c r="O183" s="207">
        <v>24342</v>
      </c>
      <c r="P183" s="263">
        <v>99.507024895242793</v>
      </c>
      <c r="Q183" s="208">
        <v>2838</v>
      </c>
      <c r="R183" s="263">
        <v>12.013093289689035</v>
      </c>
      <c r="S183" s="208">
        <v>2713</v>
      </c>
      <c r="T183" s="208">
        <v>1260</v>
      </c>
      <c r="U183" s="207">
        <v>4093</v>
      </c>
      <c r="V183" s="22"/>
      <c r="W183" s="22"/>
      <c r="X183" s="10"/>
      <c r="Y183" s="22"/>
    </row>
    <row r="184" spans="1:25" s="23" customFormat="1" x14ac:dyDescent="0.2">
      <c r="A184" s="254">
        <v>39173</v>
      </c>
      <c r="B184" s="10" t="s">
        <v>31</v>
      </c>
      <c r="C184" s="21" t="s">
        <v>226</v>
      </c>
      <c r="D184" s="22" t="s">
        <v>227</v>
      </c>
      <c r="E184" s="206">
        <v>65814</v>
      </c>
      <c r="F184" s="206">
        <v>65814</v>
      </c>
      <c r="G184" s="206">
        <v>23781</v>
      </c>
      <c r="H184" s="206">
        <v>21971</v>
      </c>
      <c r="I184" s="206">
        <v>0</v>
      </c>
      <c r="J184" s="206">
        <v>109</v>
      </c>
      <c r="K184" s="206">
        <v>19570</v>
      </c>
      <c r="L184" s="206">
        <v>393</v>
      </c>
      <c r="M184" s="206">
        <v>4160</v>
      </c>
      <c r="N184" s="206">
        <v>0</v>
      </c>
      <c r="O184" s="207">
        <v>24123</v>
      </c>
      <c r="P184" s="263">
        <v>98.37084939684118</v>
      </c>
      <c r="Q184" s="208">
        <v>2696</v>
      </c>
      <c r="R184" s="263">
        <v>11.575602509078903</v>
      </c>
      <c r="S184" s="208">
        <v>2689</v>
      </c>
      <c r="T184" s="208">
        <v>1153</v>
      </c>
      <c r="U184" s="207">
        <v>4235</v>
      </c>
      <c r="V184" s="22"/>
      <c r="W184" s="22"/>
      <c r="X184" s="10"/>
      <c r="Y184" s="22"/>
    </row>
    <row r="185" spans="1:25" s="23" customFormat="1" x14ac:dyDescent="0.2">
      <c r="A185" s="254">
        <v>39539</v>
      </c>
      <c r="B185" s="10" t="s">
        <v>32</v>
      </c>
      <c r="C185" s="21" t="s">
        <v>226</v>
      </c>
      <c r="D185" s="22" t="s">
        <v>227</v>
      </c>
      <c r="E185" s="206">
        <v>64964</v>
      </c>
      <c r="F185" s="206">
        <v>64964</v>
      </c>
      <c r="G185" s="206">
        <v>23082</v>
      </c>
      <c r="H185" s="206">
        <v>21549</v>
      </c>
      <c r="I185" s="206">
        <v>0</v>
      </c>
      <c r="J185" s="206">
        <v>111</v>
      </c>
      <c r="K185" s="206">
        <v>19062</v>
      </c>
      <c r="L185" s="206">
        <v>413</v>
      </c>
      <c r="M185" s="206">
        <v>2277</v>
      </c>
      <c r="N185" s="206">
        <v>1355</v>
      </c>
      <c r="O185" s="207">
        <v>23107</v>
      </c>
      <c r="P185" s="263">
        <v>98.21266282944562</v>
      </c>
      <c r="Q185" s="208">
        <v>1102</v>
      </c>
      <c r="R185" s="263">
        <v>11.060384184684297</v>
      </c>
      <c r="S185" s="208">
        <v>2517</v>
      </c>
      <c r="T185" s="208">
        <v>942</v>
      </c>
      <c r="U185" s="207">
        <v>3872</v>
      </c>
      <c r="V185" s="22"/>
      <c r="W185" s="22"/>
      <c r="X185" s="10"/>
      <c r="Y185" s="22"/>
    </row>
    <row r="186" spans="1:25" s="23" customFormat="1" x14ac:dyDescent="0.2">
      <c r="A186" s="254">
        <v>39904</v>
      </c>
      <c r="B186" s="10" t="s">
        <v>33</v>
      </c>
      <c r="C186" s="21" t="s">
        <v>226</v>
      </c>
      <c r="D186" s="22" t="s">
        <v>227</v>
      </c>
      <c r="E186" s="206">
        <v>75406</v>
      </c>
      <c r="F186" s="206">
        <v>75406</v>
      </c>
      <c r="G186" s="206">
        <v>25892</v>
      </c>
      <c r="H186" s="206">
        <v>23912</v>
      </c>
      <c r="I186" s="206">
        <v>0</v>
      </c>
      <c r="J186" s="206">
        <v>238</v>
      </c>
      <c r="K186" s="206">
        <v>21469</v>
      </c>
      <c r="L186" s="206">
        <v>334</v>
      </c>
      <c r="M186" s="206">
        <v>2479</v>
      </c>
      <c r="N186" s="206">
        <v>1334</v>
      </c>
      <c r="O186" s="207">
        <v>25616</v>
      </c>
      <c r="P186" s="263">
        <v>98.696127420362274</v>
      </c>
      <c r="Q186" s="208">
        <v>1362</v>
      </c>
      <c r="R186" s="263">
        <v>11.348340682292875</v>
      </c>
      <c r="S186" s="208">
        <v>2733</v>
      </c>
      <c r="T186" s="208">
        <v>907</v>
      </c>
      <c r="U186" s="207">
        <v>3974</v>
      </c>
      <c r="V186" s="22"/>
      <c r="W186" s="22"/>
      <c r="X186" s="10"/>
      <c r="Y186" s="22"/>
    </row>
    <row r="187" spans="1:25" s="23" customFormat="1" x14ac:dyDescent="0.2">
      <c r="A187" s="254">
        <v>40269</v>
      </c>
      <c r="B187" s="10" t="s">
        <v>34</v>
      </c>
      <c r="C187" s="21" t="s">
        <v>226</v>
      </c>
      <c r="D187" s="22" t="s">
        <v>227</v>
      </c>
      <c r="E187" s="206">
        <v>74550</v>
      </c>
      <c r="F187" s="206">
        <v>74550</v>
      </c>
      <c r="G187" s="206">
        <v>25279</v>
      </c>
      <c r="H187" s="206">
        <v>23417</v>
      </c>
      <c r="I187" s="206">
        <v>0</v>
      </c>
      <c r="J187" s="206">
        <v>401</v>
      </c>
      <c r="K187" s="206">
        <v>20953</v>
      </c>
      <c r="L187" s="206">
        <v>346</v>
      </c>
      <c r="M187" s="206">
        <v>2277</v>
      </c>
      <c r="N187" s="206">
        <v>1206</v>
      </c>
      <c r="O187" s="207">
        <v>24782</v>
      </c>
      <c r="P187" s="263">
        <v>98.603825357114033</v>
      </c>
      <c r="Q187" s="208">
        <v>1306</v>
      </c>
      <c r="R187" s="263">
        <v>11.567327165151093</v>
      </c>
      <c r="S187" s="208">
        <v>2636</v>
      </c>
      <c r="T187" s="208">
        <v>941</v>
      </c>
      <c r="U187" s="207">
        <v>3923</v>
      </c>
      <c r="V187" s="22"/>
      <c r="W187" s="22"/>
      <c r="X187" s="10"/>
      <c r="Y187" s="22"/>
    </row>
    <row r="188" spans="1:25" s="23" customFormat="1" x14ac:dyDescent="0.2">
      <c r="A188" s="254">
        <v>40634</v>
      </c>
      <c r="B188" s="10" t="s">
        <v>35</v>
      </c>
      <c r="C188" s="21" t="s">
        <v>226</v>
      </c>
      <c r="D188" s="22" t="s">
        <v>227</v>
      </c>
      <c r="E188" s="206">
        <v>70450</v>
      </c>
      <c r="F188" s="206">
        <v>70450</v>
      </c>
      <c r="G188" s="206">
        <v>27726</v>
      </c>
      <c r="H188" s="206">
        <v>22379</v>
      </c>
      <c r="I188" s="206">
        <v>5077</v>
      </c>
      <c r="J188" s="206">
        <v>270</v>
      </c>
      <c r="K188" s="206">
        <v>23637</v>
      </c>
      <c r="L188" s="206">
        <v>77</v>
      </c>
      <c r="M188" s="206">
        <v>2467</v>
      </c>
      <c r="N188" s="206">
        <v>1254</v>
      </c>
      <c r="O188" s="207">
        <v>27435</v>
      </c>
      <c r="P188" s="263">
        <v>99.719336613814463</v>
      </c>
      <c r="Q188" s="208">
        <v>1302</v>
      </c>
      <c r="R188" s="263">
        <v>10.200324851109908</v>
      </c>
      <c r="S188" s="208">
        <v>3818</v>
      </c>
      <c r="T188" s="208">
        <v>953</v>
      </c>
      <c r="U188" s="207">
        <v>4848</v>
      </c>
      <c r="V188" s="22"/>
      <c r="W188" s="22"/>
      <c r="X188" s="10"/>
      <c r="Y188" s="22"/>
    </row>
    <row r="189" spans="1:25" s="1" customFormat="1" x14ac:dyDescent="0.2">
      <c r="A189" s="254">
        <v>41000</v>
      </c>
      <c r="B189" s="10" t="s">
        <v>397</v>
      </c>
      <c r="C189" s="24" t="s">
        <v>226</v>
      </c>
      <c r="D189" s="25" t="s">
        <v>227</v>
      </c>
      <c r="E189" s="26">
        <v>69405</v>
      </c>
      <c r="F189" s="26">
        <v>69405</v>
      </c>
      <c r="G189" s="26">
        <v>24341</v>
      </c>
      <c r="H189" s="26">
        <v>21900</v>
      </c>
      <c r="I189" s="26">
        <v>0</v>
      </c>
      <c r="J189" s="26">
        <v>286</v>
      </c>
      <c r="K189" s="26">
        <v>20385</v>
      </c>
      <c r="L189" s="26">
        <v>199</v>
      </c>
      <c r="M189" s="26">
        <v>2378</v>
      </c>
      <c r="N189" s="26">
        <v>1091</v>
      </c>
      <c r="O189" s="207">
        <v>24053</v>
      </c>
      <c r="P189" s="263">
        <v>99.172660375005194</v>
      </c>
      <c r="Q189" s="24">
        <v>1214</v>
      </c>
      <c r="R189" s="263">
        <v>10.645466124327212</v>
      </c>
      <c r="S189" s="24">
        <v>2829</v>
      </c>
      <c r="T189" s="24">
        <v>676</v>
      </c>
      <c r="U189" s="207">
        <v>3704</v>
      </c>
      <c r="V189" s="24"/>
      <c r="W189" s="24"/>
      <c r="X189" s="24"/>
      <c r="Y189" s="24"/>
    </row>
    <row r="190" spans="1:25" s="1" customFormat="1" x14ac:dyDescent="0.2">
      <c r="A190" s="24" t="s">
        <v>184</v>
      </c>
      <c r="B190" s="10" t="s">
        <v>398</v>
      </c>
      <c r="C190" s="24" t="s">
        <v>226</v>
      </c>
      <c r="D190" s="24" t="s">
        <v>227</v>
      </c>
      <c r="E190" s="272">
        <v>67951</v>
      </c>
      <c r="F190" s="26">
        <v>67951</v>
      </c>
      <c r="G190" s="26">
        <v>24057</v>
      </c>
      <c r="H190" s="26">
        <v>22427</v>
      </c>
      <c r="I190" s="26">
        <v>0</v>
      </c>
      <c r="J190" s="26">
        <v>0</v>
      </c>
      <c r="K190" s="26">
        <v>20020</v>
      </c>
      <c r="L190" s="26">
        <v>212</v>
      </c>
      <c r="M190" s="26">
        <v>2664</v>
      </c>
      <c r="N190" s="26">
        <v>1168</v>
      </c>
      <c r="O190" s="207">
        <v>24064</v>
      </c>
      <c r="P190" s="263">
        <v>99.119015957446805</v>
      </c>
      <c r="Q190" s="24">
        <v>95</v>
      </c>
      <c r="R190" s="263">
        <v>5.2485039893617014</v>
      </c>
      <c r="S190" s="24">
        <v>2178</v>
      </c>
      <c r="T190" s="24">
        <v>764</v>
      </c>
      <c r="U190" s="207">
        <v>3154</v>
      </c>
      <c r="V190" s="24"/>
      <c r="W190" s="24"/>
      <c r="X190" s="24"/>
      <c r="Y190" s="24"/>
    </row>
    <row r="191" spans="1:25" s="1" customFormat="1" x14ac:dyDescent="0.2">
      <c r="A191" s="24" t="s">
        <v>185</v>
      </c>
      <c r="B191" s="10" t="s">
        <v>36</v>
      </c>
      <c r="C191" s="24" t="s">
        <v>226</v>
      </c>
      <c r="D191" s="24" t="s">
        <v>227</v>
      </c>
      <c r="E191" s="272">
        <v>67767</v>
      </c>
      <c r="F191" s="26">
        <v>67767</v>
      </c>
      <c r="G191" s="26">
        <v>24183</v>
      </c>
      <c r="H191" s="26">
        <v>22628</v>
      </c>
      <c r="I191" s="26">
        <v>0</v>
      </c>
      <c r="J191" s="26">
        <v>0</v>
      </c>
      <c r="K191" s="26">
        <v>20242</v>
      </c>
      <c r="L191" s="26">
        <v>62</v>
      </c>
      <c r="M191" s="26">
        <v>2768</v>
      </c>
      <c r="N191" s="26">
        <v>1159</v>
      </c>
      <c r="O191" s="207">
        <v>24231</v>
      </c>
      <c r="P191" s="263">
        <v>99.744129420989651</v>
      </c>
      <c r="Q191" s="24">
        <v>97</v>
      </c>
      <c r="R191" s="263">
        <v>5.1834426973711363</v>
      </c>
      <c r="S191" s="24">
        <v>2027</v>
      </c>
      <c r="T191" s="24">
        <v>783</v>
      </c>
      <c r="U191" s="207">
        <v>2872</v>
      </c>
      <c r="V191" s="24"/>
      <c r="W191" s="24"/>
      <c r="X191" s="24"/>
      <c r="Y191" s="24"/>
    </row>
    <row r="192" spans="1:25" s="23" customFormat="1" x14ac:dyDescent="0.2">
      <c r="A192" s="274" t="s">
        <v>399</v>
      </c>
      <c r="B192" s="10" t="s">
        <v>37</v>
      </c>
      <c r="C192" s="273" t="s">
        <v>226</v>
      </c>
      <c r="D192" s="273" t="s">
        <v>227</v>
      </c>
      <c r="E192" s="274">
        <v>67767</v>
      </c>
      <c r="F192" s="274">
        <v>67767</v>
      </c>
      <c r="G192" s="274">
        <v>23899</v>
      </c>
      <c r="H192" s="274">
        <v>22539</v>
      </c>
      <c r="I192" s="274">
        <v>0</v>
      </c>
      <c r="J192" s="274">
        <v>299</v>
      </c>
      <c r="K192" s="274">
        <v>20173</v>
      </c>
      <c r="L192" s="274">
        <v>36</v>
      </c>
      <c r="M192" s="274">
        <v>2527</v>
      </c>
      <c r="N192" s="274">
        <v>1102</v>
      </c>
      <c r="O192" s="207">
        <v>23838</v>
      </c>
      <c r="P192" s="263">
        <v>99.848980619179457</v>
      </c>
      <c r="Q192" s="274">
        <v>83</v>
      </c>
      <c r="R192" s="263">
        <v>6.1482371462899286</v>
      </c>
      <c r="S192" s="274">
        <v>2397</v>
      </c>
      <c r="T192" s="274">
        <v>808</v>
      </c>
      <c r="U192" s="207">
        <v>3241</v>
      </c>
      <c r="V192" s="22"/>
      <c r="W192" s="22"/>
      <c r="X192" s="22"/>
      <c r="Y192" s="274">
        <v>1061</v>
      </c>
    </row>
    <row r="193" spans="1:25" s="23" customFormat="1" x14ac:dyDescent="0.2">
      <c r="A193" s="276" t="s">
        <v>400</v>
      </c>
      <c r="B193" s="10" t="s">
        <v>38</v>
      </c>
      <c r="C193" s="275" t="s">
        <v>226</v>
      </c>
      <c r="D193" s="275" t="s">
        <v>227</v>
      </c>
      <c r="E193" s="276">
        <v>65488</v>
      </c>
      <c r="F193" s="276">
        <v>65488</v>
      </c>
      <c r="G193" s="276">
        <v>24057</v>
      </c>
      <c r="H193" s="276">
        <v>22320</v>
      </c>
      <c r="I193" s="276">
        <v>0</v>
      </c>
      <c r="J193" s="276">
        <v>292</v>
      </c>
      <c r="K193" s="276">
        <v>20022</v>
      </c>
      <c r="L193" s="276">
        <v>47</v>
      </c>
      <c r="M193" s="276">
        <v>2531</v>
      </c>
      <c r="N193" s="276">
        <v>1083</v>
      </c>
      <c r="O193" s="207">
        <v>23683</v>
      </c>
      <c r="P193" s="263">
        <v>99.801545412321076</v>
      </c>
      <c r="Q193" s="276">
        <v>82</v>
      </c>
      <c r="R193" s="263">
        <v>6.0771637122002087</v>
      </c>
      <c r="S193" s="276">
        <v>2428</v>
      </c>
      <c r="T193" s="276">
        <v>754</v>
      </c>
      <c r="U193" s="207">
        <v>3229</v>
      </c>
      <c r="V193" s="22"/>
      <c r="W193" s="22"/>
      <c r="X193" s="22"/>
      <c r="Y193" s="276">
        <v>1445</v>
      </c>
    </row>
    <row r="194" spans="1:25" ht="12" customHeight="1" x14ac:dyDescent="0.2">
      <c r="A194" s="327">
        <v>42826</v>
      </c>
      <c r="B194" s="328" t="s">
        <v>182</v>
      </c>
      <c r="C194" s="25" t="s">
        <v>226</v>
      </c>
      <c r="D194" s="24" t="s">
        <v>227</v>
      </c>
      <c r="E194" s="27">
        <v>65138</v>
      </c>
      <c r="F194" s="27">
        <v>65138</v>
      </c>
      <c r="G194" s="278">
        <v>23444</v>
      </c>
      <c r="H194" s="27">
        <v>21657</v>
      </c>
      <c r="I194" s="27">
        <v>0</v>
      </c>
      <c r="J194" s="27">
        <v>293</v>
      </c>
      <c r="K194" s="27">
        <v>19319</v>
      </c>
      <c r="L194" s="27">
        <v>27</v>
      </c>
      <c r="M194" s="27">
        <v>2581</v>
      </c>
      <c r="N194" s="27">
        <v>1143</v>
      </c>
      <c r="O194" s="207">
        <v>23070</v>
      </c>
      <c r="P194" s="209">
        <v>99.882964889466848</v>
      </c>
      <c r="Q194" s="27">
        <v>1207</v>
      </c>
      <c r="R194" s="209">
        <v>11.312759491503661</v>
      </c>
      <c r="S194" s="27">
        <v>2409</v>
      </c>
      <c r="T194" s="27">
        <v>715</v>
      </c>
      <c r="U194" s="207">
        <v>3151</v>
      </c>
      <c r="V194" s="27"/>
      <c r="W194" s="27"/>
      <c r="X194" s="27"/>
      <c r="Y194" s="27">
        <v>1494</v>
      </c>
    </row>
  </sheetData>
  <mergeCells count="56">
    <mergeCell ref="B153:E153"/>
    <mergeCell ref="F153:G153"/>
    <mergeCell ref="H153:I154"/>
    <mergeCell ref="J153:L154"/>
    <mergeCell ref="B154:C154"/>
    <mergeCell ref="D154:E154"/>
    <mergeCell ref="B126:L126"/>
    <mergeCell ref="B127:E127"/>
    <mergeCell ref="F127:G127"/>
    <mergeCell ref="H127:I128"/>
    <mergeCell ref="J127:L128"/>
    <mergeCell ref="B128:C128"/>
    <mergeCell ref="D128:E128"/>
    <mergeCell ref="B100:L100"/>
    <mergeCell ref="B101:E101"/>
    <mergeCell ref="F101:G101"/>
    <mergeCell ref="H101:I102"/>
    <mergeCell ref="J101:L102"/>
    <mergeCell ref="B102:C102"/>
    <mergeCell ref="D102:E102"/>
    <mergeCell ref="B75:C76"/>
    <mergeCell ref="D75:E76"/>
    <mergeCell ref="F75:G76"/>
    <mergeCell ref="H75:I76"/>
    <mergeCell ref="J75:L75"/>
    <mergeCell ref="J76:L76"/>
    <mergeCell ref="B72:L72"/>
    <mergeCell ref="B73:E73"/>
    <mergeCell ref="F73:G73"/>
    <mergeCell ref="H73:I74"/>
    <mergeCell ref="J73:L74"/>
    <mergeCell ref="B74:C74"/>
    <mergeCell ref="D74:E74"/>
    <mergeCell ref="B50:L50"/>
    <mergeCell ref="B51:E51"/>
    <mergeCell ref="F51:G51"/>
    <mergeCell ref="H51:I52"/>
    <mergeCell ref="J51:L52"/>
    <mergeCell ref="B52:C52"/>
    <mergeCell ref="D52:E52"/>
    <mergeCell ref="N8:P8"/>
    <mergeCell ref="B5:B7"/>
    <mergeCell ref="C5:P5"/>
    <mergeCell ref="C6:F6"/>
    <mergeCell ref="G6:H6"/>
    <mergeCell ref="I6:J7"/>
    <mergeCell ref="K6:P6"/>
    <mergeCell ref="C7:D7"/>
    <mergeCell ref="E7:F7"/>
    <mergeCell ref="K7:M7"/>
    <mergeCell ref="N7:P7"/>
    <mergeCell ref="C8:D8"/>
    <mergeCell ref="E8:F8"/>
    <mergeCell ref="G8:H8"/>
    <mergeCell ref="I8:J8"/>
    <mergeCell ref="K8:M8"/>
  </mergeCells>
  <phoneticPr fontId="5"/>
  <hyperlinks>
    <hyperlink ref="F2"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2:AB162"/>
  <sheetViews>
    <sheetView zoomScale="75" zoomScaleNormal="75" workbookViewId="0">
      <selection activeCell="T81" sqref="T81"/>
    </sheetView>
  </sheetViews>
  <sheetFormatPr defaultColWidth="4.875" defaultRowHeight="9.9499999999999993" customHeight="1" x14ac:dyDescent="0.15"/>
  <cols>
    <col min="1" max="1" width="2.375" style="3" customWidth="1"/>
    <col min="2" max="5" width="4.375" style="29" customWidth="1"/>
    <col min="6" max="6" width="4.375" style="2" customWidth="1"/>
    <col min="7" max="8" width="4.375" style="3" customWidth="1"/>
    <col min="9" max="9" width="1.75" style="3" customWidth="1"/>
    <col min="10" max="16" width="4.375" style="3" customWidth="1"/>
    <col min="17" max="17" width="1.625" style="3" customWidth="1"/>
    <col min="18" max="25" width="4.375" style="3" customWidth="1"/>
    <col min="26" max="26" width="4.375" style="2" customWidth="1"/>
    <col min="27" max="28" width="4.375" style="3" customWidth="1"/>
    <col min="29" max="16384" width="4.875" style="3"/>
  </cols>
  <sheetData>
    <row r="2" spans="2:28" ht="16.5" customHeight="1" x14ac:dyDescent="0.15">
      <c r="B2" s="46" t="s">
        <v>65</v>
      </c>
    </row>
    <row r="3" spans="2:28" ht="9.9499999999999993" customHeight="1" x14ac:dyDescent="0.15">
      <c r="B3" s="3"/>
      <c r="C3" s="32" t="s">
        <v>49</v>
      </c>
      <c r="D3" s="39"/>
      <c r="E3" s="39"/>
      <c r="F3" s="2" t="s">
        <v>41</v>
      </c>
      <c r="J3" s="3" t="s">
        <v>106</v>
      </c>
      <c r="M3" s="3" t="s">
        <v>43</v>
      </c>
      <c r="R3" s="2" t="s">
        <v>44</v>
      </c>
      <c r="S3" s="2"/>
      <c r="T3" s="2"/>
      <c r="U3" s="2"/>
      <c r="V3" s="2" t="s">
        <v>45</v>
      </c>
      <c r="W3" s="2"/>
      <c r="AB3" s="3" t="s">
        <v>105</v>
      </c>
    </row>
    <row r="4" spans="2:28" ht="33" customHeight="1" x14ac:dyDescent="0.15">
      <c r="C4" s="70" t="s">
        <v>40</v>
      </c>
      <c r="D4" s="68" t="s">
        <v>66</v>
      </c>
      <c r="E4" s="68" t="s">
        <v>51</v>
      </c>
      <c r="F4" s="71" t="s">
        <v>42</v>
      </c>
      <c r="G4" s="68" t="s">
        <v>66</v>
      </c>
      <c r="H4" s="68" t="s">
        <v>51</v>
      </c>
      <c r="I4" s="69"/>
      <c r="J4" s="70" t="s">
        <v>104</v>
      </c>
      <c r="K4" s="68"/>
      <c r="L4" s="68"/>
      <c r="M4" s="72" t="s">
        <v>46</v>
      </c>
      <c r="N4" s="68" t="s">
        <v>66</v>
      </c>
      <c r="O4" s="68" t="s">
        <v>51</v>
      </c>
      <c r="P4" s="68" t="s">
        <v>51</v>
      </c>
      <c r="Q4" s="69"/>
      <c r="R4" s="72" t="s">
        <v>47</v>
      </c>
      <c r="S4" s="68" t="s">
        <v>66</v>
      </c>
      <c r="T4" s="68" t="s">
        <v>51</v>
      </c>
      <c r="U4" s="68" t="s">
        <v>51</v>
      </c>
      <c r="V4" s="72" t="s">
        <v>48</v>
      </c>
      <c r="W4" s="68" t="s">
        <v>66</v>
      </c>
      <c r="X4" s="68" t="s">
        <v>51</v>
      </c>
      <c r="Y4" s="68" t="s">
        <v>51</v>
      </c>
      <c r="Z4" s="35"/>
      <c r="AB4" s="29"/>
    </row>
    <row r="5" spans="2:28" ht="9.9499999999999993" customHeight="1" x14ac:dyDescent="0.15">
      <c r="B5" s="43" t="s">
        <v>52</v>
      </c>
      <c r="C5" s="28"/>
      <c r="D5" s="28"/>
      <c r="E5" s="41">
        <f t="shared" ref="E5:E16" si="0">AVERAGE(E92,E80,E68,E56,E44,E32,E20)</f>
        <v>7.9992816066502742E-2</v>
      </c>
      <c r="F5" s="10"/>
      <c r="G5" s="10"/>
      <c r="H5" s="41">
        <f t="shared" ref="H5:H16" si="1">AVERAGE(H92,H80,H68,H56,H44,H32,H20)</f>
        <v>7.6501400928994254E-2</v>
      </c>
      <c r="I5" s="10"/>
      <c r="J5" s="41">
        <f>AVERAGE(O5,T5,X5)</f>
        <v>8.1909646666620983E-2</v>
      </c>
      <c r="K5" s="41"/>
      <c r="L5" s="41"/>
      <c r="M5" s="10"/>
      <c r="N5" s="10"/>
      <c r="O5" s="41">
        <f t="shared" ref="O5:P9" si="2">AVERAGE(O68,O56,O44,O32)</f>
        <v>8.1239374070688875E-2</v>
      </c>
      <c r="P5" s="41">
        <f t="shared" si="2"/>
        <v>8.1971266995696179E-2</v>
      </c>
      <c r="Q5" s="10"/>
      <c r="R5" s="10"/>
      <c r="S5" s="10"/>
      <c r="T5" s="41">
        <f t="shared" ref="T5:U9" si="3">AVERAGE(T68,T56,T44,T32)</f>
        <v>7.9764127092520801E-2</v>
      </c>
      <c r="U5" s="41">
        <f t="shared" si="3"/>
        <v>8.1971266995696179E-2</v>
      </c>
      <c r="V5" s="10"/>
      <c r="W5" s="10"/>
      <c r="X5" s="41">
        <f t="shared" ref="X5:Y9" si="4">AVERAGE(X68,X56,X44,X32)</f>
        <v>8.4725438836653288E-2</v>
      </c>
      <c r="Y5" s="41">
        <f t="shared" si="4"/>
        <v>8.1675098411791908E-2</v>
      </c>
      <c r="Z5" s="10"/>
      <c r="AB5" s="41">
        <f t="shared" ref="AB5:AB16" si="5">AVERAGE(AB92,AB80,AB68,AB56,AB44,AB32,AB20)</f>
        <v>7.9322176308980252E-2</v>
      </c>
    </row>
    <row r="6" spans="2:28" ht="9.9499999999999993" customHeight="1" x14ac:dyDescent="0.15">
      <c r="B6" s="43" t="s">
        <v>53</v>
      </c>
      <c r="C6" s="28"/>
      <c r="D6" s="28"/>
      <c r="E6" s="41">
        <f t="shared" si="0"/>
        <v>9.0772615392838429E-2</v>
      </c>
      <c r="F6" s="10"/>
      <c r="G6" s="28"/>
      <c r="H6" s="41">
        <f t="shared" si="1"/>
        <v>8.6293553760327171E-2</v>
      </c>
      <c r="I6" s="10"/>
      <c r="J6" s="41">
        <f t="shared" ref="J6:J16" si="6">AVERAGE(O6,T6,X6)</f>
        <v>8.6068480465540276E-2</v>
      </c>
      <c r="K6" s="41"/>
      <c r="L6" s="41"/>
      <c r="M6" s="10"/>
      <c r="N6" s="10"/>
      <c r="O6" s="41">
        <f t="shared" si="2"/>
        <v>8.5327029837802548E-2</v>
      </c>
      <c r="P6" s="41">
        <f t="shared" si="2"/>
        <v>8.61486694425114E-2</v>
      </c>
      <c r="Q6" s="10"/>
      <c r="R6" s="10"/>
      <c r="S6" s="10"/>
      <c r="T6" s="41">
        <f t="shared" si="3"/>
        <v>8.3799309417239079E-2</v>
      </c>
      <c r="U6" s="41">
        <f t="shared" si="3"/>
        <v>8.61486694425114E-2</v>
      </c>
      <c r="V6" s="10"/>
      <c r="W6" s="10"/>
      <c r="X6" s="41">
        <f t="shared" si="4"/>
        <v>8.9079102141579242E-2</v>
      </c>
      <c r="Y6" s="41">
        <f t="shared" si="4"/>
        <v>8.5843363132333275E-2</v>
      </c>
      <c r="Z6" s="10"/>
      <c r="AB6" s="41">
        <f t="shared" si="5"/>
        <v>8.9128643618102618E-2</v>
      </c>
    </row>
    <row r="7" spans="2:28" ht="9.9499999999999993" customHeight="1" x14ac:dyDescent="0.15">
      <c r="B7" s="43" t="s">
        <v>54</v>
      </c>
      <c r="C7" s="28"/>
      <c r="D7" s="28"/>
      <c r="E7" s="41">
        <f t="shared" si="0"/>
        <v>8.6804076534505711E-2</v>
      </c>
      <c r="F7" s="10"/>
      <c r="G7" s="28"/>
      <c r="H7" s="41">
        <f t="shared" si="1"/>
        <v>8.8658664053806027E-2</v>
      </c>
      <c r="I7" s="10"/>
      <c r="J7" s="41">
        <f t="shared" si="6"/>
        <v>8.5374176276098876E-2</v>
      </c>
      <c r="K7" s="41"/>
      <c r="L7" s="41"/>
      <c r="M7" s="10"/>
      <c r="N7" s="10"/>
      <c r="O7" s="41">
        <f t="shared" si="2"/>
        <v>8.4678586523712462E-2</v>
      </c>
      <c r="P7" s="41">
        <f t="shared" si="2"/>
        <v>8.5459112238232091E-2</v>
      </c>
      <c r="Q7" s="10"/>
      <c r="R7" s="10"/>
      <c r="S7" s="10"/>
      <c r="T7" s="41">
        <f t="shared" si="3"/>
        <v>8.3103797373363625E-2</v>
      </c>
      <c r="U7" s="41">
        <f t="shared" si="3"/>
        <v>8.5459112238232091E-2</v>
      </c>
      <c r="V7" s="10"/>
      <c r="W7" s="10"/>
      <c r="X7" s="41">
        <f t="shared" si="4"/>
        <v>8.8340144931220527E-2</v>
      </c>
      <c r="Y7" s="41">
        <f t="shared" si="4"/>
        <v>8.5159968580657261E-2</v>
      </c>
      <c r="Z7" s="10"/>
      <c r="AB7" s="41">
        <f t="shared" si="5"/>
        <v>8.7466418700092655E-2</v>
      </c>
    </row>
    <row r="8" spans="2:28" ht="9.9499999999999993" customHeight="1" x14ac:dyDescent="0.15">
      <c r="B8" s="43" t="s">
        <v>55</v>
      </c>
      <c r="C8" s="28"/>
      <c r="D8" s="28"/>
      <c r="E8" s="41">
        <f t="shared" si="0"/>
        <v>9.0079743785774907E-2</v>
      </c>
      <c r="F8" s="10"/>
      <c r="G8" s="28"/>
      <c r="H8" s="41">
        <f t="shared" si="1"/>
        <v>9.4654152965531743E-2</v>
      </c>
      <c r="I8" s="10"/>
      <c r="J8" s="41">
        <f t="shared" si="6"/>
        <v>9.2787099121771743E-2</v>
      </c>
      <c r="K8" s="41"/>
      <c r="L8" s="41"/>
      <c r="M8" s="10"/>
      <c r="N8" s="10"/>
      <c r="O8" s="41">
        <f t="shared" si="2"/>
        <v>9.1952753314051006E-2</v>
      </c>
      <c r="P8" s="41">
        <f t="shared" si="2"/>
        <v>9.284376445839071E-2</v>
      </c>
      <c r="Q8" s="10"/>
      <c r="R8" s="10"/>
      <c r="S8" s="10"/>
      <c r="T8" s="41">
        <f t="shared" si="3"/>
        <v>9.0364302113771361E-2</v>
      </c>
      <c r="U8" s="41">
        <f t="shared" si="3"/>
        <v>9.284376445839071E-2</v>
      </c>
      <c r="V8" s="10"/>
      <c r="W8" s="10"/>
      <c r="X8" s="41">
        <f t="shared" si="4"/>
        <v>9.6044241937492891E-2</v>
      </c>
      <c r="Y8" s="41">
        <f t="shared" si="4"/>
        <v>9.2512458129384509E-2</v>
      </c>
      <c r="Z8" s="10"/>
      <c r="AB8" s="41">
        <f t="shared" si="5"/>
        <v>9.3057188641443564E-2</v>
      </c>
    </row>
    <row r="9" spans="2:28" ht="9.9499999999999993" customHeight="1" x14ac:dyDescent="0.15">
      <c r="B9" s="43" t="s">
        <v>56</v>
      </c>
      <c r="C9" s="28"/>
      <c r="D9" s="28"/>
      <c r="E9" s="41">
        <f t="shared" si="0"/>
        <v>9.5056963183888205E-2</v>
      </c>
      <c r="F9" s="10"/>
      <c r="G9" s="28"/>
      <c r="H9" s="41">
        <f t="shared" si="1"/>
        <v>9.8234579568867289E-2</v>
      </c>
      <c r="I9" s="10"/>
      <c r="J9" s="41">
        <f t="shared" si="6"/>
        <v>9.083122103373531E-2</v>
      </c>
      <c r="K9" s="41"/>
      <c r="L9" s="41"/>
      <c r="M9" s="10"/>
      <c r="N9" s="10"/>
      <c r="O9" s="41">
        <f t="shared" si="2"/>
        <v>9.0022862004074347E-2</v>
      </c>
      <c r="P9" s="41">
        <f t="shared" si="2"/>
        <v>9.0918583138403744E-2</v>
      </c>
      <c r="Q9" s="10"/>
      <c r="R9" s="10"/>
      <c r="S9" s="10"/>
      <c r="T9" s="41">
        <f t="shared" si="3"/>
        <v>8.8422789661505491E-2</v>
      </c>
      <c r="U9" s="41">
        <f t="shared" si="3"/>
        <v>9.0918583138403758E-2</v>
      </c>
      <c r="V9" s="10"/>
      <c r="W9" s="10"/>
      <c r="X9" s="41">
        <f t="shared" si="4"/>
        <v>9.404801143562605E-2</v>
      </c>
      <c r="Y9" s="41">
        <f t="shared" si="4"/>
        <v>9.0602864070378653E-2</v>
      </c>
      <c r="Z9" s="10"/>
      <c r="AB9" s="41">
        <f t="shared" si="5"/>
        <v>9.4364251114423536E-2</v>
      </c>
    </row>
    <row r="10" spans="2:28" ht="9.9499999999999993" customHeight="1" x14ac:dyDescent="0.15">
      <c r="B10" s="43" t="s">
        <v>57</v>
      </c>
      <c r="C10" s="28"/>
      <c r="D10" s="28"/>
      <c r="E10" s="41">
        <f t="shared" si="0"/>
        <v>8.5050031214917471E-2</v>
      </c>
      <c r="F10" s="10"/>
      <c r="G10" s="28"/>
      <c r="H10" s="41">
        <f t="shared" si="1"/>
        <v>9.1272178635522935E-2</v>
      </c>
      <c r="I10" s="10"/>
      <c r="J10" s="41">
        <f t="shared" si="6"/>
        <v>8.6963735240668624E-2</v>
      </c>
      <c r="K10" s="41"/>
      <c r="L10" s="41"/>
      <c r="M10" s="10"/>
      <c r="N10" s="10"/>
      <c r="O10" s="41">
        <f t="shared" ref="O10:O16" si="7">AVERAGE(O61,O49,O37,O25)</f>
        <v>8.7477464038360042E-2</v>
      </c>
      <c r="P10" s="41">
        <f t="shared" ref="P10:P16" si="8">AVERAGE(P73,P61,P49,P37)</f>
        <v>8.8268380080710113E-2</v>
      </c>
      <c r="Q10" s="10"/>
      <c r="R10" s="10"/>
      <c r="S10" s="10"/>
      <c r="T10" s="41">
        <f t="shared" ref="T10:T16" si="9">AVERAGE(T61,T49,T37,T25)</f>
        <v>8.8762891285185219E-2</v>
      </c>
      <c r="U10" s="41">
        <f t="shared" ref="U10:U16" si="10">AVERAGE(U73,U61,U49,U37)</f>
        <v>8.8268380080710113E-2</v>
      </c>
      <c r="V10" s="10"/>
      <c r="W10" s="10"/>
      <c r="X10" s="41">
        <f t="shared" ref="X10:X16" si="11">AVERAGE(X61,X49,X37,X25)</f>
        <v>8.4650850398460598E-2</v>
      </c>
      <c r="Y10" s="41">
        <f t="shared" ref="Y10:Y16" si="12">AVERAGE(Y73,Y61,Y49,Y37)</f>
        <v>8.7951035347429332E-2</v>
      </c>
      <c r="Z10" s="10"/>
      <c r="AB10" s="41">
        <f t="shared" si="5"/>
        <v>8.7498753172037952E-2</v>
      </c>
    </row>
    <row r="11" spans="2:28" ht="9.9499999999999993" customHeight="1" x14ac:dyDescent="0.15">
      <c r="B11" s="43" t="s">
        <v>58</v>
      </c>
      <c r="C11" s="28"/>
      <c r="D11" s="28"/>
      <c r="E11" s="41">
        <f t="shared" si="0"/>
        <v>8.6599482936585273E-2</v>
      </c>
      <c r="F11" s="10"/>
      <c r="G11" s="28"/>
      <c r="H11" s="41">
        <f t="shared" si="1"/>
        <v>9.4203355868508101E-2</v>
      </c>
      <c r="I11" s="10"/>
      <c r="J11" s="41">
        <f t="shared" si="6"/>
        <v>8.9279536996980921E-2</v>
      </c>
      <c r="K11" s="41"/>
      <c r="L11" s="41"/>
      <c r="M11" s="10"/>
      <c r="N11" s="10"/>
      <c r="O11" s="41">
        <f t="shared" si="7"/>
        <v>8.995767192741197E-2</v>
      </c>
      <c r="P11" s="41">
        <f t="shared" si="8"/>
        <v>8.7125754441793143E-2</v>
      </c>
      <c r="Q11" s="10"/>
      <c r="R11" s="10"/>
      <c r="S11" s="10"/>
      <c r="T11" s="41">
        <f t="shared" si="9"/>
        <v>9.1078895049848063E-2</v>
      </c>
      <c r="U11" s="41">
        <f t="shared" si="10"/>
        <v>8.7125754441793143E-2</v>
      </c>
      <c r="V11" s="10"/>
      <c r="W11" s="10"/>
      <c r="X11" s="41">
        <f t="shared" si="11"/>
        <v>8.6802044013682689E-2</v>
      </c>
      <c r="Y11" s="41">
        <f t="shared" si="12"/>
        <v>8.6815039872692457E-2</v>
      </c>
      <c r="Z11" s="10"/>
      <c r="AB11" s="41">
        <f t="shared" si="5"/>
        <v>9.00306780289966E-2</v>
      </c>
    </row>
    <row r="12" spans="2:28" ht="9.9499999999999993" customHeight="1" x14ac:dyDescent="0.15">
      <c r="B12" s="43" t="s">
        <v>59</v>
      </c>
      <c r="C12" s="28"/>
      <c r="D12" s="28"/>
      <c r="E12" s="41">
        <f t="shared" si="0"/>
        <v>8.0846255404083966E-2</v>
      </c>
      <c r="F12" s="10"/>
      <c r="G12" s="28"/>
      <c r="H12" s="41">
        <f t="shared" si="1"/>
        <v>8.3132019547620395E-2</v>
      </c>
      <c r="I12" s="10"/>
      <c r="J12" s="41">
        <f t="shared" si="6"/>
        <v>8.0812193271112762E-2</v>
      </c>
      <c r="K12" s="41"/>
      <c r="L12" s="41"/>
      <c r="M12" s="10"/>
      <c r="N12" s="10"/>
      <c r="O12" s="41">
        <f t="shared" si="7"/>
        <v>8.1386659452448384E-2</v>
      </c>
      <c r="P12" s="41">
        <f t="shared" si="8"/>
        <v>8.0589023142928984E-2</v>
      </c>
      <c r="Q12" s="10"/>
      <c r="R12" s="10"/>
      <c r="S12" s="10"/>
      <c r="T12" s="41">
        <f t="shared" si="9"/>
        <v>8.2451787157490741E-2</v>
      </c>
      <c r="U12" s="41">
        <f t="shared" si="10"/>
        <v>8.0589023142928984E-2</v>
      </c>
      <c r="V12" s="10"/>
      <c r="W12" s="10"/>
      <c r="X12" s="41">
        <f t="shared" si="11"/>
        <v>7.8598133203399173E-2</v>
      </c>
      <c r="Y12" s="41">
        <f t="shared" si="12"/>
        <v>8.0310364992628586E-2</v>
      </c>
      <c r="Z12" s="10"/>
      <c r="AB12" s="41">
        <f t="shared" si="5"/>
        <v>8.1438010045640843E-2</v>
      </c>
    </row>
    <row r="13" spans="2:28" ht="9.9499999999999993" customHeight="1" x14ac:dyDescent="0.15">
      <c r="B13" s="43" t="s">
        <v>60</v>
      </c>
      <c r="C13" s="28"/>
      <c r="D13" s="28"/>
      <c r="E13" s="41">
        <f t="shared" si="0"/>
        <v>8.1908249764947372E-2</v>
      </c>
      <c r="F13" s="10"/>
      <c r="G13" s="28"/>
      <c r="H13" s="41">
        <f t="shared" si="1"/>
        <v>8.0257245665374927E-2</v>
      </c>
      <c r="I13" s="10"/>
      <c r="J13" s="41">
        <f t="shared" si="6"/>
        <v>8.4692564918786017E-2</v>
      </c>
      <c r="K13" s="41"/>
      <c r="L13" s="41"/>
      <c r="M13" s="10"/>
      <c r="N13" s="10"/>
      <c r="O13" s="41">
        <f t="shared" si="7"/>
        <v>8.5204321406291902E-2</v>
      </c>
      <c r="P13" s="41">
        <f t="shared" si="8"/>
        <v>8.5368950939801916E-2</v>
      </c>
      <c r="Q13" s="10"/>
      <c r="R13" s="10"/>
      <c r="S13" s="10"/>
      <c r="T13" s="41">
        <f t="shared" si="9"/>
        <v>8.6443756868529398E-2</v>
      </c>
      <c r="U13" s="41">
        <f t="shared" si="10"/>
        <v>8.5368950939801916E-2</v>
      </c>
      <c r="V13" s="10"/>
      <c r="W13" s="10"/>
      <c r="X13" s="41">
        <f t="shared" si="11"/>
        <v>8.2429616481536724E-2</v>
      </c>
      <c r="Y13" s="41">
        <f t="shared" si="12"/>
        <v>8.5064324646462783E-2</v>
      </c>
      <c r="Z13" s="10"/>
      <c r="AB13" s="41">
        <f t="shared" si="5"/>
        <v>8.1735217189744303E-2</v>
      </c>
    </row>
    <row r="14" spans="2:28" ht="9.9499999999999993" customHeight="1" x14ac:dyDescent="0.15">
      <c r="B14" s="43" t="s">
        <v>61</v>
      </c>
      <c r="C14" s="28"/>
      <c r="D14" s="28"/>
      <c r="E14" s="41">
        <f t="shared" si="0"/>
        <v>7.7395832614512952E-2</v>
      </c>
      <c r="F14" s="10"/>
      <c r="G14" s="28"/>
      <c r="H14" s="41">
        <f t="shared" si="1"/>
        <v>7.2160448244430783E-2</v>
      </c>
      <c r="I14" s="10"/>
      <c r="J14" s="41">
        <f t="shared" si="6"/>
        <v>7.4823289491418629E-2</v>
      </c>
      <c r="K14" s="41"/>
      <c r="L14" s="41"/>
      <c r="M14" s="10"/>
      <c r="N14" s="10"/>
      <c r="O14" s="41">
        <f t="shared" si="7"/>
        <v>7.5322620124537651E-2</v>
      </c>
      <c r="P14" s="41">
        <f t="shared" si="8"/>
        <v>7.4432954139816931E-2</v>
      </c>
      <c r="Q14" s="10"/>
      <c r="R14" s="10"/>
      <c r="S14" s="10"/>
      <c r="T14" s="41">
        <f t="shared" si="9"/>
        <v>7.6331814131499115E-2</v>
      </c>
      <c r="U14" s="41">
        <f t="shared" si="10"/>
        <v>7.4432954139816931E-2</v>
      </c>
      <c r="V14" s="10"/>
      <c r="W14" s="10"/>
      <c r="X14" s="41">
        <f t="shared" si="11"/>
        <v>7.2815434218219122E-2</v>
      </c>
      <c r="Y14" s="41">
        <f t="shared" si="12"/>
        <v>7.4168161957873957E-2</v>
      </c>
      <c r="Z14" s="10"/>
      <c r="AB14" s="41">
        <f t="shared" si="5"/>
        <v>7.4890020694885998E-2</v>
      </c>
    </row>
    <row r="15" spans="2:28" ht="9.9499999999999993" customHeight="1" x14ac:dyDescent="0.15">
      <c r="B15" s="43" t="s">
        <v>62</v>
      </c>
      <c r="C15" s="28"/>
      <c r="D15" s="28"/>
      <c r="E15" s="41">
        <f t="shared" si="0"/>
        <v>6.6426641054386296E-2</v>
      </c>
      <c r="F15" s="10"/>
      <c r="G15" s="28"/>
      <c r="H15" s="41">
        <f t="shared" si="1"/>
        <v>6.084459991821816E-2</v>
      </c>
      <c r="I15" s="10"/>
      <c r="J15" s="41">
        <f t="shared" si="6"/>
        <v>6.5478390452945831E-2</v>
      </c>
      <c r="K15" s="41"/>
      <c r="L15" s="41"/>
      <c r="M15" s="10"/>
      <c r="N15" s="10"/>
      <c r="O15" s="41">
        <f t="shared" si="7"/>
        <v>6.5919258032213893E-2</v>
      </c>
      <c r="P15" s="41">
        <f t="shared" si="8"/>
        <v>6.5857499191818117E-2</v>
      </c>
      <c r="Q15" s="10"/>
      <c r="R15" s="10"/>
      <c r="S15" s="10"/>
      <c r="T15" s="41">
        <f t="shared" si="9"/>
        <v>6.6833216206414664E-2</v>
      </c>
      <c r="U15" s="41">
        <f t="shared" si="10"/>
        <v>6.5857499191818117E-2</v>
      </c>
      <c r="V15" s="10"/>
      <c r="W15" s="10"/>
      <c r="X15" s="41">
        <f t="shared" si="11"/>
        <v>6.3682697120208909E-2</v>
      </c>
      <c r="Y15" s="41">
        <f t="shared" si="12"/>
        <v>6.5627866005503313E-2</v>
      </c>
      <c r="Z15" s="10"/>
      <c r="AB15" s="41">
        <f t="shared" si="5"/>
        <v>6.4081858761377689E-2</v>
      </c>
    </row>
    <row r="16" spans="2:28" ht="9.9499999999999993" customHeight="1" x14ac:dyDescent="0.15">
      <c r="B16" s="43" t="s">
        <v>63</v>
      </c>
      <c r="C16" s="28"/>
      <c r="D16" s="28"/>
      <c r="E16" s="41">
        <f t="shared" si="0"/>
        <v>7.9067334425156469E-2</v>
      </c>
      <c r="F16" s="10"/>
      <c r="G16" s="28"/>
      <c r="H16" s="41">
        <f t="shared" si="1"/>
        <v>7.3789273141264447E-2</v>
      </c>
      <c r="I16" s="10"/>
      <c r="J16" s="41">
        <f t="shared" si="6"/>
        <v>8.0980022912335956E-2</v>
      </c>
      <c r="K16" s="41"/>
      <c r="L16" s="41"/>
      <c r="M16" s="10"/>
      <c r="N16" s="10"/>
      <c r="O16" s="41">
        <f t="shared" si="7"/>
        <v>8.151061085948054E-2</v>
      </c>
      <c r="P16" s="41">
        <f t="shared" si="8"/>
        <v>8.1016041789896673E-2</v>
      </c>
      <c r="Q16" s="10"/>
      <c r="R16" s="10"/>
      <c r="S16" s="10"/>
      <c r="T16" s="41">
        <f t="shared" si="9"/>
        <v>8.2645140506078171E-2</v>
      </c>
      <c r="U16" s="41">
        <f t="shared" si="10"/>
        <v>8.1167817239138546E-2</v>
      </c>
      <c r="V16" s="10"/>
      <c r="W16" s="10"/>
      <c r="X16" s="41">
        <f t="shared" si="11"/>
        <v>7.878431737144917E-2</v>
      </c>
      <c r="Y16" s="41">
        <f t="shared" si="12"/>
        <v>8.0726737125960915E-2</v>
      </c>
      <c r="Z16" s="10"/>
      <c r="AB16" s="41">
        <f t="shared" si="5"/>
        <v>7.7688555125821387E-2</v>
      </c>
    </row>
    <row r="17" spans="2:28" ht="9.9499999999999993" customHeight="1" thickBot="1" x14ac:dyDescent="0.2">
      <c r="B17" s="48" t="s">
        <v>64</v>
      </c>
      <c r="C17" s="49"/>
      <c r="D17" s="49"/>
      <c r="E17" s="50">
        <f>SUM(E5:E16)</f>
        <v>1.0000000423780999</v>
      </c>
      <c r="F17" s="51"/>
      <c r="G17" s="49"/>
      <c r="H17" s="50">
        <f>SUM(H5:H16)</f>
        <v>1.0000014722984663</v>
      </c>
      <c r="I17" s="51"/>
      <c r="J17" s="50">
        <f>SUM(J5:J16)</f>
        <v>1.0000003568480158</v>
      </c>
      <c r="K17" s="50"/>
      <c r="L17" s="50"/>
      <c r="M17" s="51"/>
      <c r="N17" s="51"/>
      <c r="O17" s="50">
        <f>SUM(O5:O16)</f>
        <v>0.99999921159107352</v>
      </c>
      <c r="P17" s="50">
        <f>SUM(P5:P16)</f>
        <v>1</v>
      </c>
      <c r="Q17" s="51"/>
      <c r="R17" s="51"/>
      <c r="S17" s="51"/>
      <c r="T17" s="50">
        <f>SUM(T5:T16)</f>
        <v>1.0000018268634459</v>
      </c>
      <c r="U17" s="50">
        <f>SUM(U5:U16)</f>
        <v>1.0001517754492419</v>
      </c>
      <c r="V17" s="51"/>
      <c r="W17" s="51"/>
      <c r="X17" s="50">
        <f>SUM(X5:X16)</f>
        <v>1.0000000320895284</v>
      </c>
      <c r="Y17" s="50">
        <f>SUM(Y5:Y16)</f>
        <v>0.99645728227309682</v>
      </c>
      <c r="Z17" s="51"/>
      <c r="AB17" s="50">
        <f>SUM(AB5:AB16)</f>
        <v>1.0007017714015474</v>
      </c>
    </row>
    <row r="18" spans="2:28" ht="9.9499999999999993" customHeight="1" thickTop="1" x14ac:dyDescent="0.15">
      <c r="B18" s="47"/>
      <c r="C18" s="33"/>
      <c r="D18" s="33"/>
      <c r="E18" s="33"/>
      <c r="F18" s="33"/>
      <c r="G18" s="33"/>
      <c r="H18" s="33"/>
      <c r="I18" s="33"/>
      <c r="J18" s="33"/>
      <c r="K18" s="33"/>
      <c r="L18" s="33"/>
      <c r="M18" s="33"/>
      <c r="N18" s="33"/>
      <c r="O18" s="33"/>
      <c r="P18" s="33"/>
      <c r="Q18" s="33"/>
      <c r="R18" s="33"/>
      <c r="S18" s="33"/>
      <c r="T18" s="33"/>
      <c r="U18" s="33"/>
      <c r="V18" s="33"/>
      <c r="W18" s="33"/>
      <c r="X18" s="33"/>
      <c r="Y18" s="33"/>
      <c r="Z18" s="33"/>
      <c r="AB18" s="33"/>
    </row>
    <row r="19" spans="2:28" ht="9.9499999999999993" customHeight="1" x14ac:dyDescent="0.15">
      <c r="B19" s="47"/>
      <c r="C19" s="33"/>
      <c r="D19" s="33"/>
      <c r="E19" s="33"/>
      <c r="F19" s="33"/>
      <c r="G19" s="33"/>
      <c r="H19" s="33"/>
      <c r="I19" s="33"/>
      <c r="J19" s="3" t="s">
        <v>102</v>
      </c>
      <c r="K19" s="33"/>
      <c r="L19" s="33"/>
      <c r="M19" s="33"/>
      <c r="N19" s="33"/>
      <c r="O19" s="33"/>
      <c r="P19" s="33"/>
      <c r="Q19" s="33"/>
      <c r="R19" s="33"/>
      <c r="S19" s="33"/>
      <c r="T19" s="33"/>
      <c r="U19" s="33"/>
      <c r="V19" s="33"/>
      <c r="W19" s="33"/>
      <c r="X19" s="33"/>
      <c r="Y19" s="33"/>
      <c r="Z19" s="33"/>
      <c r="AB19" s="33"/>
    </row>
    <row r="20" spans="2:28" ht="9.9499999999999993" customHeight="1" x14ac:dyDescent="0.15">
      <c r="B20" s="34">
        <v>41012</v>
      </c>
      <c r="C20" s="37">
        <v>5693.7099343496038</v>
      </c>
      <c r="D20" s="37"/>
      <c r="E20" s="41">
        <f>C20/71329</f>
        <v>7.9823212639313662E-2</v>
      </c>
      <c r="F20" s="30">
        <v>3453.58</v>
      </c>
      <c r="G20" s="37"/>
      <c r="H20" s="41">
        <f>F20/45887</f>
        <v>7.5262710571621594E-2</v>
      </c>
      <c r="I20" s="36"/>
      <c r="J20" s="36"/>
      <c r="K20" s="36"/>
      <c r="L20" s="36"/>
      <c r="M20" s="36"/>
      <c r="N20" s="36"/>
      <c r="O20" s="36"/>
      <c r="P20" s="36"/>
      <c r="Q20" s="36"/>
      <c r="R20" s="36"/>
      <c r="S20" s="36"/>
      <c r="T20" s="36"/>
      <c r="U20" s="36"/>
      <c r="V20" s="36"/>
      <c r="W20" s="36"/>
      <c r="X20" s="36"/>
      <c r="Y20" s="36"/>
      <c r="Z20" s="34">
        <v>41000</v>
      </c>
      <c r="AB20" s="41"/>
    </row>
    <row r="21" spans="2:28" ht="9.9499999999999993" customHeight="1" x14ac:dyDescent="0.15">
      <c r="B21" s="34">
        <v>41045</v>
      </c>
      <c r="C21" s="37">
        <v>6461.0235251811728</v>
      </c>
      <c r="D21" s="37"/>
      <c r="E21" s="41">
        <f t="shared" ref="E21:E31" si="13">C21/71329</f>
        <v>9.0580598707134169E-2</v>
      </c>
      <c r="F21" s="31">
        <v>3056.66</v>
      </c>
      <c r="G21" s="37"/>
      <c r="H21" s="41">
        <f t="shared" ref="H21:H31" si="14">F21/45887</f>
        <v>6.6612766142916294E-2</v>
      </c>
      <c r="I21" s="36"/>
      <c r="J21" s="36"/>
      <c r="K21" s="36"/>
      <c r="L21" s="36"/>
      <c r="M21" s="36"/>
      <c r="N21" s="36"/>
      <c r="O21" s="36"/>
      <c r="P21" s="36"/>
      <c r="Q21" s="36"/>
      <c r="R21" s="36"/>
      <c r="S21" s="36"/>
      <c r="T21" s="36"/>
      <c r="U21" s="36"/>
      <c r="V21" s="36"/>
      <c r="W21" s="36"/>
      <c r="X21" s="36"/>
      <c r="Y21" s="36"/>
      <c r="Z21" s="34">
        <v>41030</v>
      </c>
      <c r="AB21" s="41"/>
    </row>
    <row r="22" spans="2:28" ht="9.9499999999999993" customHeight="1" x14ac:dyDescent="0.15">
      <c r="B22" s="34">
        <v>41073</v>
      </c>
      <c r="C22" s="37">
        <v>6179.5927881937196</v>
      </c>
      <c r="D22" s="37"/>
      <c r="E22" s="41">
        <f t="shared" si="13"/>
        <v>8.663506831995009E-2</v>
      </c>
      <c r="F22" s="31">
        <v>3703.76</v>
      </c>
      <c r="G22" s="37"/>
      <c r="H22" s="41">
        <f t="shared" si="14"/>
        <v>8.0714799398522469E-2</v>
      </c>
      <c r="I22" s="36"/>
      <c r="J22" s="36"/>
      <c r="K22" s="36"/>
      <c r="L22" s="36"/>
      <c r="M22" s="36"/>
      <c r="N22" s="36"/>
      <c r="O22" s="36"/>
      <c r="P22" s="36"/>
      <c r="Q22" s="36"/>
      <c r="R22" s="36"/>
      <c r="S22" s="36"/>
      <c r="T22" s="36"/>
      <c r="U22" s="36"/>
      <c r="V22" s="36"/>
      <c r="W22" s="36"/>
      <c r="X22" s="36"/>
      <c r="Y22" s="36"/>
      <c r="Z22" s="34">
        <v>41061</v>
      </c>
      <c r="AB22" s="41"/>
    </row>
    <row r="23" spans="2:28" ht="9.9499999999999993" customHeight="1" x14ac:dyDescent="0.15">
      <c r="B23" s="34">
        <v>41101</v>
      </c>
      <c r="C23" s="37">
        <v>6411.8394300434275</v>
      </c>
      <c r="D23" s="37"/>
      <c r="E23" s="41">
        <f t="shared" si="13"/>
        <v>8.9891060158468886E-2</v>
      </c>
      <c r="F23" s="31">
        <v>3890.44</v>
      </c>
      <c r="G23" s="37"/>
      <c r="H23" s="41">
        <f t="shared" si="14"/>
        <v>8.4783054024015522E-2</v>
      </c>
      <c r="I23" s="36"/>
      <c r="J23" s="36"/>
      <c r="K23" s="36"/>
      <c r="L23" s="36"/>
      <c r="M23" s="36"/>
      <c r="N23" s="36"/>
      <c r="O23" s="36"/>
      <c r="P23" s="36"/>
      <c r="Q23" s="36"/>
      <c r="R23" s="36"/>
      <c r="S23" s="36"/>
      <c r="T23" s="36"/>
      <c r="U23" s="36"/>
      <c r="V23" s="36"/>
      <c r="W23" s="36"/>
      <c r="X23" s="36"/>
      <c r="Y23" s="36"/>
      <c r="Z23" s="34">
        <v>41091</v>
      </c>
      <c r="AB23" s="41"/>
    </row>
    <row r="24" spans="2:28" ht="9.9499999999999993" customHeight="1" x14ac:dyDescent="0.15">
      <c r="B24" s="34">
        <v>41129</v>
      </c>
      <c r="C24" s="37">
        <v>6767.281654590066</v>
      </c>
      <c r="D24" s="37"/>
      <c r="E24" s="41">
        <f t="shared" si="13"/>
        <v>9.4874197795988532E-2</v>
      </c>
      <c r="F24" s="31">
        <v>4693.46</v>
      </c>
      <c r="G24" s="37"/>
      <c r="H24" s="41">
        <f t="shared" si="14"/>
        <v>0.10228299954235405</v>
      </c>
      <c r="I24" s="36"/>
      <c r="J24" s="36"/>
      <c r="K24" s="36"/>
      <c r="L24" s="36"/>
      <c r="M24" s="36"/>
      <c r="N24" s="36"/>
      <c r="O24" s="36"/>
      <c r="P24" s="36"/>
      <c r="Q24" s="36"/>
      <c r="R24" s="36"/>
      <c r="S24" s="36"/>
      <c r="T24" s="36"/>
      <c r="U24" s="36"/>
      <c r="V24" s="36"/>
      <c r="W24" s="36"/>
      <c r="X24" s="36"/>
      <c r="Y24" s="36"/>
      <c r="Z24" s="34">
        <v>41122</v>
      </c>
      <c r="AB24" s="41"/>
    </row>
    <row r="25" spans="2:28" ht="9.9499999999999993" customHeight="1" x14ac:dyDescent="0.15">
      <c r="B25" s="34">
        <v>41164</v>
      </c>
      <c r="C25" s="37">
        <v>6054.9434296986519</v>
      </c>
      <c r="D25" s="37"/>
      <c r="E25" s="41">
        <f t="shared" si="13"/>
        <v>8.4887541248281226E-2</v>
      </c>
      <c r="F25" s="31">
        <v>4639.37</v>
      </c>
      <c r="G25" s="37"/>
      <c r="H25" s="41">
        <f t="shared" si="14"/>
        <v>0.10110423431472966</v>
      </c>
      <c r="I25" s="36"/>
      <c r="J25" s="40">
        <f t="shared" ref="J25:J56" si="15">V25+R25+M25</f>
        <v>28079</v>
      </c>
      <c r="K25" s="41"/>
      <c r="L25" s="41"/>
      <c r="M25" s="31">
        <v>8409.4314775882813</v>
      </c>
      <c r="N25" s="31"/>
      <c r="O25" s="41">
        <f>M25/97243</f>
        <v>8.6478527786969558E-2</v>
      </c>
      <c r="P25" s="41"/>
      <c r="Q25" s="31"/>
      <c r="R25" s="31">
        <v>9981.4154262554948</v>
      </c>
      <c r="S25" s="31"/>
      <c r="T25" s="41">
        <f>R25/120438</f>
        <v>8.2875964614619102E-2</v>
      </c>
      <c r="U25" s="41"/>
      <c r="V25" s="31">
        <v>9688.1530961562239</v>
      </c>
      <c r="W25" s="31"/>
      <c r="X25" s="41">
        <f>V25/128327</f>
        <v>7.5495827816096567E-2</v>
      </c>
      <c r="Y25" s="41"/>
      <c r="Z25" s="34">
        <v>41153</v>
      </c>
      <c r="AB25" s="41">
        <f t="shared" ref="AB25:AB56" si="16">AVERAGE(E25,O25,T25,X25,H25)</f>
        <v>8.6168419156139209E-2</v>
      </c>
    </row>
    <row r="26" spans="2:28" ht="9.9499999999999993" customHeight="1" x14ac:dyDescent="0.15">
      <c r="B26" s="34">
        <v>41199</v>
      </c>
      <c r="C26" s="37">
        <v>6164.2626032404287</v>
      </c>
      <c r="D26" s="37"/>
      <c r="E26" s="41">
        <f t="shared" si="13"/>
        <v>8.6420146129069925E-2</v>
      </c>
      <c r="F26" s="31">
        <v>4819.8100000000004</v>
      </c>
      <c r="G26" s="37"/>
      <c r="H26" s="41">
        <f t="shared" si="14"/>
        <v>0.10503650271318675</v>
      </c>
      <c r="I26" s="36"/>
      <c r="J26" s="40">
        <f t="shared" si="15"/>
        <v>32007</v>
      </c>
      <c r="K26" s="41"/>
      <c r="L26" s="41"/>
      <c r="M26" s="31">
        <v>9585.8354394091002</v>
      </c>
      <c r="N26" s="31"/>
      <c r="O26" s="41">
        <f t="shared" ref="O26:O36" si="17">M26/97243</f>
        <v>9.8576097399392243E-2</v>
      </c>
      <c r="P26" s="41"/>
      <c r="Q26" s="31"/>
      <c r="R26" s="31">
        <v>11377.725828845743</v>
      </c>
      <c r="S26" s="31"/>
      <c r="T26" s="41">
        <f t="shared" ref="T26:T36" si="18">R26/120438</f>
        <v>9.4469567983906599E-2</v>
      </c>
      <c r="U26" s="41"/>
      <c r="V26" s="31">
        <v>11043.438731745156</v>
      </c>
      <c r="W26" s="31"/>
      <c r="X26" s="41">
        <f t="shared" ref="X26:X36" si="19">V26/128327</f>
        <v>8.605701630790992E-2</v>
      </c>
      <c r="Y26" s="41"/>
      <c r="Z26" s="34">
        <v>41183</v>
      </c>
      <c r="AB26" s="41">
        <f t="shared" si="16"/>
        <v>9.4111866106693087E-2</v>
      </c>
    </row>
    <row r="27" spans="2:28" ht="9.9499999999999993" customHeight="1" x14ac:dyDescent="0.15">
      <c r="B27" s="34">
        <v>41234</v>
      </c>
      <c r="C27" s="37">
        <v>5754.4110320193013</v>
      </c>
      <c r="D27" s="37"/>
      <c r="E27" s="41">
        <f t="shared" si="13"/>
        <v>8.0674214303008612E-2</v>
      </c>
      <c r="F27" s="31">
        <v>4550.29</v>
      </c>
      <c r="G27" s="37"/>
      <c r="H27" s="41">
        <f t="shared" si="14"/>
        <v>9.9162943753132698E-2</v>
      </c>
      <c r="I27" s="36"/>
      <c r="J27" s="40">
        <f t="shared" si="15"/>
        <v>27906</v>
      </c>
      <c r="K27" s="41"/>
      <c r="L27" s="41"/>
      <c r="M27" s="31">
        <v>8357.6193886384335</v>
      </c>
      <c r="N27" s="31"/>
      <c r="O27" s="41">
        <f t="shared" si="17"/>
        <v>8.5945717312695347E-2</v>
      </c>
      <c r="P27" s="41"/>
      <c r="Q27" s="31"/>
      <c r="R27" s="31">
        <v>9919.9180485446723</v>
      </c>
      <c r="S27" s="31"/>
      <c r="T27" s="41">
        <f t="shared" si="18"/>
        <v>8.2365350209607197E-2</v>
      </c>
      <c r="U27" s="41"/>
      <c r="V27" s="31">
        <v>9628.4625628168942</v>
      </c>
      <c r="W27" s="31"/>
      <c r="X27" s="41">
        <f t="shared" si="19"/>
        <v>7.5030683821930649E-2</v>
      </c>
      <c r="Y27" s="41"/>
      <c r="Z27" s="34">
        <v>41214</v>
      </c>
      <c r="AB27" s="41">
        <f t="shared" si="16"/>
        <v>8.4635781880074895E-2</v>
      </c>
    </row>
    <row r="28" spans="2:28" ht="9.9499999999999993" customHeight="1" x14ac:dyDescent="0.15">
      <c r="B28" s="34">
        <v>41262</v>
      </c>
      <c r="C28" s="37">
        <v>5830.9070462498912</v>
      </c>
      <c r="D28" s="37"/>
      <c r="E28" s="41">
        <f t="shared" si="13"/>
        <v>8.1746653482453011E-2</v>
      </c>
      <c r="F28" s="31">
        <v>4161.66</v>
      </c>
      <c r="G28" s="37"/>
      <c r="H28" s="41">
        <f t="shared" si="14"/>
        <v>9.0693660513871024E-2</v>
      </c>
      <c r="I28" s="36"/>
      <c r="J28" s="40">
        <f t="shared" si="15"/>
        <v>27426</v>
      </c>
      <c r="K28" s="41"/>
      <c r="L28" s="41"/>
      <c r="M28" s="31">
        <v>8213.8633036908795</v>
      </c>
      <c r="N28" s="31"/>
      <c r="O28" s="41">
        <f t="shared" si="17"/>
        <v>8.4467399233784227E-2</v>
      </c>
      <c r="P28" s="41"/>
      <c r="Q28" s="31"/>
      <c r="R28" s="31">
        <v>9749.2894861100176</v>
      </c>
      <c r="S28" s="31"/>
      <c r="T28" s="41">
        <f t="shared" si="18"/>
        <v>8.0948616600325624E-2</v>
      </c>
      <c r="U28" s="41"/>
      <c r="V28" s="31">
        <v>9462.8472101991028</v>
      </c>
      <c r="W28" s="31"/>
      <c r="X28" s="41">
        <f t="shared" si="19"/>
        <v>7.3740110890140834E-2</v>
      </c>
      <c r="Y28" s="41"/>
      <c r="Z28" s="34">
        <v>41244</v>
      </c>
      <c r="AB28" s="41">
        <f t="shared" si="16"/>
        <v>8.2319288144114947E-2</v>
      </c>
    </row>
    <row r="29" spans="2:28" ht="9.9499999999999993" customHeight="1" x14ac:dyDescent="0.15">
      <c r="B29" s="34">
        <v>41290</v>
      </c>
      <c r="C29" s="37">
        <v>5508.7884612072394</v>
      </c>
      <c r="D29" s="37"/>
      <c r="E29" s="41">
        <f t="shared" si="13"/>
        <v>7.7230698049983032E-2</v>
      </c>
      <c r="F29" s="31">
        <v>3121.59</v>
      </c>
      <c r="G29" s="37"/>
      <c r="H29" s="41">
        <f t="shared" si="14"/>
        <v>6.8027763854686521E-2</v>
      </c>
      <c r="I29" s="36"/>
      <c r="J29" s="40">
        <f t="shared" si="15"/>
        <v>25536</v>
      </c>
      <c r="K29" s="41"/>
      <c r="L29" s="41"/>
      <c r="M29" s="31">
        <v>7647.8237192098841</v>
      </c>
      <c r="N29" s="31"/>
      <c r="O29" s="41">
        <f t="shared" si="17"/>
        <v>7.8646521798071675E-2</v>
      </c>
      <c r="P29" s="41"/>
      <c r="Q29" s="31"/>
      <c r="R29" s="31">
        <v>9077.4395215235691</v>
      </c>
      <c r="S29" s="31"/>
      <c r="T29" s="41">
        <f t="shared" si="18"/>
        <v>7.5370228013779447E-2</v>
      </c>
      <c r="U29" s="41"/>
      <c r="V29" s="31">
        <v>8810.7367592665469</v>
      </c>
      <c r="W29" s="31"/>
      <c r="X29" s="41">
        <f t="shared" si="19"/>
        <v>6.865847997121842E-2</v>
      </c>
      <c r="Y29" s="41"/>
      <c r="Z29" s="34">
        <v>41275</v>
      </c>
      <c r="AB29" s="41">
        <f t="shared" si="16"/>
        <v>7.3586738337547822E-2</v>
      </c>
    </row>
    <row r="30" spans="2:28" ht="9.9499999999999993" customHeight="1" x14ac:dyDescent="0.15">
      <c r="B30" s="34">
        <v>41318</v>
      </c>
      <c r="C30" s="37">
        <v>4728.3759929486159</v>
      </c>
      <c r="D30" s="37"/>
      <c r="E30" s="41">
        <f t="shared" si="13"/>
        <v>6.6289671703635492E-2</v>
      </c>
      <c r="F30" s="31">
        <v>2658.44</v>
      </c>
      <c r="G30" s="37"/>
      <c r="H30" s="41">
        <f t="shared" si="14"/>
        <v>5.7934491250245169E-2</v>
      </c>
      <c r="I30" s="36"/>
      <c r="J30" s="40">
        <f t="shared" si="15"/>
        <v>21915</v>
      </c>
      <c r="K30" s="41"/>
      <c r="L30" s="41"/>
      <c r="M30" s="31">
        <v>6563.3637533867723</v>
      </c>
      <c r="N30" s="31"/>
      <c r="O30" s="41">
        <f t="shared" si="17"/>
        <v>6.7494459790285899E-2</v>
      </c>
      <c r="P30" s="41"/>
      <c r="Q30" s="31"/>
      <c r="R30" s="31">
        <v>7790.2603036571518</v>
      </c>
      <c r="S30" s="31"/>
      <c r="T30" s="41">
        <f t="shared" si="18"/>
        <v>6.4682743848761617E-2</v>
      </c>
      <c r="U30" s="41"/>
      <c r="V30" s="31">
        <v>7561.375942956076</v>
      </c>
      <c r="W30" s="31"/>
      <c r="X30" s="41">
        <f t="shared" si="19"/>
        <v>5.8922720417028965E-2</v>
      </c>
      <c r="Y30" s="41"/>
      <c r="Z30" s="34">
        <v>41306</v>
      </c>
      <c r="AB30" s="41">
        <f t="shared" si="16"/>
        <v>6.3064817401991421E-2</v>
      </c>
    </row>
    <row r="31" spans="2:28" ht="9.9499999999999993" customHeight="1" x14ac:dyDescent="0.15">
      <c r="B31" s="34">
        <v>41346</v>
      </c>
      <c r="C31" s="37">
        <v>5774.2107831388548</v>
      </c>
      <c r="D31" s="40">
        <f>SUM(C20:C31)</f>
        <v>71329.346680860966</v>
      </c>
      <c r="E31" s="41">
        <f t="shared" si="13"/>
        <v>8.0951797770035402E-2</v>
      </c>
      <c r="F31" s="31">
        <v>3137.77</v>
      </c>
      <c r="G31" s="40">
        <f>SUM(F20:F31)</f>
        <v>45886.829999999994</v>
      </c>
      <c r="H31" s="41">
        <f t="shared" si="14"/>
        <v>6.8380369167738139E-2</v>
      </c>
      <c r="I31" s="36"/>
      <c r="J31" s="40">
        <f t="shared" si="15"/>
        <v>27132</v>
      </c>
      <c r="K31" s="41"/>
      <c r="L31" s="41"/>
      <c r="M31" s="31">
        <v>8125.8127016605022</v>
      </c>
      <c r="N31" s="31"/>
      <c r="O31" s="41">
        <f t="shared" si="17"/>
        <v>8.3561929410451166E-2</v>
      </c>
      <c r="P31" s="41"/>
      <c r="Q31" s="31"/>
      <c r="R31" s="31">
        <v>9644.7794916187922</v>
      </c>
      <c r="S31" s="31"/>
      <c r="T31" s="41">
        <f t="shared" si="18"/>
        <v>8.0080867264640657E-2</v>
      </c>
      <c r="U31" s="41"/>
      <c r="V31" s="31">
        <v>9361.4078067207047</v>
      </c>
      <c r="W31" s="31"/>
      <c r="X31" s="41">
        <f t="shared" si="19"/>
        <v>7.2949634969419572E-2</v>
      </c>
      <c r="Y31" s="41"/>
      <c r="Z31" s="34">
        <v>41334</v>
      </c>
      <c r="AB31" s="41">
        <f t="shared" si="16"/>
        <v>7.7184919716456996E-2</v>
      </c>
    </row>
    <row r="32" spans="2:28" ht="9.9499999999999993" customHeight="1" x14ac:dyDescent="0.15">
      <c r="B32" s="34">
        <v>41376</v>
      </c>
      <c r="C32" s="31">
        <v>5482.3589469097042</v>
      </c>
      <c r="D32" s="31"/>
      <c r="E32" s="41">
        <f>C32/68682</f>
        <v>7.9822354429249356E-2</v>
      </c>
      <c r="F32" s="31">
        <v>3274.12</v>
      </c>
      <c r="G32" s="31"/>
      <c r="H32" s="41">
        <f>F32/41759</f>
        <v>7.8405134222562803E-2</v>
      </c>
      <c r="I32" s="36"/>
      <c r="J32" s="40">
        <f t="shared" si="15"/>
        <v>29005.073669400437</v>
      </c>
      <c r="K32" s="41"/>
      <c r="L32" s="41"/>
      <c r="M32" s="31">
        <v>7499.9095391172968</v>
      </c>
      <c r="N32" s="31"/>
      <c r="O32" s="41">
        <f t="shared" si="17"/>
        <v>7.7125443878914651E-2</v>
      </c>
      <c r="P32" s="41">
        <f>M32/91177</f>
        <v>8.2256594745575062E-2</v>
      </c>
      <c r="Q32" s="31"/>
      <c r="R32" s="31">
        <v>9834.7629809704449</v>
      </c>
      <c r="S32" s="31"/>
      <c r="T32" s="41">
        <f t="shared" si="18"/>
        <v>8.1658305360189018E-2</v>
      </c>
      <c r="U32" s="41">
        <f>R32/119562</f>
        <v>8.2256594745575062E-2</v>
      </c>
      <c r="V32" s="31">
        <v>11670.401149312698</v>
      </c>
      <c r="W32" s="31"/>
      <c r="X32" s="41">
        <f t="shared" si="19"/>
        <v>9.0942678854120315E-2</v>
      </c>
      <c r="Y32" s="41">
        <f>V32/141878</f>
        <v>8.2256594745575062E-2</v>
      </c>
      <c r="Z32" s="34">
        <v>41365</v>
      </c>
      <c r="AB32" s="41">
        <f t="shared" si="16"/>
        <v>8.159078334900724E-2</v>
      </c>
    </row>
    <row r="33" spans="2:28" ht="9.9499999999999993" customHeight="1" x14ac:dyDescent="0.15">
      <c r="B33" s="34">
        <v>41410</v>
      </c>
      <c r="C33" s="31">
        <v>6221.1897932797165</v>
      </c>
      <c r="D33" s="31"/>
      <c r="E33" s="41">
        <f t="shared" ref="E33:E43" si="20">C33/68682</f>
        <v>9.057962484027425E-2</v>
      </c>
      <c r="F33" s="31">
        <v>3669.2</v>
      </c>
      <c r="G33" s="31"/>
      <c r="H33" s="41">
        <f t="shared" ref="H33:H43" si="21">F33/41759</f>
        <v>8.7866088747335896E-2</v>
      </c>
      <c r="I33" s="36"/>
      <c r="J33" s="40">
        <f t="shared" si="15"/>
        <v>30572.972065646176</v>
      </c>
      <c r="K33" s="41"/>
      <c r="L33" s="41"/>
      <c r="M33" s="31">
        <v>7905.3246838054365</v>
      </c>
      <c r="N33" s="31"/>
      <c r="O33" s="41">
        <f t="shared" si="17"/>
        <v>8.1294537229470873E-2</v>
      </c>
      <c r="P33" s="41">
        <f t="shared" ref="P33:P43" si="22">M33/91177</f>
        <v>8.6703057611079951E-2</v>
      </c>
      <c r="Q33" s="31"/>
      <c r="R33" s="31">
        <v>10366.390974095941</v>
      </c>
      <c r="S33" s="31"/>
      <c r="T33" s="41">
        <f t="shared" si="18"/>
        <v>8.6072427091914025E-2</v>
      </c>
      <c r="U33" s="41">
        <f t="shared" ref="U33:U42" si="23">R33/119562</f>
        <v>8.6703057611079951E-2</v>
      </c>
      <c r="V33" s="31">
        <v>12301.256407744801</v>
      </c>
      <c r="W33" s="31"/>
      <c r="X33" s="41">
        <f t="shared" si="19"/>
        <v>9.585867672231721E-2</v>
      </c>
      <c r="Y33" s="41">
        <f t="shared" ref="Y33:Y43" si="24">V33/141878</f>
        <v>8.6703057611079951E-2</v>
      </c>
      <c r="Z33" s="34">
        <v>41395</v>
      </c>
      <c r="AB33" s="41">
        <f t="shared" si="16"/>
        <v>8.8334270926262448E-2</v>
      </c>
    </row>
    <row r="34" spans="2:28" ht="9.9499999999999993" customHeight="1" x14ac:dyDescent="0.15">
      <c r="B34" s="34">
        <v>41437</v>
      </c>
      <c r="C34" s="31">
        <v>5950.2057887117353</v>
      </c>
      <c r="D34" s="31"/>
      <c r="E34" s="41">
        <f t="shared" si="20"/>
        <v>8.6634136873005085E-2</v>
      </c>
      <c r="F34" s="31">
        <v>3632.79</v>
      </c>
      <c r="G34" s="31"/>
      <c r="H34" s="41">
        <f t="shared" si="21"/>
        <v>8.6994180895136372E-2</v>
      </c>
      <c r="I34" s="36"/>
      <c r="J34" s="40">
        <f t="shared" si="15"/>
        <v>29842.402585953572</v>
      </c>
      <c r="K34" s="41"/>
      <c r="L34" s="41"/>
      <c r="M34" s="31">
        <v>7716.419629738466</v>
      </c>
      <c r="N34" s="31"/>
      <c r="O34" s="41">
        <f t="shared" si="17"/>
        <v>7.9351928979345204E-2</v>
      </c>
      <c r="P34" s="41">
        <f t="shared" si="22"/>
        <v>8.4631207757860705E-2</v>
      </c>
      <c r="Q34" s="31"/>
      <c r="R34" s="31">
        <v>10118.676461945342</v>
      </c>
      <c r="S34" s="31"/>
      <c r="T34" s="41">
        <f t="shared" si="18"/>
        <v>8.4015646738947361E-2</v>
      </c>
      <c r="U34" s="41">
        <f t="shared" si="23"/>
        <v>8.4631207757860719E-2</v>
      </c>
      <c r="V34" s="31">
        <v>12007.306494269762</v>
      </c>
      <c r="W34" s="31"/>
      <c r="X34" s="41">
        <f t="shared" si="19"/>
        <v>9.3568044871848957E-2</v>
      </c>
      <c r="Y34" s="41">
        <f t="shared" si="24"/>
        <v>8.4631207757860705E-2</v>
      </c>
      <c r="Z34" s="34">
        <v>41426</v>
      </c>
      <c r="AB34" s="41">
        <f t="shared" si="16"/>
        <v>8.6112787671656602E-2</v>
      </c>
    </row>
    <row r="35" spans="2:28" ht="9.9499999999999993" customHeight="1" x14ac:dyDescent="0.15">
      <c r="B35" s="34">
        <v>41465</v>
      </c>
      <c r="C35" s="31">
        <v>6173.8314158538951</v>
      </c>
      <c r="D35" s="31"/>
      <c r="E35" s="41">
        <f t="shared" si="20"/>
        <v>8.9890093705103161E-2</v>
      </c>
      <c r="F35" s="31">
        <v>4241.7700000000004</v>
      </c>
      <c r="G35" s="31"/>
      <c r="H35" s="41">
        <f t="shared" si="21"/>
        <v>0.10157738451591275</v>
      </c>
      <c r="I35" s="36"/>
      <c r="J35" s="40">
        <f t="shared" si="15"/>
        <v>34019.627218408001</v>
      </c>
      <c r="K35" s="41"/>
      <c r="L35" s="41"/>
      <c r="M35" s="31">
        <v>8796.5343443248239</v>
      </c>
      <c r="N35" s="31"/>
      <c r="O35" s="41">
        <f t="shared" si="17"/>
        <v>9.0459306524118183E-2</v>
      </c>
      <c r="P35" s="41">
        <f t="shared" si="22"/>
        <v>9.6477558422900775E-2</v>
      </c>
      <c r="Q35" s="31"/>
      <c r="R35" s="31">
        <v>11535.049840158861</v>
      </c>
      <c r="S35" s="31"/>
      <c r="T35" s="41">
        <f t="shared" si="18"/>
        <v>9.5775833542228045E-2</v>
      </c>
      <c r="U35" s="41">
        <f t="shared" si="23"/>
        <v>9.6477558422900761E-2</v>
      </c>
      <c r="V35" s="31">
        <v>13688.043033924316</v>
      </c>
      <c r="W35" s="31"/>
      <c r="X35" s="41">
        <f t="shared" si="19"/>
        <v>0.10666533959279276</v>
      </c>
      <c r="Y35" s="41">
        <f t="shared" si="24"/>
        <v>9.6477558422900775E-2</v>
      </c>
      <c r="Z35" s="34">
        <v>41456</v>
      </c>
      <c r="AB35" s="41">
        <f t="shared" si="16"/>
        <v>9.6873591576030982E-2</v>
      </c>
    </row>
    <row r="36" spans="2:28" ht="9.9499999999999993" customHeight="1" x14ac:dyDescent="0.15">
      <c r="B36" s="34">
        <v>41493</v>
      </c>
      <c r="C36" s="31">
        <v>6516.079595392629</v>
      </c>
      <c r="D36" s="31"/>
      <c r="E36" s="41">
        <f t="shared" si="20"/>
        <v>9.4873177766993236E-2</v>
      </c>
      <c r="F36" s="31">
        <v>4204.96</v>
      </c>
      <c r="G36" s="31"/>
      <c r="H36" s="41">
        <f t="shared" si="21"/>
        <v>0.10069589789027515</v>
      </c>
      <c r="I36" s="36"/>
      <c r="J36" s="40">
        <f t="shared" si="15"/>
        <v>32566.861548188321</v>
      </c>
      <c r="K36" s="41"/>
      <c r="L36" s="41"/>
      <c r="M36" s="31">
        <v>8420.8893370970945</v>
      </c>
      <c r="N36" s="40">
        <f>SUM(M25:M36)</f>
        <v>97242.827317666961</v>
      </c>
      <c r="O36" s="41">
        <f t="shared" si="17"/>
        <v>8.6596354874871148E-2</v>
      </c>
      <c r="P36" s="41">
        <f t="shared" si="22"/>
        <v>9.2357604846585159E-2</v>
      </c>
      <c r="Q36" s="31"/>
      <c r="R36" s="31">
        <v>11042.459950667415</v>
      </c>
      <c r="S36" s="40">
        <f>SUM(R25:R36)</f>
        <v>120438.16831439344</v>
      </c>
      <c r="T36" s="41">
        <f t="shared" si="18"/>
        <v>9.1685846250082317E-2</v>
      </c>
      <c r="U36" s="41">
        <f t="shared" si="23"/>
        <v>9.2357604846585159E-2</v>
      </c>
      <c r="V36" s="31">
        <v>13103.512260423809</v>
      </c>
      <c r="W36" s="40">
        <f>SUM(V25:V36)</f>
        <v>128326.94145553611</v>
      </c>
      <c r="X36" s="41">
        <f t="shared" si="19"/>
        <v>0.10211032955203356</v>
      </c>
      <c r="Y36" s="41">
        <f t="shared" si="24"/>
        <v>9.2357604846585159E-2</v>
      </c>
      <c r="Z36" s="34">
        <v>41487</v>
      </c>
      <c r="AB36" s="41">
        <f t="shared" si="16"/>
        <v>9.5192321266851079E-2</v>
      </c>
    </row>
    <row r="37" spans="2:28" ht="9.9499999999999993" customHeight="1" x14ac:dyDescent="0.15">
      <c r="B37" s="34">
        <v>41521</v>
      </c>
      <c r="C37" s="31">
        <v>5830.1834247958523</v>
      </c>
      <c r="D37" s="31"/>
      <c r="E37" s="41">
        <f t="shared" si="20"/>
        <v>8.4886628589671997E-2</v>
      </c>
      <c r="F37" s="31">
        <v>3639.07</v>
      </c>
      <c r="G37" s="31"/>
      <c r="H37" s="41">
        <f t="shared" si="21"/>
        <v>8.7144567638113943E-2</v>
      </c>
      <c r="I37" s="36"/>
      <c r="J37" s="40">
        <f t="shared" si="15"/>
        <v>30173.147507992056</v>
      </c>
      <c r="K37" s="41"/>
      <c r="L37" s="41"/>
      <c r="M37" s="31">
        <v>7801.9411155338275</v>
      </c>
      <c r="N37" s="31"/>
      <c r="O37" s="41">
        <f>M37/91774</f>
        <v>8.5012542937366001E-2</v>
      </c>
      <c r="P37" s="41">
        <f t="shared" si="22"/>
        <v>8.5569179897713538E-2</v>
      </c>
      <c r="Q37" s="31"/>
      <c r="R37" s="31">
        <v>10230.822286930426</v>
      </c>
      <c r="S37" s="31"/>
      <c r="T37" s="41">
        <f>R37/118499</f>
        <v>8.6336781634700932E-2</v>
      </c>
      <c r="U37" s="41">
        <f t="shared" si="23"/>
        <v>8.5569179897713538E-2</v>
      </c>
      <c r="V37" s="31">
        <v>12140.384105527803</v>
      </c>
      <c r="W37" s="31"/>
      <c r="X37" s="41">
        <f>V37/138947</f>
        <v>8.7374208191093025E-2</v>
      </c>
      <c r="Y37" s="41">
        <f t="shared" si="24"/>
        <v>8.5569179897713551E-2</v>
      </c>
      <c r="Z37" s="34">
        <v>41518</v>
      </c>
      <c r="AB37" s="41">
        <f t="shared" si="16"/>
        <v>8.6150945798189188E-2</v>
      </c>
    </row>
    <row r="38" spans="2:28" ht="9.9499999999999993" customHeight="1" x14ac:dyDescent="0.15">
      <c r="B38" s="34">
        <v>41557</v>
      </c>
      <c r="C38" s="31">
        <v>5935.444661501966</v>
      </c>
      <c r="D38" s="31"/>
      <c r="E38" s="41">
        <f t="shared" si="20"/>
        <v>8.6419216992836057E-2</v>
      </c>
      <c r="F38" s="31">
        <v>3922.53</v>
      </c>
      <c r="G38" s="31"/>
      <c r="H38" s="41">
        <f t="shared" si="21"/>
        <v>9.3932565434996049E-2</v>
      </c>
      <c r="I38" s="36"/>
      <c r="J38" s="40">
        <f t="shared" si="15"/>
        <v>31359.014586060432</v>
      </c>
      <c r="K38" s="41"/>
      <c r="L38" s="41"/>
      <c r="M38" s="31">
        <v>8108.5735313760588</v>
      </c>
      <c r="N38" s="31"/>
      <c r="O38" s="41">
        <f t="shared" ref="O38:O48" si="25">M38/91774</f>
        <v>8.8353711632663492E-2</v>
      </c>
      <c r="P38" s="41">
        <f t="shared" si="22"/>
        <v>8.89322255763631E-2</v>
      </c>
      <c r="Q38" s="31"/>
      <c r="R38" s="31">
        <v>10632.914754361125</v>
      </c>
      <c r="S38" s="31"/>
      <c r="T38" s="41">
        <f t="shared" ref="T38:T48" si="26">R38/118499</f>
        <v>8.9729995648580363E-2</v>
      </c>
      <c r="U38" s="41">
        <f t="shared" si="23"/>
        <v>8.89322255763631E-2</v>
      </c>
      <c r="V38" s="31">
        <v>12617.526300323245</v>
      </c>
      <c r="W38" s="31"/>
      <c r="X38" s="41">
        <f t="shared" ref="X38:X48" si="27">V38/138947</f>
        <v>9.0808195213450058E-2</v>
      </c>
      <c r="Y38" s="41">
        <f t="shared" si="24"/>
        <v>8.8932225576363114E-2</v>
      </c>
      <c r="Z38" s="34">
        <v>41548</v>
      </c>
      <c r="AB38" s="41">
        <f t="shared" si="16"/>
        <v>8.9848736984505212E-2</v>
      </c>
    </row>
    <row r="39" spans="2:28" ht="9.9499999999999993" customHeight="1" x14ac:dyDescent="0.15">
      <c r="B39" s="34">
        <v>41591</v>
      </c>
      <c r="C39" s="31">
        <v>5540.8068147733347</v>
      </c>
      <c r="D39" s="31"/>
      <c r="E39" s="41">
        <f t="shared" si="20"/>
        <v>8.0673346943498078E-2</v>
      </c>
      <c r="F39" s="31">
        <v>3376.88</v>
      </c>
      <c r="G39" s="31"/>
      <c r="H39" s="41">
        <f t="shared" si="21"/>
        <v>8.086592111880074E-2</v>
      </c>
      <c r="I39" s="36"/>
      <c r="J39" s="40">
        <f t="shared" si="15"/>
        <v>28464.99651822367</v>
      </c>
      <c r="K39" s="41"/>
      <c r="L39" s="41"/>
      <c r="M39" s="31">
        <v>7360.2605306666428</v>
      </c>
      <c r="N39" s="31"/>
      <c r="O39" s="41">
        <f t="shared" si="25"/>
        <v>8.0199844516602115E-2</v>
      </c>
      <c r="P39" s="41">
        <f t="shared" si="22"/>
        <v>8.0724969352650805E-2</v>
      </c>
      <c r="Q39" s="31"/>
      <c r="R39" s="31">
        <v>9651.6387857416357</v>
      </c>
      <c r="S39" s="31"/>
      <c r="T39" s="41">
        <f t="shared" si="26"/>
        <v>8.1449115905970815E-2</v>
      </c>
      <c r="U39" s="41">
        <f t="shared" si="23"/>
        <v>8.0724969352650805E-2</v>
      </c>
      <c r="V39" s="31">
        <v>11453.097201815392</v>
      </c>
      <c r="W39" s="31"/>
      <c r="X39" s="41">
        <f t="shared" si="27"/>
        <v>8.2427812056506372E-2</v>
      </c>
      <c r="Y39" s="41">
        <f t="shared" si="24"/>
        <v>8.0724969352650805E-2</v>
      </c>
      <c r="Z39" s="34">
        <v>41579</v>
      </c>
      <c r="AB39" s="41">
        <f t="shared" si="16"/>
        <v>8.1123208108275627E-2</v>
      </c>
    </row>
    <row r="40" spans="2:28" ht="9.9499999999999993" customHeight="1" x14ac:dyDescent="0.15">
      <c r="B40" s="34">
        <v>41619</v>
      </c>
      <c r="C40" s="31">
        <v>5614.4632905783164</v>
      </c>
      <c r="D40" s="31"/>
      <c r="E40" s="41">
        <f t="shared" si="20"/>
        <v>8.1745774592736326E-2</v>
      </c>
      <c r="F40" s="31">
        <v>3260.82</v>
      </c>
      <c r="G40" s="31"/>
      <c r="H40" s="41">
        <f t="shared" si="21"/>
        <v>7.8086640005747263E-2</v>
      </c>
      <c r="I40" s="36"/>
      <c r="J40" s="40">
        <f t="shared" si="15"/>
        <v>29372.451731538127</v>
      </c>
      <c r="K40" s="41"/>
      <c r="L40" s="41"/>
      <c r="M40" s="31">
        <v>7594.903341377335</v>
      </c>
      <c r="N40" s="31"/>
      <c r="O40" s="41">
        <f t="shared" si="25"/>
        <v>8.275659055263293E-2</v>
      </c>
      <c r="P40" s="41">
        <f t="shared" si="22"/>
        <v>8.329845620471539E-2</v>
      </c>
      <c r="Q40" s="31"/>
      <c r="R40" s="31">
        <v>9959.3300207481807</v>
      </c>
      <c r="S40" s="31"/>
      <c r="T40" s="41">
        <f t="shared" si="26"/>
        <v>8.4045688324358686E-2</v>
      </c>
      <c r="U40" s="41">
        <f t="shared" si="23"/>
        <v>8.329845620471539E-2</v>
      </c>
      <c r="V40" s="31">
        <v>11818.218369412611</v>
      </c>
      <c r="W40" s="31"/>
      <c r="X40" s="41">
        <f t="shared" si="27"/>
        <v>8.5055585003005543E-2</v>
      </c>
      <c r="Y40" s="41">
        <f t="shared" si="24"/>
        <v>8.329845620471539E-2</v>
      </c>
      <c r="Z40" s="34">
        <v>41609</v>
      </c>
      <c r="AB40" s="41">
        <f t="shared" si="16"/>
        <v>8.2338055695696161E-2</v>
      </c>
    </row>
    <row r="41" spans="2:28" ht="9.9499999999999993" customHeight="1" x14ac:dyDescent="0.15">
      <c r="B41" s="34">
        <v>41647</v>
      </c>
      <c r="C41" s="31">
        <v>5304.3017742670354</v>
      </c>
      <c r="D41" s="31"/>
      <c r="E41" s="41">
        <f t="shared" si="20"/>
        <v>7.7229867713040329E-2</v>
      </c>
      <c r="F41" s="31">
        <v>3094.86</v>
      </c>
      <c r="G41" s="31"/>
      <c r="H41" s="41">
        <f t="shared" si="21"/>
        <v>7.4112406906295655E-2</v>
      </c>
      <c r="I41" s="36"/>
      <c r="J41" s="40">
        <f t="shared" si="15"/>
        <v>26973.504385613407</v>
      </c>
      <c r="K41" s="41"/>
      <c r="L41" s="41"/>
      <c r="M41" s="31">
        <v>6974.6019317476857</v>
      </c>
      <c r="N41" s="31"/>
      <c r="O41" s="41">
        <f t="shared" si="25"/>
        <v>7.5997580270530718E-2</v>
      </c>
      <c r="P41" s="41">
        <f t="shared" si="22"/>
        <v>7.6495189924516996E-2</v>
      </c>
      <c r="Q41" s="31"/>
      <c r="R41" s="31">
        <v>9145.9178977551001</v>
      </c>
      <c r="S41" s="31"/>
      <c r="T41" s="41">
        <f t="shared" si="26"/>
        <v>7.7181393072980359E-2</v>
      </c>
      <c r="U41" s="41">
        <f t="shared" si="23"/>
        <v>7.6495189924516982E-2</v>
      </c>
      <c r="V41" s="31">
        <v>10852.984556110621</v>
      </c>
      <c r="W41" s="31"/>
      <c r="X41" s="41">
        <f t="shared" si="27"/>
        <v>7.8108808078696343E-2</v>
      </c>
      <c r="Y41" s="41">
        <f t="shared" si="24"/>
        <v>7.6495189924516982E-2</v>
      </c>
      <c r="Z41" s="34">
        <v>41640</v>
      </c>
      <c r="AB41" s="41">
        <f t="shared" si="16"/>
        <v>7.6526011208308681E-2</v>
      </c>
    </row>
    <row r="42" spans="2:28" ht="9.9499999999999993" customHeight="1" x14ac:dyDescent="0.15">
      <c r="B42" s="34">
        <v>41675</v>
      </c>
      <c r="C42" s="31">
        <v>4552.8582818920968</v>
      </c>
      <c r="D42" s="31"/>
      <c r="E42" s="41">
        <f t="shared" si="20"/>
        <v>6.6288958997875666E-2</v>
      </c>
      <c r="F42" s="31">
        <v>2416.7399999999998</v>
      </c>
      <c r="G42" s="31"/>
      <c r="H42" s="41">
        <f t="shared" si="21"/>
        <v>5.7873512296750397E-2</v>
      </c>
      <c r="I42" s="36"/>
      <c r="J42" s="40">
        <f t="shared" si="15"/>
        <v>22261.435907710664</v>
      </c>
      <c r="K42" s="41"/>
      <c r="L42" s="41"/>
      <c r="M42" s="31">
        <v>5756.1913967770561</v>
      </c>
      <c r="N42" s="31"/>
      <c r="O42" s="41">
        <f t="shared" si="25"/>
        <v>6.2721374210310724E-2</v>
      </c>
      <c r="P42" s="41">
        <f t="shared" si="22"/>
        <v>6.3132055197879469E-2</v>
      </c>
      <c r="Q42" s="31"/>
      <c r="R42" s="31">
        <v>7548.1947835688652</v>
      </c>
      <c r="S42" s="31"/>
      <c r="T42" s="41">
        <f t="shared" si="26"/>
        <v>6.3698383813946657E-2</v>
      </c>
      <c r="U42" s="41">
        <f t="shared" si="23"/>
        <v>6.3132055197879469E-2</v>
      </c>
      <c r="V42" s="31">
        <v>8957.0497273647434</v>
      </c>
      <c r="W42" s="31"/>
      <c r="X42" s="41">
        <f t="shared" si="27"/>
        <v>6.4463786388801084E-2</v>
      </c>
      <c r="Y42" s="41">
        <f t="shared" si="24"/>
        <v>6.3132055197879469E-2</v>
      </c>
      <c r="Z42" s="34">
        <v>41671</v>
      </c>
      <c r="AB42" s="41">
        <f t="shared" si="16"/>
        <v>6.3009203141536907E-2</v>
      </c>
    </row>
    <row r="43" spans="2:28" ht="9.9499999999999993" customHeight="1" x14ac:dyDescent="0.15">
      <c r="B43" s="34">
        <v>41703</v>
      </c>
      <c r="C43" s="31">
        <v>5559.8715974806528</v>
      </c>
      <c r="D43" s="40">
        <f>SUM(C32:C43)</f>
        <v>68681.595385436929</v>
      </c>
      <c r="E43" s="41">
        <f t="shared" si="20"/>
        <v>8.0950927426118244E-2</v>
      </c>
      <c r="F43" s="30">
        <v>3025.7</v>
      </c>
      <c r="G43" s="40">
        <f>SUM(F32:F43)</f>
        <v>41759.439999999995</v>
      </c>
      <c r="H43" s="41">
        <f t="shared" si="21"/>
        <v>7.2456236978854852E-2</v>
      </c>
      <c r="I43" s="36"/>
      <c r="J43" s="40">
        <f t="shared" si="15"/>
        <v>28005.512275265144</v>
      </c>
      <c r="K43" s="41"/>
      <c r="L43" s="41"/>
      <c r="M43" s="31">
        <v>7241.4506184382763</v>
      </c>
      <c r="N43" s="40">
        <f>SUM(M32:M43)</f>
        <v>91177</v>
      </c>
      <c r="O43" s="41">
        <f t="shared" si="25"/>
        <v>7.8905252233075554E-2</v>
      </c>
      <c r="P43" s="41">
        <f t="shared" si="22"/>
        <v>7.9421900462159051E-2</v>
      </c>
      <c r="Q43" s="31"/>
      <c r="R43" s="31">
        <v>9495.8412630566618</v>
      </c>
      <c r="S43" s="40">
        <f>SUM(R32:R43)</f>
        <v>119562.00000000001</v>
      </c>
      <c r="T43" s="41">
        <f t="shared" si="26"/>
        <v>8.0134357784088145E-2</v>
      </c>
      <c r="U43" s="41">
        <f>R43/118655</f>
        <v>8.0029002259126555E-2</v>
      </c>
      <c r="V43" s="31">
        <v>11268.220393770203</v>
      </c>
      <c r="W43" s="40">
        <f>SUM(V32:V43)</f>
        <v>141878</v>
      </c>
      <c r="X43" s="41">
        <f t="shared" si="27"/>
        <v>8.109725574334245E-2</v>
      </c>
      <c r="Y43" s="41">
        <f t="shared" si="24"/>
        <v>7.9421900462159065E-2</v>
      </c>
      <c r="Z43" s="34">
        <v>41699</v>
      </c>
      <c r="AB43" s="41">
        <f t="shared" si="16"/>
        <v>7.8708806033095852E-2</v>
      </c>
    </row>
    <row r="44" spans="2:28" ht="9.9499999999999993" customHeight="1" x14ac:dyDescent="0.15">
      <c r="B44" s="34">
        <v>41739</v>
      </c>
      <c r="C44" s="31">
        <v>5397.9493997803338</v>
      </c>
      <c r="D44" s="31"/>
      <c r="E44" s="41">
        <f>C44/67624</f>
        <v>7.9822982961379602E-2</v>
      </c>
      <c r="F44" s="31">
        <v>3232.15</v>
      </c>
      <c r="G44" s="31"/>
      <c r="H44" s="41">
        <f>F44/41352</f>
        <v>7.8161878506480945E-2</v>
      </c>
      <c r="I44" s="36"/>
      <c r="J44" s="40">
        <f t="shared" si="15"/>
        <v>29204.565838092043</v>
      </c>
      <c r="K44" s="41"/>
      <c r="L44" s="41"/>
      <c r="M44" s="31">
        <v>7833.835950621431</v>
      </c>
      <c r="N44" s="31"/>
      <c r="O44" s="41">
        <f t="shared" si="25"/>
        <v>8.5360079658960392E-2</v>
      </c>
      <c r="P44" s="41">
        <f>M44/93707</f>
        <v>8.359926100100773E-2</v>
      </c>
      <c r="Q44" s="31"/>
      <c r="R44" s="31">
        <v>9919.4703140745714</v>
      </c>
      <c r="S44" s="31"/>
      <c r="T44" s="41">
        <f t="shared" si="26"/>
        <v>8.3709316653090504E-2</v>
      </c>
      <c r="U44" s="41">
        <f t="shared" ref="U44:U55" si="28">R44/118655</f>
        <v>8.359926100100773E-2</v>
      </c>
      <c r="V44" s="31">
        <v>11451.259573396037</v>
      </c>
      <c r="W44" s="31"/>
      <c r="X44" s="41">
        <f t="shared" si="27"/>
        <v>8.2414586665390671E-2</v>
      </c>
      <c r="Y44" s="41">
        <f>V44/138947</f>
        <v>8.2414586665390671E-2</v>
      </c>
      <c r="Z44" s="34">
        <v>41730</v>
      </c>
      <c r="AB44" s="41">
        <f t="shared" si="16"/>
        <v>8.1893768889060414E-2</v>
      </c>
    </row>
    <row r="45" spans="2:28" ht="9.9499999999999993" customHeight="1" x14ac:dyDescent="0.15">
      <c r="B45" s="34">
        <v>41773</v>
      </c>
      <c r="C45" s="31">
        <v>6125.4047820935002</v>
      </c>
      <c r="D45" s="31"/>
      <c r="E45" s="41">
        <f t="shared" ref="E45:E55" si="29">C45/67624</f>
        <v>9.0580338076622205E-2</v>
      </c>
      <c r="F45" s="30">
        <v>3633.7</v>
      </c>
      <c r="G45" s="31"/>
      <c r="H45" s="41">
        <f t="shared" ref="H45:H55" si="30">F45/41352</f>
        <v>8.7872412458889534E-2</v>
      </c>
      <c r="I45" s="36"/>
      <c r="J45" s="40">
        <f t="shared" si="15"/>
        <v>30105.61795191708</v>
      </c>
      <c r="K45" s="41"/>
      <c r="L45" s="41"/>
      <c r="M45" s="31">
        <v>8075.534268678919</v>
      </c>
      <c r="N45" s="31"/>
      <c r="O45" s="41">
        <f t="shared" si="25"/>
        <v>8.7993704847548537E-2</v>
      </c>
      <c r="P45" s="41">
        <f t="shared" ref="P45:P55" si="31">M45/93707</f>
        <v>8.6178559431834542E-2</v>
      </c>
      <c r="Q45" s="31"/>
      <c r="R45" s="31">
        <v>10225.516969384327</v>
      </c>
      <c r="S45" s="31"/>
      <c r="T45" s="41">
        <f t="shared" si="26"/>
        <v>8.6292010644683309E-2</v>
      </c>
      <c r="U45" s="41">
        <f t="shared" si="28"/>
        <v>8.6178559431834542E-2</v>
      </c>
      <c r="V45" s="31">
        <v>11804.566713853832</v>
      </c>
      <c r="W45" s="31"/>
      <c r="X45" s="41">
        <f t="shared" si="27"/>
        <v>8.495733419112203E-2</v>
      </c>
      <c r="Y45" s="41">
        <f t="shared" ref="Y45:Y55" si="32">V45/138947</f>
        <v>8.495733419112203E-2</v>
      </c>
      <c r="Z45" s="34">
        <v>41760</v>
      </c>
      <c r="AB45" s="41">
        <f t="shared" si="16"/>
        <v>8.7539160043773129E-2</v>
      </c>
    </row>
    <row r="46" spans="2:28" ht="9.9499999999999993" customHeight="1" x14ac:dyDescent="0.15">
      <c r="B46" s="34">
        <v>41801</v>
      </c>
      <c r="C46" s="31">
        <v>5858.5930028990097</v>
      </c>
      <c r="D46" s="31"/>
      <c r="E46" s="41">
        <f t="shared" si="29"/>
        <v>8.6634819042041428E-2</v>
      </c>
      <c r="F46" s="30">
        <v>3717.2</v>
      </c>
      <c r="G46" s="31"/>
      <c r="H46" s="41">
        <f t="shared" si="30"/>
        <v>8.9891661830141217E-2</v>
      </c>
      <c r="I46" s="36"/>
      <c r="J46" s="40">
        <f t="shared" si="15"/>
        <v>29497.931642593216</v>
      </c>
      <c r="K46" s="41"/>
      <c r="L46" s="41"/>
      <c r="M46" s="31">
        <v>7912.5284262680552</v>
      </c>
      <c r="N46" s="31"/>
      <c r="O46" s="41">
        <f t="shared" si="25"/>
        <v>8.6217539022686765E-2</v>
      </c>
      <c r="P46" s="41">
        <f t="shared" si="31"/>
        <v>8.4439032583137383E-2</v>
      </c>
      <c r="Q46" s="31"/>
      <c r="R46" s="31">
        <v>10019.113411152166</v>
      </c>
      <c r="S46" s="31"/>
      <c r="T46" s="41">
        <f t="shared" si="26"/>
        <v>8.4550193766632337E-2</v>
      </c>
      <c r="U46" s="41">
        <f t="shared" si="28"/>
        <v>8.4439032583137383E-2</v>
      </c>
      <c r="V46" s="31">
        <v>11566.289805172994</v>
      </c>
      <c r="W46" s="31"/>
      <c r="X46" s="41">
        <f t="shared" si="27"/>
        <v>8.3242457952838092E-2</v>
      </c>
      <c r="Y46" s="41">
        <f t="shared" si="32"/>
        <v>8.3242457952838092E-2</v>
      </c>
      <c r="Z46" s="34">
        <v>41791</v>
      </c>
      <c r="AB46" s="41">
        <f t="shared" si="16"/>
        <v>8.6107334322867962E-2</v>
      </c>
    </row>
    <row r="47" spans="2:28" ht="9.9499999999999993" customHeight="1" x14ac:dyDescent="0.15">
      <c r="B47" s="34">
        <v>41829</v>
      </c>
      <c r="C47" s="31">
        <v>6078.7755614467223</v>
      </c>
      <c r="D47" s="31"/>
      <c r="E47" s="41">
        <f t="shared" si="29"/>
        <v>8.989080151198868E-2</v>
      </c>
      <c r="F47" s="30">
        <v>3963.2</v>
      </c>
      <c r="G47" s="31"/>
      <c r="H47" s="41">
        <f t="shared" si="30"/>
        <v>9.5840588121493514E-2</v>
      </c>
      <c r="I47" s="36"/>
      <c r="J47" s="40">
        <f t="shared" si="15"/>
        <v>32669.425536254137</v>
      </c>
      <c r="K47" s="41"/>
      <c r="L47" s="41"/>
      <c r="M47" s="31">
        <v>8763.2502969192374</v>
      </c>
      <c r="N47" s="31"/>
      <c r="O47" s="41">
        <f t="shared" si="25"/>
        <v>9.5487287215542935E-2</v>
      </c>
      <c r="P47" s="41">
        <f t="shared" si="31"/>
        <v>9.3517563222803385E-2</v>
      </c>
      <c r="Q47" s="31"/>
      <c r="R47" s="31">
        <v>11096.326464201737</v>
      </c>
      <c r="S47" s="31"/>
      <c r="T47" s="41">
        <f t="shared" si="26"/>
        <v>9.3640675990529346E-2</v>
      </c>
      <c r="U47" s="41">
        <f t="shared" si="28"/>
        <v>9.3517563222803399E-2</v>
      </c>
      <c r="V47" s="31">
        <v>12809.848775133163</v>
      </c>
      <c r="W47" s="31"/>
      <c r="X47" s="41">
        <f t="shared" si="27"/>
        <v>9.2192337906778582E-2</v>
      </c>
      <c r="Y47" s="41">
        <f t="shared" si="32"/>
        <v>9.2192337906778582E-2</v>
      </c>
      <c r="Z47" s="34">
        <v>41821</v>
      </c>
      <c r="AB47" s="41">
        <f t="shared" si="16"/>
        <v>9.3410338149266622E-2</v>
      </c>
    </row>
    <row r="48" spans="2:28" ht="9.9499999999999993" customHeight="1" x14ac:dyDescent="0.15">
      <c r="B48" s="34">
        <v>41857</v>
      </c>
      <c r="C48" s="31">
        <v>6415.7542914436672</v>
      </c>
      <c r="D48" s="31"/>
      <c r="E48" s="41">
        <f t="shared" si="29"/>
        <v>9.4873924811363822E-2</v>
      </c>
      <c r="F48" s="31">
        <v>3892.13</v>
      </c>
      <c r="G48" s="31"/>
      <c r="H48" s="41">
        <f t="shared" si="30"/>
        <v>9.4121928806345526E-2</v>
      </c>
      <c r="I48" s="36"/>
      <c r="J48" s="40">
        <f t="shared" si="15"/>
        <v>31132.398267671193</v>
      </c>
      <c r="K48" s="41"/>
      <c r="L48" s="41"/>
      <c r="M48" s="31">
        <v>8350.9579334421032</v>
      </c>
      <c r="N48" s="40">
        <f>SUM(M37:M48)</f>
        <v>91774.029341846632</v>
      </c>
      <c r="O48" s="41">
        <f t="shared" si="25"/>
        <v>9.0994812620590837E-2</v>
      </c>
      <c r="P48" s="41">
        <f t="shared" si="31"/>
        <v>8.9117759969288349E-2</v>
      </c>
      <c r="Q48" s="31"/>
      <c r="R48" s="31">
        <v>10574.26780915591</v>
      </c>
      <c r="S48" s="40">
        <f>SUM(R37:R48)</f>
        <v>118499.35476013069</v>
      </c>
      <c r="T48" s="41">
        <f t="shared" si="26"/>
        <v>8.9235080542079764E-2</v>
      </c>
      <c r="U48" s="41">
        <f t="shared" si="28"/>
        <v>8.9117759969288363E-2</v>
      </c>
      <c r="V48" s="31">
        <v>12207.17252507318</v>
      </c>
      <c r="W48" s="40">
        <f>SUM(V37:V48)</f>
        <v>138946.61804695381</v>
      </c>
      <c r="X48" s="41">
        <f t="shared" si="27"/>
        <v>8.7854883697187997E-2</v>
      </c>
      <c r="Y48" s="41">
        <f t="shared" si="32"/>
        <v>8.7854883697187997E-2</v>
      </c>
      <c r="Z48" s="34">
        <v>41852</v>
      </c>
      <c r="AB48" s="41">
        <f t="shared" si="16"/>
        <v>9.141612609551357E-2</v>
      </c>
    </row>
    <row r="49" spans="2:28" ht="9.9499999999999993" customHeight="1" x14ac:dyDescent="0.15">
      <c r="B49" s="34">
        <v>41892</v>
      </c>
      <c r="C49" s="31">
        <v>5740.4185722325992</v>
      </c>
      <c r="D49" s="31"/>
      <c r="E49" s="41">
        <f t="shared" si="29"/>
        <v>8.488729699858924E-2</v>
      </c>
      <c r="F49" s="31">
        <v>3780.22</v>
      </c>
      <c r="G49" s="31"/>
      <c r="H49" s="41">
        <f t="shared" si="30"/>
        <v>9.1415650996324233E-2</v>
      </c>
      <c r="I49" s="36"/>
      <c r="J49" s="40">
        <f t="shared" si="15"/>
        <v>31292.701725130766</v>
      </c>
      <c r="K49" s="41"/>
      <c r="L49" s="41"/>
      <c r="M49" s="31">
        <v>8393.957750491867</v>
      </c>
      <c r="N49" s="31"/>
      <c r="O49" s="41">
        <f>M49/94827</f>
        <v>8.8518647120460064E-2</v>
      </c>
      <c r="P49" s="41">
        <f t="shared" si="31"/>
        <v>8.9576635155237783E-2</v>
      </c>
      <c r="Q49" s="31"/>
      <c r="R49" s="31">
        <v>10628.715644344738</v>
      </c>
      <c r="S49" s="31"/>
      <c r="T49" s="41">
        <f>R49/113756</f>
        <v>9.3434330007601693E-2</v>
      </c>
      <c r="U49" s="41">
        <f t="shared" si="28"/>
        <v>8.9576635155237783E-2</v>
      </c>
      <c r="V49" s="31">
        <v>12270.028330294161</v>
      </c>
      <c r="W49" s="31"/>
      <c r="X49" s="41">
        <f>V49/137220</f>
        <v>8.9418658579610552E-2</v>
      </c>
      <c r="Y49" s="41">
        <f t="shared" si="32"/>
        <v>8.8307256222114619E-2</v>
      </c>
      <c r="Z49" s="34">
        <v>41883</v>
      </c>
      <c r="AB49" s="41">
        <f t="shared" si="16"/>
        <v>8.9534916740517168E-2</v>
      </c>
    </row>
    <row r="50" spans="2:28" ht="9.9499999999999993" customHeight="1" x14ac:dyDescent="0.15">
      <c r="B50" s="34">
        <v>41920</v>
      </c>
      <c r="C50" s="31">
        <v>5844.0591464817899</v>
      </c>
      <c r="D50" s="31"/>
      <c r="E50" s="41">
        <f t="shared" si="29"/>
        <v>8.6419897469563911E-2</v>
      </c>
      <c r="F50" s="31">
        <v>3844.77</v>
      </c>
      <c r="G50" s="31"/>
      <c r="H50" s="41">
        <f t="shared" si="30"/>
        <v>9.2976639582124196E-2</v>
      </c>
      <c r="I50" s="36"/>
      <c r="J50" s="40">
        <f t="shared" si="15"/>
        <v>30638.915075099576</v>
      </c>
      <c r="K50" s="41"/>
      <c r="L50" s="41"/>
      <c r="M50" s="31">
        <v>8218.5859476222467</v>
      </c>
      <c r="N50" s="31"/>
      <c r="O50" s="41">
        <f t="shared" ref="O50:O60" si="33">M50/94827</f>
        <v>8.6669260312171079E-2</v>
      </c>
      <c r="P50" s="41">
        <f t="shared" si="31"/>
        <v>8.7705144200777393E-2</v>
      </c>
      <c r="Q50" s="31"/>
      <c r="R50" s="31">
        <v>10406.653885143241</v>
      </c>
      <c r="S50" s="31"/>
      <c r="T50" s="41">
        <f t="shared" ref="T50:T60" si="34">R50/113756</f>
        <v>9.1482241685214336E-2</v>
      </c>
      <c r="U50" s="41">
        <f t="shared" si="28"/>
        <v>8.7705144200777393E-2</v>
      </c>
      <c r="V50" s="31">
        <v>12013.675242334086</v>
      </c>
      <c r="W50" s="31"/>
      <c r="X50" s="41">
        <f t="shared" ref="X50:X60" si="35">V50/137220</f>
        <v>8.755046817034022E-2</v>
      </c>
      <c r="Y50" s="41">
        <f t="shared" si="32"/>
        <v>8.646228592437466E-2</v>
      </c>
      <c r="Z50" s="34">
        <v>41913</v>
      </c>
      <c r="AB50" s="41">
        <f t="shared" si="16"/>
        <v>8.9019701443882757E-2</v>
      </c>
    </row>
    <row r="51" spans="2:28" ht="9.9499999999999993" customHeight="1" x14ac:dyDescent="0.15">
      <c r="B51" s="34">
        <v>41948</v>
      </c>
      <c r="C51" s="31">
        <v>5455.4973707009112</v>
      </c>
      <c r="D51" s="31"/>
      <c r="E51" s="41">
        <f t="shared" si="29"/>
        <v>8.0673982176459713E-2</v>
      </c>
      <c r="F51" s="30">
        <v>3193.13</v>
      </c>
      <c r="G51" s="31"/>
      <c r="H51" s="41">
        <f t="shared" si="30"/>
        <v>7.7218272393112797E-2</v>
      </c>
      <c r="I51" s="36"/>
      <c r="J51" s="40">
        <f t="shared" si="15"/>
        <v>27477.898531599407</v>
      </c>
      <c r="K51" s="41"/>
      <c r="L51" s="41"/>
      <c r="M51" s="31">
        <v>7370.6745225298719</v>
      </c>
      <c r="N51" s="31"/>
      <c r="O51" s="41">
        <f t="shared" si="33"/>
        <v>7.7727593644530274E-2</v>
      </c>
      <c r="P51" s="41">
        <f t="shared" si="31"/>
        <v>7.865660540333029E-2</v>
      </c>
      <c r="Q51" s="31"/>
      <c r="R51" s="31">
        <v>9332.999514132156</v>
      </c>
      <c r="S51" s="31"/>
      <c r="T51" s="41">
        <f t="shared" si="34"/>
        <v>8.2044019780338234E-2</v>
      </c>
      <c r="U51" s="41">
        <f t="shared" si="28"/>
        <v>7.865660540333029E-2</v>
      </c>
      <c r="V51" s="31">
        <v>10774.224494937376</v>
      </c>
      <c r="W51" s="31"/>
      <c r="X51" s="41">
        <f t="shared" si="35"/>
        <v>7.8517887297313627E-2</v>
      </c>
      <c r="Y51" s="41">
        <f t="shared" si="32"/>
        <v>7.7541972802128697E-2</v>
      </c>
      <c r="Z51" s="34">
        <v>41944</v>
      </c>
      <c r="AB51" s="41">
        <f t="shared" si="16"/>
        <v>7.9236351058350932E-2</v>
      </c>
    </row>
    <row r="52" spans="2:28" ht="9.9499999999999993" customHeight="1" x14ac:dyDescent="0.15">
      <c r="B52" s="34">
        <v>41984</v>
      </c>
      <c r="C52" s="31">
        <v>5528.019789099938</v>
      </c>
      <c r="D52" s="31"/>
      <c r="E52" s="41">
        <f t="shared" si="29"/>
        <v>8.1746418270139856E-2</v>
      </c>
      <c r="F52" s="31">
        <v>3325.02</v>
      </c>
      <c r="G52" s="31"/>
      <c r="H52" s="41">
        <f t="shared" si="30"/>
        <v>8.0407719094602439E-2</v>
      </c>
      <c r="I52" s="36"/>
      <c r="J52" s="40">
        <f t="shared" si="15"/>
        <v>30038.562910888239</v>
      </c>
      <c r="K52" s="41"/>
      <c r="L52" s="41"/>
      <c r="M52" s="31">
        <v>8057.547417102548</v>
      </c>
      <c r="N52" s="31"/>
      <c r="O52" s="41">
        <f t="shared" si="33"/>
        <v>8.4971025310328782E-2</v>
      </c>
      <c r="P52" s="41">
        <f t="shared" si="31"/>
        <v>8.5986611641633473E-2</v>
      </c>
      <c r="Q52" s="31"/>
      <c r="R52" s="31">
        <v>10202.741404338019</v>
      </c>
      <c r="S52" s="31"/>
      <c r="T52" s="41">
        <f t="shared" si="34"/>
        <v>8.9689699043022084E-2</v>
      </c>
      <c r="U52" s="41">
        <f t="shared" si="28"/>
        <v>8.5986611641633473E-2</v>
      </c>
      <c r="V52" s="31">
        <v>11778.27408944767</v>
      </c>
      <c r="W52" s="31"/>
      <c r="X52" s="41">
        <f t="shared" si="35"/>
        <v>8.5834966400289092E-2</v>
      </c>
      <c r="Y52" s="41">
        <f t="shared" si="32"/>
        <v>8.4768106468276899E-2</v>
      </c>
      <c r="Z52" s="34">
        <v>41974</v>
      </c>
      <c r="AB52" s="41">
        <f t="shared" si="16"/>
        <v>8.4529965623676456E-2</v>
      </c>
    </row>
    <row r="53" spans="2:28" ht="9.9499999999999993" customHeight="1" x14ac:dyDescent="0.15">
      <c r="B53" s="34">
        <v>42012</v>
      </c>
      <c r="C53" s="31">
        <v>5222.633697634481</v>
      </c>
      <c r="D53" s="31"/>
      <c r="E53" s="41">
        <f t="shared" si="29"/>
        <v>7.7230475831575787E-2</v>
      </c>
      <c r="F53" s="30">
        <v>3093.86</v>
      </c>
      <c r="G53" s="31"/>
      <c r="H53" s="41">
        <f t="shared" si="30"/>
        <v>7.4817662990907335E-2</v>
      </c>
      <c r="I53" s="36"/>
      <c r="J53" s="40">
        <f t="shared" si="15"/>
        <v>26110.604335620708</v>
      </c>
      <c r="K53" s="41"/>
      <c r="L53" s="41"/>
      <c r="M53" s="31">
        <v>7003.9113771054272</v>
      </c>
      <c r="N53" s="31"/>
      <c r="O53" s="41">
        <f t="shared" si="33"/>
        <v>7.3859885656041291E-2</v>
      </c>
      <c r="P53" s="41">
        <f t="shared" si="31"/>
        <v>7.4742669993761696E-2</v>
      </c>
      <c r="Q53" s="31"/>
      <c r="R53" s="31">
        <v>8868.5915081097937</v>
      </c>
      <c r="S53" s="31"/>
      <c r="T53" s="41">
        <f t="shared" si="34"/>
        <v>7.7961527375345424E-2</v>
      </c>
      <c r="U53" s="41">
        <f t="shared" si="28"/>
        <v>7.4742669993761696E-2</v>
      </c>
      <c r="V53" s="31">
        <v>10238.101450405489</v>
      </c>
      <c r="W53" s="31"/>
      <c r="X53" s="41">
        <f t="shared" si="35"/>
        <v>7.4610854470233856E-2</v>
      </c>
      <c r="Y53" s="41">
        <f t="shared" si="32"/>
        <v>7.3683501265989826E-2</v>
      </c>
      <c r="Z53" s="34">
        <v>42005</v>
      </c>
      <c r="AB53" s="41">
        <f t="shared" si="16"/>
        <v>7.5696081264820719E-2</v>
      </c>
    </row>
    <row r="54" spans="2:28" ht="9.9499999999999993" customHeight="1" x14ac:dyDescent="0.15">
      <c r="B54" s="34">
        <v>42039</v>
      </c>
      <c r="C54" s="31">
        <v>4482.7598608583294</v>
      </c>
      <c r="D54" s="31"/>
      <c r="E54" s="41">
        <f t="shared" si="29"/>
        <v>6.6289480966200298E-2</v>
      </c>
      <c r="F54" s="30">
        <v>2539.4899999999998</v>
      </c>
      <c r="G54" s="31"/>
      <c r="H54" s="41">
        <f t="shared" si="30"/>
        <v>6.1411539949700132E-2</v>
      </c>
      <c r="I54" s="36"/>
      <c r="J54" s="40">
        <f t="shared" si="15"/>
        <v>22643.649167426462</v>
      </c>
      <c r="K54" s="41"/>
      <c r="L54" s="41"/>
      <c r="M54" s="31">
        <v>6073.9349416958585</v>
      </c>
      <c r="N54" s="31"/>
      <c r="O54" s="41">
        <f t="shared" si="33"/>
        <v>6.4052800802470375E-2</v>
      </c>
      <c r="P54" s="41">
        <f t="shared" si="31"/>
        <v>6.4818369403522244E-2</v>
      </c>
      <c r="Q54" s="31"/>
      <c r="R54" s="31">
        <v>7691.0236215749319</v>
      </c>
      <c r="S54" s="31"/>
      <c r="T54" s="41">
        <f t="shared" si="34"/>
        <v>6.7609828242685507E-2</v>
      </c>
      <c r="U54" s="41">
        <f t="shared" si="28"/>
        <v>6.4818369403522244E-2</v>
      </c>
      <c r="V54" s="31">
        <v>8878.6906041556704</v>
      </c>
      <c r="W54" s="31"/>
      <c r="X54" s="41">
        <f t="shared" si="35"/>
        <v>6.4704056290305137E-2</v>
      </c>
      <c r="Y54" s="41">
        <f t="shared" si="32"/>
        <v>6.3899836658263015E-2</v>
      </c>
      <c r="Z54" s="34">
        <v>42036</v>
      </c>
      <c r="AB54" s="41">
        <f t="shared" si="16"/>
        <v>6.4813541250272291E-2</v>
      </c>
    </row>
    <row r="55" spans="2:28" ht="9.9499999999999993" customHeight="1" x14ac:dyDescent="0.15">
      <c r="B55" s="34">
        <v>42067</v>
      </c>
      <c r="C55" s="31">
        <v>5474.268621063844</v>
      </c>
      <c r="D55" s="40">
        <f>SUM(C44:C55)</f>
        <v>67624.134095735135</v>
      </c>
      <c r="E55" s="41">
        <f t="shared" si="29"/>
        <v>8.0951564844786522E-2</v>
      </c>
      <c r="F55" s="30">
        <v>3137.62</v>
      </c>
      <c r="G55" s="40">
        <f>SUM(F44:F55)</f>
        <v>41352.490000000005</v>
      </c>
      <c r="H55" s="41">
        <f t="shared" si="30"/>
        <v>7.5875894757206422E-2</v>
      </c>
      <c r="I55" s="36"/>
      <c r="J55" s="40">
        <f t="shared" si="15"/>
        <v>28527.729017707181</v>
      </c>
      <c r="K55" s="41"/>
      <c r="L55" s="41"/>
      <c r="M55" s="31">
        <v>7652.2811675224339</v>
      </c>
      <c r="N55" s="40">
        <f>SUM(M44:M55)</f>
        <v>93707</v>
      </c>
      <c r="O55" s="41">
        <f t="shared" si="33"/>
        <v>8.0697282077071233E-2</v>
      </c>
      <c r="P55" s="41">
        <f t="shared" si="31"/>
        <v>8.1661787993665719E-2</v>
      </c>
      <c r="Q55" s="31"/>
      <c r="R55" s="31">
        <v>9689.5794543884058</v>
      </c>
      <c r="S55" s="40">
        <f>SUM(R44:R55)</f>
        <v>118654.99999999999</v>
      </c>
      <c r="T55" s="41">
        <f t="shared" si="34"/>
        <v>8.5178623144171781E-2</v>
      </c>
      <c r="U55" s="41">
        <f t="shared" si="28"/>
        <v>8.1661787993665719E-2</v>
      </c>
      <c r="V55" s="31">
        <v>11185.868395796344</v>
      </c>
      <c r="W55" s="40">
        <f>SUM(V44:V55)</f>
        <v>136977.99999999997</v>
      </c>
      <c r="X55" s="41">
        <f t="shared" si="35"/>
        <v>8.1517769973738108E-2</v>
      </c>
      <c r="Y55" s="41">
        <f t="shared" si="32"/>
        <v>8.0504569337922688E-2</v>
      </c>
      <c r="Z55" s="34">
        <v>42064</v>
      </c>
      <c r="AB55" s="41">
        <f t="shared" si="16"/>
        <v>8.0844226959394819E-2</v>
      </c>
    </row>
    <row r="56" spans="2:28" ht="9.9499999999999993" customHeight="1" x14ac:dyDescent="0.15">
      <c r="B56" s="34">
        <v>42095</v>
      </c>
      <c r="C56" s="31">
        <v>4911.22</v>
      </c>
      <c r="D56" s="31"/>
      <c r="E56" s="41">
        <f>C56/59766</f>
        <v>8.2174145835424831E-2</v>
      </c>
      <c r="F56" s="31">
        <v>3213.16</v>
      </c>
      <c r="G56" s="31"/>
      <c r="H56" s="41">
        <f>F56/40618</f>
        <v>7.9106799940912895E-2</v>
      </c>
      <c r="I56" s="36"/>
      <c r="J56" s="40">
        <f t="shared" si="15"/>
        <v>28392.12467885841</v>
      </c>
      <c r="K56" s="41"/>
      <c r="L56" s="41"/>
      <c r="M56" s="31">
        <v>8009.8359520671502</v>
      </c>
      <c r="N56" s="31"/>
      <c r="O56" s="41">
        <f t="shared" si="33"/>
        <v>8.4467883114167377E-2</v>
      </c>
      <c r="P56" s="41">
        <f>M56/97285</f>
        <v>8.2333720019192577E-2</v>
      </c>
      <c r="Q56" s="31"/>
      <c r="R56" s="31">
        <v>8939.3013173638155</v>
      </c>
      <c r="S56" s="31"/>
      <c r="T56" s="41">
        <f t="shared" si="34"/>
        <v>7.8583119284818523E-2</v>
      </c>
      <c r="U56" s="41">
        <f>R56/108574</f>
        <v>8.2333720019192577E-2</v>
      </c>
      <c r="V56" s="31">
        <v>11442.987409427442</v>
      </c>
      <c r="W56" s="31"/>
      <c r="X56" s="41">
        <f t="shared" si="35"/>
        <v>8.339154211796708E-2</v>
      </c>
      <c r="Y56" s="41">
        <f>V56/138983</f>
        <v>8.2333720019192577E-2</v>
      </c>
      <c r="Z56" s="34">
        <v>42095</v>
      </c>
      <c r="AB56" s="41">
        <f t="shared" si="16"/>
        <v>8.1544698058658133E-2</v>
      </c>
    </row>
    <row r="57" spans="2:28" ht="9.9499999999999993" customHeight="1" x14ac:dyDescent="0.15">
      <c r="B57" s="34">
        <v>42131</v>
      </c>
      <c r="C57" s="31">
        <v>5017.6899999999996</v>
      </c>
      <c r="D57" s="31"/>
      <c r="E57" s="41">
        <f t="shared" ref="E57:E67" si="36">C57/59766</f>
        <v>8.3955593481243512E-2</v>
      </c>
      <c r="F57" s="30">
        <v>3508.9</v>
      </c>
      <c r="G57" s="31"/>
      <c r="H57" s="41">
        <f t="shared" ref="H57:H67" si="37">F57/40618</f>
        <v>8.6387808360825255E-2</v>
      </c>
      <c r="I57" s="36"/>
      <c r="J57" s="40">
        <f t="shared" ref="J57:J88" si="38">V57+R57+M57</f>
        <v>28901.071735288224</v>
      </c>
      <c r="K57" s="41"/>
      <c r="L57" s="41"/>
      <c r="M57" s="31">
        <v>8153.4174020783857</v>
      </c>
      <c r="N57" s="31"/>
      <c r="O57" s="41">
        <f t="shared" si="33"/>
        <v>8.5982024128975779E-2</v>
      </c>
      <c r="P57" s="41">
        <f t="shared" ref="P57:P67" si="39">M57/97285</f>
        <v>8.3809604790855585E-2</v>
      </c>
      <c r="Q57" s="31"/>
      <c r="R57" s="31">
        <v>9099.5440305623542</v>
      </c>
      <c r="S57" s="31"/>
      <c r="T57" s="41">
        <f t="shared" si="34"/>
        <v>7.9991772131248945E-2</v>
      </c>
      <c r="U57" s="41">
        <f t="shared" ref="U57:U67" si="40">R57/108574</f>
        <v>8.3809604790855585E-2</v>
      </c>
      <c r="V57" s="31">
        <v>11648.110302647483</v>
      </c>
      <c r="W57" s="31"/>
      <c r="X57" s="41">
        <f t="shared" si="35"/>
        <v>8.4886389029642059E-2</v>
      </c>
      <c r="Y57" s="41">
        <f t="shared" ref="Y57:Y67" si="41">V57/138983</f>
        <v>8.3809604790855599E-2</v>
      </c>
      <c r="Z57" s="34">
        <v>42125</v>
      </c>
      <c r="AB57" s="41">
        <f t="shared" ref="AB57:AB88" si="42">AVERAGE(E57,O57,T57,X57,H57)</f>
        <v>8.4240717426387113E-2</v>
      </c>
    </row>
    <row r="58" spans="2:28" ht="9.9499999999999993" customHeight="1" x14ac:dyDescent="0.15">
      <c r="B58" s="34">
        <v>42158</v>
      </c>
      <c r="C58" s="31">
        <v>5245.7</v>
      </c>
      <c r="D58" s="31"/>
      <c r="E58" s="41">
        <f t="shared" si="36"/>
        <v>8.777063882474985E-2</v>
      </c>
      <c r="F58" s="30">
        <v>3648.39</v>
      </c>
      <c r="G58" s="31"/>
      <c r="H58" s="41">
        <f t="shared" si="37"/>
        <v>8.9822000098478502E-2</v>
      </c>
      <c r="I58" s="36"/>
      <c r="J58" s="40">
        <f t="shared" si="38"/>
        <v>29590.139972182911</v>
      </c>
      <c r="K58" s="41"/>
      <c r="L58" s="41"/>
      <c r="M58" s="31">
        <v>8347.8136862499778</v>
      </c>
      <c r="N58" s="31"/>
      <c r="O58" s="41">
        <f t="shared" si="33"/>
        <v>8.8032033980300739E-2</v>
      </c>
      <c r="P58" s="41">
        <f t="shared" si="39"/>
        <v>8.5807819152489875E-2</v>
      </c>
      <c r="Q58" s="31"/>
      <c r="R58" s="31">
        <v>9316.4981566624356</v>
      </c>
      <c r="S58" s="31"/>
      <c r="T58" s="41">
        <f t="shared" si="34"/>
        <v>8.1898960552959282E-2</v>
      </c>
      <c r="U58" s="41">
        <f t="shared" si="40"/>
        <v>8.5807819152489875E-2</v>
      </c>
      <c r="V58" s="31">
        <v>11925.8281292705</v>
      </c>
      <c r="W58" s="31"/>
      <c r="X58" s="41">
        <f t="shared" si="35"/>
        <v>8.6910276412115572E-2</v>
      </c>
      <c r="Y58" s="41">
        <f t="shared" si="41"/>
        <v>8.5807819152489875E-2</v>
      </c>
      <c r="Z58" s="34">
        <v>42156</v>
      </c>
      <c r="AB58" s="41">
        <f t="shared" si="42"/>
        <v>8.6886781973720795E-2</v>
      </c>
    </row>
    <row r="59" spans="2:28" ht="9.9499999999999993" customHeight="1" x14ac:dyDescent="0.15">
      <c r="B59" s="34">
        <v>42193</v>
      </c>
      <c r="C59" s="31">
        <v>5444.63</v>
      </c>
      <c r="D59" s="31"/>
      <c r="E59" s="41">
        <f t="shared" si="36"/>
        <v>9.1099119900947031E-2</v>
      </c>
      <c r="F59" s="30">
        <v>3828.38</v>
      </c>
      <c r="G59" s="31"/>
      <c r="H59" s="41">
        <f t="shared" si="37"/>
        <v>9.4253286720173329E-2</v>
      </c>
      <c r="I59" s="36"/>
      <c r="J59" s="40">
        <f t="shared" si="38"/>
        <v>31701.327761817705</v>
      </c>
      <c r="K59" s="41"/>
      <c r="L59" s="41"/>
      <c r="M59" s="31">
        <v>8943.4108122225116</v>
      </c>
      <c r="N59" s="31"/>
      <c r="O59" s="41">
        <f t="shared" si="33"/>
        <v>9.4312915226913346E-2</v>
      </c>
      <c r="P59" s="41">
        <f t="shared" si="39"/>
        <v>9.1930007834943844E-2</v>
      </c>
      <c r="Q59" s="31"/>
      <c r="R59" s="31">
        <v>9981.2086706711943</v>
      </c>
      <c r="S59" s="31"/>
      <c r="T59" s="41">
        <f t="shared" si="34"/>
        <v>8.7742261249263293E-2</v>
      </c>
      <c r="U59" s="41">
        <f t="shared" si="40"/>
        <v>9.1930007834943858E-2</v>
      </c>
      <c r="V59" s="31">
        <v>12776.708278924001</v>
      </c>
      <c r="W59" s="31"/>
      <c r="X59" s="41">
        <f t="shared" si="35"/>
        <v>9.3111122860545126E-2</v>
      </c>
      <c r="Y59" s="41">
        <f t="shared" si="41"/>
        <v>9.1930007834943844E-2</v>
      </c>
      <c r="Z59" s="34">
        <v>42186</v>
      </c>
      <c r="AB59" s="41">
        <f t="shared" si="42"/>
        <v>9.2103741191568417E-2</v>
      </c>
    </row>
    <row r="60" spans="2:28" ht="9.9499999999999993" customHeight="1" x14ac:dyDescent="0.15">
      <c r="B60" s="34">
        <v>42221</v>
      </c>
      <c r="C60" s="31">
        <v>5507.05</v>
      </c>
      <c r="D60" s="31"/>
      <c r="E60" s="41">
        <f t="shared" si="36"/>
        <v>9.2143526419703511E-2</v>
      </c>
      <c r="F60" s="31">
        <v>3788.74</v>
      </c>
      <c r="G60" s="31"/>
      <c r="H60" s="41">
        <f t="shared" si="37"/>
        <v>9.3277364715150912E-2</v>
      </c>
      <c r="I60" s="36"/>
      <c r="J60" s="40">
        <f t="shared" si="38"/>
        <v>30488.651442176291</v>
      </c>
      <c r="K60" s="41"/>
      <c r="L60" s="41"/>
      <c r="M60" s="31">
        <v>8601.2969868870987</v>
      </c>
      <c r="N60" s="40">
        <f>SUM(M49:M60)</f>
        <v>94826.667963575397</v>
      </c>
      <c r="O60" s="41">
        <f t="shared" si="33"/>
        <v>9.0705147129900757E-2</v>
      </c>
      <c r="P60" s="41">
        <f t="shared" si="39"/>
        <v>8.8413393502462856E-2</v>
      </c>
      <c r="Q60" s="31"/>
      <c r="R60" s="31">
        <v>9599.3957861364015</v>
      </c>
      <c r="S60" s="40">
        <f>SUM(R49:R60)</f>
        <v>113756.25299342749</v>
      </c>
      <c r="T60" s="41">
        <f t="shared" si="34"/>
        <v>8.4385841504064849E-2</v>
      </c>
      <c r="U60" s="41">
        <f t="shared" si="40"/>
        <v>8.8413393502462856E-2</v>
      </c>
      <c r="V60" s="31">
        <v>12287.958669152793</v>
      </c>
      <c r="W60" s="40">
        <f>SUM(V49:V60)</f>
        <v>137220.455396793</v>
      </c>
      <c r="X60" s="41">
        <f t="shared" si="35"/>
        <v>8.9549327132726952E-2</v>
      </c>
      <c r="Y60" s="41">
        <f t="shared" si="41"/>
        <v>8.8413393502462842E-2</v>
      </c>
      <c r="Z60" s="34">
        <v>42217</v>
      </c>
      <c r="AB60" s="41">
        <f t="shared" si="42"/>
        <v>9.0012241380309402E-2</v>
      </c>
    </row>
    <row r="61" spans="2:28" ht="9.9499999999999993" customHeight="1" x14ac:dyDescent="0.15">
      <c r="B61" s="34">
        <v>42249</v>
      </c>
      <c r="C61" s="31">
        <v>5124.37</v>
      </c>
      <c r="D61" s="31"/>
      <c r="E61" s="41">
        <f t="shared" si="36"/>
        <v>8.5740554830505633E-2</v>
      </c>
      <c r="F61" s="31">
        <v>3700.23</v>
      </c>
      <c r="G61" s="31"/>
      <c r="H61" s="41">
        <f t="shared" si="37"/>
        <v>9.1098281550051702E-2</v>
      </c>
      <c r="I61" s="36"/>
      <c r="J61" s="40">
        <f t="shared" si="38"/>
        <v>30795.485778665876</v>
      </c>
      <c r="K61" s="41"/>
      <c r="L61" s="41"/>
      <c r="M61" s="31">
        <v>8687.8594660090985</v>
      </c>
      <c r="N61" s="31"/>
      <c r="O61" s="41">
        <f>M61/96639</f>
        <v>8.9900138308644531E-2</v>
      </c>
      <c r="P61" s="41">
        <f t="shared" si="39"/>
        <v>8.9303175885379019E-2</v>
      </c>
      <c r="Q61" s="31"/>
      <c r="R61" s="31">
        <v>9696.003018579142</v>
      </c>
      <c r="S61" s="31"/>
      <c r="T61" s="41">
        <f>R61/104930</f>
        <v>9.2404488883819136E-2</v>
      </c>
      <c r="U61" s="41">
        <f t="shared" si="40"/>
        <v>8.9303175885379019E-2</v>
      </c>
      <c r="V61" s="31">
        <v>12411.623294077634</v>
      </c>
      <c r="W61" s="31"/>
      <c r="X61" s="41">
        <f>V61/143795</f>
        <v>8.6314707007042205E-2</v>
      </c>
      <c r="Y61" s="41">
        <f t="shared" si="41"/>
        <v>8.9303175885379033E-2</v>
      </c>
      <c r="Z61" s="34">
        <v>42248</v>
      </c>
      <c r="AB61" s="41">
        <f t="shared" si="42"/>
        <v>8.9091634116012647E-2</v>
      </c>
    </row>
    <row r="62" spans="2:28" ht="9.9499999999999993" customHeight="1" x14ac:dyDescent="0.15">
      <c r="B62" s="34">
        <v>42284</v>
      </c>
      <c r="C62" s="31">
        <v>5005.3</v>
      </c>
      <c r="D62" s="31"/>
      <c r="E62" s="41">
        <f t="shared" si="36"/>
        <v>8.3748284978081192E-2</v>
      </c>
      <c r="F62" s="30">
        <v>3571.69</v>
      </c>
      <c r="G62" s="31"/>
      <c r="H62" s="41">
        <f t="shared" si="37"/>
        <v>8.7933674725491157E-2</v>
      </c>
      <c r="I62" s="36"/>
      <c r="J62" s="40">
        <f t="shared" si="38"/>
        <v>29538.826380073733</v>
      </c>
      <c r="K62" s="41"/>
      <c r="L62" s="41"/>
      <c r="M62" s="31">
        <v>8333.3373672159232</v>
      </c>
      <c r="N62" s="31"/>
      <c r="O62" s="41">
        <f t="shared" ref="O62:O72" si="43">M62/96639</f>
        <v>8.6231618365421037E-2</v>
      </c>
      <c r="P62" s="41">
        <f t="shared" si="39"/>
        <v>8.5659015955346904E-2</v>
      </c>
      <c r="Q62" s="31"/>
      <c r="R62" s="31">
        <v>9300.3419983358344</v>
      </c>
      <c r="S62" s="31"/>
      <c r="T62" s="41">
        <f t="shared" ref="T62:T72" si="44">R62/104930</f>
        <v>8.8633774881690983E-2</v>
      </c>
      <c r="U62" s="41">
        <f t="shared" si="40"/>
        <v>8.5659015955346904E-2</v>
      </c>
      <c r="V62" s="31">
        <v>11905.147014521977</v>
      </c>
      <c r="W62" s="31"/>
      <c r="X62" s="41">
        <f t="shared" ref="X62:X72" si="45">V62/143795</f>
        <v>8.2792496363030543E-2</v>
      </c>
      <c r="Y62" s="41">
        <f t="shared" si="41"/>
        <v>8.565901595534689E-2</v>
      </c>
      <c r="Z62" s="34">
        <v>42278</v>
      </c>
      <c r="AB62" s="41">
        <f t="shared" si="42"/>
        <v>8.586796986274299E-2</v>
      </c>
    </row>
    <row r="63" spans="2:28" ht="9.9499999999999993" customHeight="1" x14ac:dyDescent="0.15">
      <c r="B63" s="34">
        <v>42312</v>
      </c>
      <c r="C63" s="31">
        <v>4810.2299999999996</v>
      </c>
      <c r="D63" s="31"/>
      <c r="E63" s="41">
        <f t="shared" si="36"/>
        <v>8.0484389117558466E-2</v>
      </c>
      <c r="F63" s="31">
        <v>3233.36</v>
      </c>
      <c r="G63" s="31"/>
      <c r="H63" s="41">
        <f t="shared" si="37"/>
        <v>7.9604116401595357E-2</v>
      </c>
      <c r="I63" s="36"/>
      <c r="J63" s="40">
        <f t="shared" si="38"/>
        <v>27977.427077322998</v>
      </c>
      <c r="K63" s="41"/>
      <c r="L63" s="41"/>
      <c r="M63" s="31">
        <v>7892.8436594654013</v>
      </c>
      <c r="N63" s="31"/>
      <c r="O63" s="41">
        <f t="shared" si="43"/>
        <v>8.167348233596583E-2</v>
      </c>
      <c r="P63" s="41">
        <f t="shared" si="39"/>
        <v>8.1131147242281973E-2</v>
      </c>
      <c r="Q63" s="31"/>
      <c r="R63" s="31">
        <v>8808.7331806835227</v>
      </c>
      <c r="S63" s="31"/>
      <c r="T63" s="41">
        <f t="shared" si="44"/>
        <v>8.394866273404672E-2</v>
      </c>
      <c r="U63" s="41">
        <f t="shared" si="40"/>
        <v>8.1131147242281973E-2</v>
      </c>
      <c r="V63" s="31">
        <v>11275.850237174076</v>
      </c>
      <c r="W63" s="31"/>
      <c r="X63" s="41">
        <f t="shared" si="45"/>
        <v>7.8416149637846072E-2</v>
      </c>
      <c r="Y63" s="41">
        <f t="shared" si="41"/>
        <v>8.1131147242281973E-2</v>
      </c>
      <c r="Z63" s="34">
        <v>42309</v>
      </c>
      <c r="AB63" s="41">
        <f t="shared" si="42"/>
        <v>8.0825360045402486E-2</v>
      </c>
    </row>
    <row r="64" spans="2:28" ht="9.9499999999999993" customHeight="1" x14ac:dyDescent="0.15">
      <c r="B64" s="34">
        <v>42340</v>
      </c>
      <c r="C64" s="31">
        <v>5090.9399999999996</v>
      </c>
      <c r="D64" s="31"/>
      <c r="E64" s="41">
        <f t="shared" si="36"/>
        <v>8.5181206706153992E-2</v>
      </c>
      <c r="F64" s="31">
        <v>3359.44</v>
      </c>
      <c r="G64" s="31"/>
      <c r="H64" s="41">
        <f t="shared" si="37"/>
        <v>8.2708158944310411E-2</v>
      </c>
      <c r="I64" s="36"/>
      <c r="J64" s="40">
        <f t="shared" si="38"/>
        <v>30357.749421489611</v>
      </c>
      <c r="K64" s="41"/>
      <c r="L64" s="41"/>
      <c r="M64" s="31">
        <v>8564.3676015961428</v>
      </c>
      <c r="N64" s="31"/>
      <c r="O64" s="41">
        <f t="shared" si="43"/>
        <v>8.8622270528421684E-2</v>
      </c>
      <c r="P64" s="41">
        <f t="shared" si="39"/>
        <v>8.8033793509751171E-2</v>
      </c>
      <c r="Q64" s="31"/>
      <c r="R64" s="31">
        <v>9558.1810965277236</v>
      </c>
      <c r="S64" s="31"/>
      <c r="T64" s="41">
        <f t="shared" si="44"/>
        <v>9.109102350641117E-2</v>
      </c>
      <c r="U64" s="41">
        <f t="shared" si="40"/>
        <v>8.8033793509751171E-2</v>
      </c>
      <c r="V64" s="31">
        <v>12235.200723365746</v>
      </c>
      <c r="W64" s="31"/>
      <c r="X64" s="41">
        <f t="shared" si="45"/>
        <v>8.508780363271147E-2</v>
      </c>
      <c r="Y64" s="41">
        <f t="shared" si="41"/>
        <v>8.8033793509751157E-2</v>
      </c>
      <c r="Z64" s="34">
        <v>42339</v>
      </c>
      <c r="AB64" s="41">
        <f t="shared" si="42"/>
        <v>8.6538092663601754E-2</v>
      </c>
    </row>
    <row r="65" spans="2:28" ht="9.9499999999999993" customHeight="1" x14ac:dyDescent="0.15">
      <c r="B65" s="34">
        <v>42375</v>
      </c>
      <c r="C65" s="31">
        <v>4515.71</v>
      </c>
      <c r="D65" s="31"/>
      <c r="E65" s="41">
        <f t="shared" si="36"/>
        <v>7.5556503697754573E-2</v>
      </c>
      <c r="F65" s="31">
        <v>2915.17</v>
      </c>
      <c r="G65" s="31"/>
      <c r="H65" s="41">
        <f t="shared" si="37"/>
        <v>7.1770397360776006E-2</v>
      </c>
      <c r="I65" s="36"/>
      <c r="J65" s="40">
        <f t="shared" si="38"/>
        <v>24933.169684233537</v>
      </c>
      <c r="K65" s="41"/>
      <c r="L65" s="41"/>
      <c r="M65" s="31">
        <v>7034.0138751389331</v>
      </c>
      <c r="N65" s="31"/>
      <c r="O65" s="41">
        <f t="shared" si="43"/>
        <v>7.2786492773506892E-2</v>
      </c>
      <c r="P65" s="41">
        <f t="shared" si="39"/>
        <v>7.230316981177913E-2</v>
      </c>
      <c r="Q65" s="31"/>
      <c r="R65" s="31">
        <v>7850.2443591441079</v>
      </c>
      <c r="S65" s="31"/>
      <c r="T65" s="41">
        <f t="shared" si="44"/>
        <v>7.4814108063891244E-2</v>
      </c>
      <c r="U65" s="41">
        <f t="shared" si="40"/>
        <v>7.230316981177913E-2</v>
      </c>
      <c r="V65" s="31">
        <v>10048.911449950499</v>
      </c>
      <c r="W65" s="31"/>
      <c r="X65" s="41">
        <f t="shared" si="45"/>
        <v>6.988359435272784E-2</v>
      </c>
      <c r="Y65" s="41">
        <f t="shared" si="41"/>
        <v>7.230316981177913E-2</v>
      </c>
      <c r="Z65" s="34">
        <v>42370</v>
      </c>
      <c r="AB65" s="41">
        <f t="shared" si="42"/>
        <v>7.2962219249731314E-2</v>
      </c>
    </row>
    <row r="66" spans="2:28" ht="9.9499999999999993" customHeight="1" x14ac:dyDescent="0.15">
      <c r="B66" s="34">
        <v>42403</v>
      </c>
      <c r="C66" s="31">
        <v>4193.24</v>
      </c>
      <c r="D66" s="31"/>
      <c r="E66" s="41">
        <f t="shared" si="36"/>
        <v>7.0160961081551385E-2</v>
      </c>
      <c r="F66" s="31">
        <v>2728.16</v>
      </c>
      <c r="G66" s="31"/>
      <c r="H66" s="41">
        <f t="shared" si="37"/>
        <v>6.716628095918066E-2</v>
      </c>
      <c r="I66" s="36"/>
      <c r="J66" s="40">
        <f t="shared" si="38"/>
        <v>23775.995821363278</v>
      </c>
      <c r="K66" s="41"/>
      <c r="L66" s="41"/>
      <c r="M66" s="31">
        <v>6707.5581091668846</v>
      </c>
      <c r="N66" s="31"/>
      <c r="O66" s="41">
        <f t="shared" si="43"/>
        <v>6.9408397325788601E-2</v>
      </c>
      <c r="P66" s="41">
        <f t="shared" si="39"/>
        <v>6.894750587620789E-2</v>
      </c>
      <c r="Q66" s="31"/>
      <c r="R66" s="31">
        <v>7485.9065030033953</v>
      </c>
      <c r="S66" s="31"/>
      <c r="T66" s="41">
        <f t="shared" si="44"/>
        <v>7.1341908920264888E-2</v>
      </c>
      <c r="U66" s="41">
        <f t="shared" si="40"/>
        <v>6.894750587620789E-2</v>
      </c>
      <c r="V66" s="31">
        <v>9582.5312091930009</v>
      </c>
      <c r="W66" s="31"/>
      <c r="X66" s="41">
        <f t="shared" si="45"/>
        <v>6.6640225384700449E-2</v>
      </c>
      <c r="Y66" s="41">
        <f t="shared" si="41"/>
        <v>6.894750587620789E-2</v>
      </c>
      <c r="Z66" s="34">
        <v>42401</v>
      </c>
      <c r="AB66" s="41">
        <f t="shared" si="42"/>
        <v>6.8943554734297183E-2</v>
      </c>
    </row>
    <row r="67" spans="2:28" ht="9.9499999999999993" customHeight="1" x14ac:dyDescent="0.15">
      <c r="B67" s="34">
        <v>42431</v>
      </c>
      <c r="C67" s="31">
        <v>4900.29</v>
      </c>
      <c r="D67" s="40">
        <f>SUM(C56:C67)</f>
        <v>59766.37</v>
      </c>
      <c r="E67" s="41">
        <f t="shared" si="36"/>
        <v>8.1991265937154903E-2</v>
      </c>
      <c r="F67" s="31">
        <v>3122.56</v>
      </c>
      <c r="G67" s="40">
        <f>SUM(F56:F67)</f>
        <v>40618.179999999993</v>
      </c>
      <c r="H67" s="41">
        <f t="shared" si="37"/>
        <v>7.6876261755871783E-2</v>
      </c>
      <c r="I67" s="36"/>
      <c r="J67" s="40">
        <f t="shared" si="38"/>
        <v>28390.030246527422</v>
      </c>
      <c r="K67" s="41"/>
      <c r="L67" s="41"/>
      <c r="M67" s="31">
        <v>8009.2450819024943</v>
      </c>
      <c r="N67" s="40">
        <f>SUM(M56:M67)</f>
        <v>97285</v>
      </c>
      <c r="O67" s="41">
        <f t="shared" si="43"/>
        <v>8.2877979717324204E-2</v>
      </c>
      <c r="P67" s="41">
        <f t="shared" si="39"/>
        <v>8.2327646419309189E-2</v>
      </c>
      <c r="Q67" s="31"/>
      <c r="R67" s="31">
        <v>8938.6418823300755</v>
      </c>
      <c r="S67" s="40">
        <f>SUM(R56:R67)</f>
        <v>108574.00000000001</v>
      </c>
      <c r="T67" s="41">
        <f t="shared" si="44"/>
        <v>8.5186713831412131E-2</v>
      </c>
      <c r="U67" s="41">
        <f t="shared" si="40"/>
        <v>8.2327646419309189E-2</v>
      </c>
      <c r="V67" s="31">
        <v>11442.143282294848</v>
      </c>
      <c r="W67" s="40">
        <f>SUM(V56:V67)</f>
        <v>138983</v>
      </c>
      <c r="X67" s="41">
        <f t="shared" si="45"/>
        <v>7.9572608799296549E-2</v>
      </c>
      <c r="Y67" s="41">
        <f t="shared" si="41"/>
        <v>8.2327646419309189E-2</v>
      </c>
      <c r="Z67" s="34">
        <v>42430</v>
      </c>
      <c r="AB67" s="41">
        <f t="shared" si="42"/>
        <v>8.1300966008211906E-2</v>
      </c>
    </row>
    <row r="68" spans="2:28" ht="9.9499999999999993" customHeight="1" x14ac:dyDescent="0.15">
      <c r="B68" s="34">
        <v>42461</v>
      </c>
      <c r="C68" s="31">
        <v>4802.12</v>
      </c>
      <c r="D68" s="31"/>
      <c r="E68" s="41">
        <f>C68/59719</f>
        <v>8.0411929201761587E-2</v>
      </c>
      <c r="F68" s="31">
        <v>3162.5</v>
      </c>
      <c r="G68" s="31"/>
      <c r="H68" s="41">
        <f>F68/40432</f>
        <v>7.8217748318163832E-2</v>
      </c>
      <c r="I68" s="36"/>
      <c r="J68" s="40">
        <f t="shared" si="38"/>
        <v>27232.268472520966</v>
      </c>
      <c r="K68" s="41"/>
      <c r="L68" s="41"/>
      <c r="M68" s="31">
        <v>7538.2372178224805</v>
      </c>
      <c r="N68" s="31"/>
      <c r="O68" s="41">
        <f t="shared" si="43"/>
        <v>7.8004089630713078E-2</v>
      </c>
      <c r="P68" s="41">
        <f>M68/94588</f>
        <v>7.9695492217009348E-2</v>
      </c>
      <c r="Q68" s="31"/>
      <c r="R68" s="31">
        <v>7880.8481388634045</v>
      </c>
      <c r="S68" s="31"/>
      <c r="T68" s="41">
        <f t="shared" si="44"/>
        <v>7.5105767071985172E-2</v>
      </c>
      <c r="U68" s="41">
        <f>R68/98887</f>
        <v>7.9695492217009362E-2</v>
      </c>
      <c r="V68" s="31">
        <v>11813.18311583508</v>
      </c>
      <c r="W68" s="31"/>
      <c r="X68" s="41">
        <f t="shared" si="45"/>
        <v>8.2152947709135088E-2</v>
      </c>
      <c r="Y68" s="41">
        <f>V68/148229</f>
        <v>7.9695492217009362E-2</v>
      </c>
      <c r="Z68" s="34">
        <v>42461</v>
      </c>
      <c r="AB68" s="41">
        <f t="shared" si="42"/>
        <v>7.8778496386351746E-2</v>
      </c>
    </row>
    <row r="69" spans="2:28" ht="9.9499999999999993" customHeight="1" x14ac:dyDescent="0.15">
      <c r="B69" s="34">
        <v>42492</v>
      </c>
      <c r="C69" s="31">
        <v>5502.55</v>
      </c>
      <c r="D69" s="31"/>
      <c r="E69" s="41">
        <f t="shared" ref="E69:E79" si="46">C69/59719</f>
        <v>9.2140692242000041E-2</v>
      </c>
      <c r="F69" s="31">
        <v>3654.06</v>
      </c>
      <c r="G69" s="31"/>
      <c r="H69" s="41">
        <f t="shared" ref="H69:H79" si="47">F69/40432</f>
        <v>9.0375445191927181E-2</v>
      </c>
      <c r="I69" s="36"/>
      <c r="J69" s="40">
        <f t="shared" si="38"/>
        <v>30036.962507249089</v>
      </c>
      <c r="K69" s="41"/>
      <c r="L69" s="41"/>
      <c r="M69" s="31">
        <v>8314.6120901004288</v>
      </c>
      <c r="N69" s="31"/>
      <c r="O69" s="41">
        <f t="shared" si="43"/>
        <v>8.6037853145214963E-2</v>
      </c>
      <c r="P69" s="41">
        <f t="shared" ref="P69:P79" si="48">M69/94588</f>
        <v>8.7903455936275521E-2</v>
      </c>
      <c r="Q69" s="31"/>
      <c r="R69" s="31">
        <v>8692.5090471704771</v>
      </c>
      <c r="S69" s="31"/>
      <c r="T69" s="41">
        <f t="shared" si="44"/>
        <v>8.2841027801110051E-2</v>
      </c>
      <c r="U69" s="41">
        <f t="shared" ref="U69:U79" si="49">R69/98887</f>
        <v>8.7903455936275521E-2</v>
      </c>
      <c r="V69" s="31">
        <v>13029.841369978183</v>
      </c>
      <c r="W69" s="31"/>
      <c r="X69" s="41">
        <f t="shared" si="45"/>
        <v>9.0614008623235737E-2</v>
      </c>
      <c r="Y69" s="41">
        <f t="shared" ref="Y69:Y79" si="50">V69/148229</f>
        <v>8.7903455936275507E-2</v>
      </c>
      <c r="Z69" s="34">
        <v>42491</v>
      </c>
      <c r="AB69" s="41">
        <f t="shared" si="42"/>
        <v>8.84018054006976E-2</v>
      </c>
    </row>
    <row r="70" spans="2:28" ht="9.9499999999999993" customHeight="1" x14ac:dyDescent="0.15">
      <c r="B70" s="34">
        <v>42522</v>
      </c>
      <c r="C70" s="31">
        <v>4991.43</v>
      </c>
      <c r="D70" s="31"/>
      <c r="E70" s="41">
        <f t="shared" si="46"/>
        <v>8.3581942095480505E-2</v>
      </c>
      <c r="F70" s="31">
        <v>3658.47</v>
      </c>
      <c r="G70" s="31"/>
      <c r="H70" s="41">
        <f t="shared" si="47"/>
        <v>9.0484517214087845E-2</v>
      </c>
      <c r="I70" s="36"/>
      <c r="J70" s="40">
        <f t="shared" si="38"/>
        <v>29714.029511848621</v>
      </c>
      <c r="K70" s="41"/>
      <c r="L70" s="41"/>
      <c r="M70" s="31">
        <v>8225.2201421895479</v>
      </c>
      <c r="N70" s="31"/>
      <c r="O70" s="41">
        <f t="shared" si="43"/>
        <v>8.5112844112517183E-2</v>
      </c>
      <c r="P70" s="41">
        <f t="shared" si="48"/>
        <v>8.6958389459440399E-2</v>
      </c>
      <c r="Q70" s="31"/>
      <c r="R70" s="31">
        <v>8599.0542584756822</v>
      </c>
      <c r="S70" s="31"/>
      <c r="T70" s="41">
        <f t="shared" si="44"/>
        <v>8.1950388434915492E-2</v>
      </c>
      <c r="U70" s="41">
        <f t="shared" si="49"/>
        <v>8.6958389459440399E-2</v>
      </c>
      <c r="V70" s="31">
        <v>12889.755111183389</v>
      </c>
      <c r="W70" s="31"/>
      <c r="X70" s="41">
        <f t="shared" si="45"/>
        <v>8.9639800488079485E-2</v>
      </c>
      <c r="Y70" s="41">
        <f t="shared" si="50"/>
        <v>8.6958389459440386E-2</v>
      </c>
      <c r="Z70" s="34">
        <v>42522</v>
      </c>
      <c r="AB70" s="41">
        <f t="shared" si="42"/>
        <v>8.6153898469016096E-2</v>
      </c>
    </row>
    <row r="71" spans="2:28" ht="9.9499999999999993" customHeight="1" x14ac:dyDescent="0.15">
      <c r="B71" s="34">
        <v>42552</v>
      </c>
      <c r="C71" s="31">
        <v>5226.55</v>
      </c>
      <c r="D71" s="31"/>
      <c r="E71" s="41">
        <f t="shared" si="46"/>
        <v>8.75190475393091E-2</v>
      </c>
      <c r="F71" s="31">
        <v>3848.64</v>
      </c>
      <c r="G71" s="31"/>
      <c r="H71" s="41">
        <f t="shared" si="47"/>
        <v>9.518796992481203E-2</v>
      </c>
      <c r="I71" s="36"/>
      <c r="J71" s="40">
        <f t="shared" si="38"/>
        <v>30565.398317904408</v>
      </c>
      <c r="K71" s="41"/>
      <c r="L71" s="41"/>
      <c r="M71" s="31">
        <v>8460.889823045507</v>
      </c>
      <c r="N71" s="31"/>
      <c r="O71" s="41">
        <f t="shared" si="43"/>
        <v>8.7551504289629517E-2</v>
      </c>
      <c r="P71" s="41">
        <f t="shared" si="48"/>
        <v>8.944992835291482E-2</v>
      </c>
      <c r="Q71" s="31"/>
      <c r="R71" s="31">
        <v>8845.4350650346878</v>
      </c>
      <c r="S71" s="31"/>
      <c r="T71" s="41">
        <f t="shared" si="44"/>
        <v>8.4298437673064788E-2</v>
      </c>
      <c r="U71" s="41">
        <f t="shared" si="49"/>
        <v>8.944992835291482E-2</v>
      </c>
      <c r="V71" s="31">
        <v>13259.073429824211</v>
      </c>
      <c r="W71" s="31"/>
      <c r="X71" s="41">
        <f t="shared" si="45"/>
        <v>9.2208167389855086E-2</v>
      </c>
      <c r="Y71" s="41">
        <f t="shared" si="50"/>
        <v>8.944992835291482E-2</v>
      </c>
      <c r="Z71" s="34">
        <v>42552</v>
      </c>
      <c r="AB71" s="41">
        <f t="shared" si="42"/>
        <v>8.9353025363334102E-2</v>
      </c>
    </row>
    <row r="72" spans="2:28" ht="9.9499999999999993" customHeight="1" x14ac:dyDescent="0.15">
      <c r="B72" s="34">
        <v>42585</v>
      </c>
      <c r="C72" s="31">
        <v>5805.25</v>
      </c>
      <c r="D72" s="31"/>
      <c r="E72" s="41">
        <f t="shared" si="46"/>
        <v>9.7209430834407806E-2</v>
      </c>
      <c r="F72" s="31">
        <v>3988.3</v>
      </c>
      <c r="G72" s="31"/>
      <c r="H72" s="41">
        <f t="shared" si="47"/>
        <v>9.864216462208153E-2</v>
      </c>
      <c r="I72" s="36"/>
      <c r="J72" s="40">
        <f t="shared" si="38"/>
        <v>32046.905858491638</v>
      </c>
      <c r="K72" s="41"/>
      <c r="L72" s="41"/>
      <c r="M72" s="31">
        <v>8870.9898957665318</v>
      </c>
      <c r="N72" s="40">
        <f>SUM(M61:M72)</f>
        <v>96639.174329419373</v>
      </c>
      <c r="O72" s="41">
        <f t="shared" si="43"/>
        <v>9.1795133390934633E-2</v>
      </c>
      <c r="P72" s="41">
        <f t="shared" si="48"/>
        <v>9.3785574235278599E-2</v>
      </c>
      <c r="Q72" s="31"/>
      <c r="R72" s="31">
        <v>9274.1740794039943</v>
      </c>
      <c r="S72" s="40">
        <f>SUM(R61:R72)</f>
        <v>104930.07262755206</v>
      </c>
      <c r="T72" s="41">
        <f t="shared" si="44"/>
        <v>8.8384390349795047E-2</v>
      </c>
      <c r="U72" s="41">
        <f t="shared" si="49"/>
        <v>9.3785574235278599E-2</v>
      </c>
      <c r="V72" s="31">
        <v>13901.74188332111</v>
      </c>
      <c r="W72" s="40">
        <f>SUM(V61:V72)</f>
        <v>143795.00212071976</v>
      </c>
      <c r="X72" s="41">
        <f t="shared" si="45"/>
        <v>9.6677505360555721E-2</v>
      </c>
      <c r="Y72" s="41">
        <f t="shared" si="50"/>
        <v>9.3785574235278599E-2</v>
      </c>
      <c r="Z72" s="34">
        <v>42583</v>
      </c>
      <c r="AB72" s="41">
        <f t="shared" si="42"/>
        <v>9.454172491155495E-2</v>
      </c>
    </row>
    <row r="73" spans="2:28" ht="9.9499999999999993" customHeight="1" x14ac:dyDescent="0.15">
      <c r="B73" s="34">
        <v>42614</v>
      </c>
      <c r="C73" s="31">
        <v>5310.79</v>
      </c>
      <c r="D73" s="31"/>
      <c r="E73" s="41">
        <f t="shared" si="46"/>
        <v>8.8929653878999981E-2</v>
      </c>
      <c r="F73" s="31">
        <v>3674.49</v>
      </c>
      <c r="G73" s="31"/>
      <c r="H73" s="41">
        <f t="shared" si="47"/>
        <v>9.0880738029283731E-2</v>
      </c>
      <c r="I73" s="36"/>
      <c r="J73" s="40">
        <f t="shared" si="38"/>
        <v>30283.356188804646</v>
      </c>
      <c r="K73" s="41"/>
      <c r="L73" s="41"/>
      <c r="M73" s="31">
        <v>8382.8169854220432</v>
      </c>
      <c r="N73" s="31"/>
      <c r="O73" s="31"/>
      <c r="P73" s="41">
        <f t="shared" si="48"/>
        <v>8.8624529384510126E-2</v>
      </c>
      <c r="Q73" s="31"/>
      <c r="R73" s="31">
        <v>8763.8138372460526</v>
      </c>
      <c r="S73" s="31"/>
      <c r="T73" s="31"/>
      <c r="U73" s="41">
        <f t="shared" si="49"/>
        <v>8.8624529384510126E-2</v>
      </c>
      <c r="V73" s="31">
        <v>13136.72536613655</v>
      </c>
      <c r="W73" s="31"/>
      <c r="X73" s="31"/>
      <c r="Y73" s="41">
        <f t="shared" si="50"/>
        <v>8.8624529384510112E-2</v>
      </c>
      <c r="Z73" s="34">
        <v>42614</v>
      </c>
      <c r="AB73" s="41">
        <f t="shared" si="42"/>
        <v>8.9905195954141856E-2</v>
      </c>
    </row>
    <row r="74" spans="2:28" ht="9.9499999999999993" customHeight="1" x14ac:dyDescent="0.15">
      <c r="B74" s="34">
        <v>42647</v>
      </c>
      <c r="C74" s="31">
        <v>4948.62</v>
      </c>
      <c r="D74" s="31"/>
      <c r="E74" s="41">
        <f t="shared" si="46"/>
        <v>8.2865084813878331E-2</v>
      </c>
      <c r="F74" s="31">
        <v>3668.54</v>
      </c>
      <c r="G74" s="31"/>
      <c r="H74" s="41">
        <f t="shared" si="47"/>
        <v>9.0733577364463788E-2</v>
      </c>
      <c r="I74" s="36"/>
      <c r="J74" s="40">
        <f t="shared" si="38"/>
        <v>29457.150992780062</v>
      </c>
      <c r="K74" s="41"/>
      <c r="L74" s="41"/>
      <c r="M74" s="31">
        <v>8154.1129108968007</v>
      </c>
      <c r="N74" s="31"/>
      <c r="O74" s="31"/>
      <c r="P74" s="41">
        <f t="shared" si="48"/>
        <v>8.6206632034685163E-2</v>
      </c>
      <c r="Q74" s="31"/>
      <c r="R74" s="31">
        <v>8524.7152220139124</v>
      </c>
      <c r="S74" s="31"/>
      <c r="T74" s="31"/>
      <c r="U74" s="41">
        <f t="shared" si="49"/>
        <v>8.6206632034685163E-2</v>
      </c>
      <c r="V74" s="31">
        <v>12778.322859869348</v>
      </c>
      <c r="W74" s="31"/>
      <c r="X74" s="31"/>
      <c r="Y74" s="41">
        <f t="shared" si="50"/>
        <v>8.6206632034685163E-2</v>
      </c>
      <c r="Z74" s="34">
        <v>42644</v>
      </c>
      <c r="AB74" s="41">
        <f t="shared" si="42"/>
        <v>8.6799331089171067E-2</v>
      </c>
    </row>
    <row r="75" spans="2:28" ht="9.9499999999999993" customHeight="1" x14ac:dyDescent="0.15">
      <c r="B75" s="34">
        <v>42678</v>
      </c>
      <c r="C75" s="31">
        <v>4702.2700000000004</v>
      </c>
      <c r="D75" s="31"/>
      <c r="E75" s="41">
        <f t="shared" si="46"/>
        <v>7.8739932014936634E-2</v>
      </c>
      <c r="F75" s="31">
        <v>3240.38</v>
      </c>
      <c r="G75" s="31"/>
      <c r="H75" s="41">
        <f t="shared" si="47"/>
        <v>8.0143945389790264E-2</v>
      </c>
      <c r="I75" s="36"/>
      <c r="J75" s="40">
        <f t="shared" si="38"/>
        <v>27966.207098431129</v>
      </c>
      <c r="K75" s="41"/>
      <c r="L75" s="41"/>
      <c r="M75" s="31">
        <v>7741.400735801757</v>
      </c>
      <c r="N75" s="31"/>
      <c r="O75" s="31"/>
      <c r="P75" s="41">
        <f t="shared" si="48"/>
        <v>8.1843370573452839E-2</v>
      </c>
      <c r="Q75" s="31"/>
      <c r="R75" s="31">
        <v>8093.2453858970312</v>
      </c>
      <c r="S75" s="31"/>
      <c r="T75" s="31"/>
      <c r="U75" s="41">
        <f t="shared" si="49"/>
        <v>8.1843370573452839E-2</v>
      </c>
      <c r="V75" s="31">
        <v>12131.56097673234</v>
      </c>
      <c r="W75" s="31"/>
      <c r="X75" s="31"/>
      <c r="Y75" s="41">
        <f t="shared" si="50"/>
        <v>8.1843370573452839E-2</v>
      </c>
      <c r="Z75" s="34">
        <v>42675</v>
      </c>
      <c r="AB75" s="41">
        <f t="shared" si="42"/>
        <v>7.9441938702363449E-2</v>
      </c>
    </row>
    <row r="76" spans="2:28" ht="9.9499999999999993" customHeight="1" x14ac:dyDescent="0.15">
      <c r="B76" s="34">
        <v>42705</v>
      </c>
      <c r="C76" s="31">
        <v>5076.05</v>
      </c>
      <c r="D76" s="31"/>
      <c r="E76" s="41">
        <f t="shared" si="46"/>
        <v>8.4998911569182337E-2</v>
      </c>
      <c r="F76" s="31">
        <v>3200.46</v>
      </c>
      <c r="G76" s="31"/>
      <c r="H76" s="41">
        <f t="shared" si="47"/>
        <v>7.915660862683023E-2</v>
      </c>
      <c r="I76" s="36"/>
      <c r="J76" s="40">
        <f t="shared" si="38"/>
        <v>28756.763846911505</v>
      </c>
      <c r="K76" s="41"/>
      <c r="L76" s="41"/>
      <c r="M76" s="31">
        <v>7960.2368680251484</v>
      </c>
      <c r="N76" s="31"/>
      <c r="O76" s="31"/>
      <c r="P76" s="41">
        <f t="shared" si="48"/>
        <v>8.4156942403107671E-2</v>
      </c>
      <c r="Q76" s="31"/>
      <c r="R76" s="31">
        <v>8322.027563416108</v>
      </c>
      <c r="S76" s="31"/>
      <c r="T76" s="31"/>
      <c r="U76" s="41">
        <f t="shared" si="49"/>
        <v>8.4156942403107671E-2</v>
      </c>
      <c r="V76" s="31">
        <v>12474.499415470247</v>
      </c>
      <c r="W76" s="31"/>
      <c r="X76" s="31"/>
      <c r="Y76" s="41">
        <f t="shared" si="50"/>
        <v>8.4156942403107671E-2</v>
      </c>
      <c r="Z76" s="34">
        <v>42705</v>
      </c>
      <c r="AB76" s="41">
        <f t="shared" si="42"/>
        <v>8.2077760098006283E-2</v>
      </c>
    </row>
    <row r="77" spans="2:28" ht="9.9499999999999993" customHeight="1" x14ac:dyDescent="0.15">
      <c r="B77" s="34">
        <v>42741</v>
      </c>
      <c r="C77" s="31">
        <v>4597.87</v>
      </c>
      <c r="D77" s="31"/>
      <c r="E77" s="41">
        <f t="shared" si="46"/>
        <v>7.6991744670875259E-2</v>
      </c>
      <c r="F77" s="31">
        <v>2885.05</v>
      </c>
      <c r="G77" s="31"/>
      <c r="H77" s="41">
        <f t="shared" si="47"/>
        <v>7.1355609418282548E-2</v>
      </c>
      <c r="I77" s="36"/>
      <c r="J77" s="40">
        <f t="shared" si="38"/>
        <v>25351.288622688349</v>
      </c>
      <c r="K77" s="41"/>
      <c r="L77" s="41"/>
      <c r="M77" s="31">
        <v>7017.5581446013075</v>
      </c>
      <c r="N77" s="31"/>
      <c r="O77" s="31"/>
      <c r="P77" s="41">
        <f t="shared" si="48"/>
        <v>7.4190786829209918E-2</v>
      </c>
      <c r="Q77" s="31"/>
      <c r="R77" s="31">
        <v>7336.5043371800812</v>
      </c>
      <c r="S77" s="31"/>
      <c r="T77" s="31"/>
      <c r="U77" s="41">
        <f t="shared" si="49"/>
        <v>7.4190786829209918E-2</v>
      </c>
      <c r="V77" s="31">
        <v>10997.226140906958</v>
      </c>
      <c r="W77" s="31"/>
      <c r="X77" s="31"/>
      <c r="Y77" s="41">
        <f t="shared" si="50"/>
        <v>7.4190786829209918E-2</v>
      </c>
      <c r="Z77" s="34">
        <v>42736</v>
      </c>
      <c r="AB77" s="41">
        <f t="shared" si="42"/>
        <v>7.4173677044578903E-2</v>
      </c>
    </row>
    <row r="78" spans="2:28" ht="9.9499999999999993" customHeight="1" x14ac:dyDescent="0.15">
      <c r="B78" s="34">
        <v>42767</v>
      </c>
      <c r="C78" s="31">
        <v>3936.52</v>
      </c>
      <c r="D78" s="31"/>
      <c r="E78" s="41">
        <f t="shared" si="46"/>
        <v>6.5917379728394648E-2</v>
      </c>
      <c r="F78" s="31">
        <v>2475.5</v>
      </c>
      <c r="G78" s="31"/>
      <c r="H78" s="41">
        <f t="shared" si="47"/>
        <v>6.1226256430550061E-2</v>
      </c>
      <c r="I78" s="36"/>
      <c r="J78" s="40">
        <f t="shared" si="38"/>
        <v>22734.273179442964</v>
      </c>
      <c r="K78" s="41"/>
      <c r="L78" s="41"/>
      <c r="M78" s="31">
        <v>6293.135086206632</v>
      </c>
      <c r="N78" s="31"/>
      <c r="O78" s="31"/>
      <c r="P78" s="41">
        <f t="shared" si="48"/>
        <v>6.6532066289662878E-2</v>
      </c>
      <c r="Q78" s="31"/>
      <c r="R78" s="31">
        <v>6579.1564391858929</v>
      </c>
      <c r="S78" s="31"/>
      <c r="T78" s="31"/>
      <c r="U78" s="41">
        <f t="shared" si="49"/>
        <v>6.6532066289662878E-2</v>
      </c>
      <c r="V78" s="31">
        <v>9861.981654050438</v>
      </c>
      <c r="W78" s="31"/>
      <c r="X78" s="31"/>
      <c r="Y78" s="41">
        <f t="shared" si="50"/>
        <v>6.6532066289662878E-2</v>
      </c>
      <c r="Z78" s="34">
        <v>42767</v>
      </c>
      <c r="AB78" s="41">
        <f t="shared" si="42"/>
        <v>6.3571818079472348E-2</v>
      </c>
    </row>
    <row r="79" spans="2:28" ht="9.9499999999999993" customHeight="1" x14ac:dyDescent="0.15">
      <c r="B79" s="34">
        <v>42797</v>
      </c>
      <c r="C79" s="31">
        <v>4818.8599999999997</v>
      </c>
      <c r="D79" s="40">
        <f>SUM(C68:C79)</f>
        <v>59718.880000000005</v>
      </c>
      <c r="E79" s="41">
        <f t="shared" si="46"/>
        <v>8.0692242000033484E-2</v>
      </c>
      <c r="F79" s="31">
        <v>2975.21</v>
      </c>
      <c r="G79" s="40">
        <f>SUM(F68:F79)</f>
        <v>40431.599999999999</v>
      </c>
      <c r="H79" s="41">
        <f t="shared" si="47"/>
        <v>7.3585526315789476E-2</v>
      </c>
      <c r="I79" s="36"/>
      <c r="J79" s="40">
        <f t="shared" si="38"/>
        <v>27559.395402926639</v>
      </c>
      <c r="K79" s="41"/>
      <c r="L79" s="41"/>
      <c r="M79" s="31">
        <v>7628.7901001218152</v>
      </c>
      <c r="N79" s="40">
        <f>SUM(M68:M79)</f>
        <v>94588</v>
      </c>
      <c r="O79" s="31"/>
      <c r="P79" s="41">
        <f t="shared" si="48"/>
        <v>8.0652832284452733E-2</v>
      </c>
      <c r="Q79" s="31"/>
      <c r="R79" s="31">
        <v>7975.5166261126778</v>
      </c>
      <c r="S79" s="40">
        <f>SUM(R68:R79)</f>
        <v>98887</v>
      </c>
      <c r="T79" s="31"/>
      <c r="U79" s="41">
        <f t="shared" si="49"/>
        <v>8.0652832284452733E-2</v>
      </c>
      <c r="V79" s="31">
        <v>11955.088676692145</v>
      </c>
      <c r="W79" s="40">
        <f>SUM(V68:V79)</f>
        <v>148229</v>
      </c>
      <c r="X79" s="31"/>
      <c r="Y79" s="41">
        <f t="shared" si="50"/>
        <v>8.0652832284452733E-2</v>
      </c>
      <c r="Z79" s="34">
        <v>42795</v>
      </c>
      <c r="AB79" s="41">
        <f t="shared" si="42"/>
        <v>7.713888415791148E-2</v>
      </c>
    </row>
    <row r="80" spans="2:28" ht="9.9499999999999993" customHeight="1" x14ac:dyDescent="0.15">
      <c r="B80" s="34">
        <v>42828</v>
      </c>
      <c r="C80" s="31">
        <v>4574.25</v>
      </c>
      <c r="D80" s="31"/>
      <c r="E80" s="41">
        <f>C80/60216</f>
        <v>7.5964029493822235E-2</v>
      </c>
      <c r="F80" s="31">
        <v>2943.86</v>
      </c>
      <c r="G80" s="31"/>
      <c r="H80" s="41">
        <f>F80/40748</f>
        <v>7.2245508982035925E-2</v>
      </c>
      <c r="I80" s="36"/>
      <c r="J80" s="40">
        <f t="shared" si="38"/>
        <v>24343.564904198178</v>
      </c>
      <c r="K80" s="36"/>
      <c r="L80" s="36"/>
      <c r="M80" s="52">
        <f>88886*AB80</f>
        <v>6586.8765184825643</v>
      </c>
      <c r="N80" s="31"/>
      <c r="O80" s="31"/>
      <c r="P80" s="31"/>
      <c r="Q80" s="31"/>
      <c r="R80" s="52">
        <f>116021*AB80</f>
        <v>8597.7094317537703</v>
      </c>
      <c r="S80" s="31"/>
      <c r="T80" s="31"/>
      <c r="U80" s="31"/>
      <c r="V80" s="52">
        <f>123595*AB80</f>
        <v>9158.978953961845</v>
      </c>
      <c r="W80" s="31"/>
      <c r="X80" s="36"/>
      <c r="Y80" s="36"/>
      <c r="Z80" s="34">
        <v>42826</v>
      </c>
      <c r="AB80" s="41">
        <f t="shared" si="42"/>
        <v>7.410476923792908E-2</v>
      </c>
    </row>
    <row r="81" spans="2:28" ht="9.9499999999999993" customHeight="1" x14ac:dyDescent="0.15">
      <c r="B81" s="34">
        <v>42857</v>
      </c>
      <c r="C81" s="31">
        <v>5535.09</v>
      </c>
      <c r="D81" s="31"/>
      <c r="E81" s="41">
        <f t="shared" ref="E81:E91" si="51">C81/60216</f>
        <v>9.1920585890793147E-2</v>
      </c>
      <c r="F81" s="31">
        <v>3705.96</v>
      </c>
      <c r="G81" s="31"/>
      <c r="H81" s="41">
        <f t="shared" ref="H81:H91" si="52">F81/40748</f>
        <v>9.094826739962697E-2</v>
      </c>
      <c r="I81" s="36"/>
      <c r="J81" s="40">
        <f t="shared" si="38"/>
        <v>30036.392021804797</v>
      </c>
      <c r="K81" s="36"/>
      <c r="L81" s="36"/>
      <c r="M81" s="52">
        <f t="shared" ref="M81:M91" si="53">88886*AB81</f>
        <v>8127.2404467861415</v>
      </c>
      <c r="N81" s="31"/>
      <c r="O81" s="31"/>
      <c r="P81" s="31"/>
      <c r="Q81" s="31"/>
      <c r="R81" s="52">
        <f t="shared" ref="R81:R91" si="54">116021*AB81</f>
        <v>10608.313613803917</v>
      </c>
      <c r="S81" s="31"/>
      <c r="T81" s="31"/>
      <c r="U81" s="31"/>
      <c r="V81" s="52">
        <f t="shared" ref="V81:V91" si="55">123595*AB81</f>
        <v>11300.837961214738</v>
      </c>
      <c r="W81" s="31"/>
      <c r="X81" s="36"/>
      <c r="Y81" s="36"/>
      <c r="Z81" s="34">
        <v>42856</v>
      </c>
      <c r="AB81" s="41">
        <f t="shared" si="42"/>
        <v>9.1434426645210065E-2</v>
      </c>
    </row>
    <row r="82" spans="2:28" ht="9.9499999999999993" customHeight="1" x14ac:dyDescent="0.15">
      <c r="B82" s="34">
        <v>42887</v>
      </c>
      <c r="C82" s="31">
        <v>5442.01</v>
      </c>
      <c r="D82" s="31"/>
      <c r="E82" s="41">
        <f t="shared" si="51"/>
        <v>9.0374817324299195E-2</v>
      </c>
      <c r="F82" s="31">
        <v>3770.52</v>
      </c>
      <c r="G82" s="31"/>
      <c r="H82" s="41">
        <f t="shared" si="52"/>
        <v>9.2532639638755271E-2</v>
      </c>
      <c r="I82" s="36"/>
      <c r="J82" s="40">
        <f t="shared" si="38"/>
        <v>30042.732713638659</v>
      </c>
      <c r="K82" s="36"/>
      <c r="L82" s="36"/>
      <c r="M82" s="52">
        <f t="shared" si="53"/>
        <v>8128.9561098090298</v>
      </c>
      <c r="N82" s="31"/>
      <c r="O82" s="31"/>
      <c r="P82" s="31"/>
      <c r="Q82" s="31"/>
      <c r="R82" s="52">
        <f t="shared" si="54"/>
        <v>10610.553032155271</v>
      </c>
      <c r="S82" s="31"/>
      <c r="T82" s="31"/>
      <c r="U82" s="31"/>
      <c r="V82" s="52">
        <f t="shared" si="55"/>
        <v>11303.223571674358</v>
      </c>
      <c r="W82" s="31"/>
      <c r="X82" s="36"/>
      <c r="Y82" s="36"/>
      <c r="Z82" s="34">
        <v>42887</v>
      </c>
      <c r="AB82" s="41">
        <f t="shared" si="42"/>
        <v>9.1453728481527233E-2</v>
      </c>
    </row>
    <row r="83" spans="2:28" ht="9.9499999999999993" customHeight="1" x14ac:dyDescent="0.15">
      <c r="B83" s="34">
        <v>42919</v>
      </c>
      <c r="C83" s="31">
        <v>5365.97</v>
      </c>
      <c r="D83" s="31"/>
      <c r="E83" s="41">
        <f t="shared" si="51"/>
        <v>8.911203002524247E-2</v>
      </c>
      <c r="F83" s="31">
        <v>3885.4</v>
      </c>
      <c r="G83" s="31"/>
      <c r="H83" s="41">
        <f t="shared" si="52"/>
        <v>9.5351919112594483E-2</v>
      </c>
      <c r="I83" s="36"/>
      <c r="J83" s="40">
        <f t="shared" si="38"/>
        <v>30298.388109838859</v>
      </c>
      <c r="K83" s="36"/>
      <c r="L83" s="36"/>
      <c r="M83" s="52">
        <f t="shared" si="53"/>
        <v>8198.1312915328872</v>
      </c>
      <c r="N83" s="31"/>
      <c r="O83" s="31"/>
      <c r="P83" s="31"/>
      <c r="Q83" s="31"/>
      <c r="R83" s="52">
        <f t="shared" si="54"/>
        <v>10700.84592146049</v>
      </c>
      <c r="S83" s="31"/>
      <c r="T83" s="31"/>
      <c r="U83" s="31"/>
      <c r="V83" s="52">
        <f t="shared" si="55"/>
        <v>11399.410896845478</v>
      </c>
      <c r="W83" s="31"/>
      <c r="X83" s="36"/>
      <c r="Y83" s="36"/>
      <c r="Z83" s="34">
        <v>42917</v>
      </c>
      <c r="AB83" s="41">
        <f t="shared" si="42"/>
        <v>9.2231974568918476E-2</v>
      </c>
    </row>
    <row r="84" spans="2:28" ht="9.9499999999999993" customHeight="1" x14ac:dyDescent="0.15">
      <c r="B84" s="34">
        <v>42948</v>
      </c>
      <c r="C84" s="31">
        <v>5947.22</v>
      </c>
      <c r="D84" s="31"/>
      <c r="E84" s="41">
        <f t="shared" si="51"/>
        <v>9.8764780124883753E-2</v>
      </c>
      <c r="F84" s="31">
        <v>4267.82</v>
      </c>
      <c r="G84" s="31"/>
      <c r="H84" s="41">
        <f t="shared" si="52"/>
        <v>0.10473691960341611</v>
      </c>
      <c r="I84" s="36"/>
      <c r="J84" s="40">
        <f t="shared" si="38"/>
        <v>33425.35768207298</v>
      </c>
      <c r="K84" s="36"/>
      <c r="L84" s="36"/>
      <c r="M84" s="52">
        <f t="shared" si="53"/>
        <v>9044.2260410248309</v>
      </c>
      <c r="N84" s="31"/>
      <c r="O84" s="31"/>
      <c r="P84" s="31"/>
      <c r="Q84" s="31"/>
      <c r="R84" s="52">
        <f t="shared" si="54"/>
        <v>11805.235352088539</v>
      </c>
      <c r="S84" s="31"/>
      <c r="T84" s="31"/>
      <c r="U84" s="31"/>
      <c r="V84" s="52">
        <f t="shared" si="55"/>
        <v>12575.89628895961</v>
      </c>
      <c r="W84" s="31"/>
      <c r="X84" s="36"/>
      <c r="Y84" s="36"/>
      <c r="Z84" s="34">
        <v>42948</v>
      </c>
      <c r="AB84" s="41">
        <f t="shared" si="42"/>
        <v>0.10175084986414992</v>
      </c>
    </row>
    <row r="85" spans="2:28" ht="9.9499999999999993" customHeight="1" x14ac:dyDescent="0.15">
      <c r="B85" s="34">
        <v>42979</v>
      </c>
      <c r="C85" s="31">
        <v>5135.9799999999996</v>
      </c>
      <c r="D85" s="31"/>
      <c r="E85" s="41">
        <f t="shared" si="51"/>
        <v>8.5292613258934502E-2</v>
      </c>
      <c r="F85" s="31">
        <v>3661.59</v>
      </c>
      <c r="G85" s="31"/>
      <c r="H85" s="41">
        <f t="shared" si="52"/>
        <v>8.9859379601452835E-2</v>
      </c>
      <c r="I85" s="36"/>
      <c r="J85" s="40">
        <f t="shared" si="38"/>
        <v>28768.889979311483</v>
      </c>
      <c r="K85" s="36"/>
      <c r="L85" s="36"/>
      <c r="M85" s="52">
        <f t="shared" si="53"/>
        <v>7784.280018694195</v>
      </c>
      <c r="N85" s="31"/>
      <c r="O85" s="31"/>
      <c r="P85" s="31"/>
      <c r="Q85" s="31"/>
      <c r="R85" s="52">
        <f t="shared" si="54"/>
        <v>10160.6546818275</v>
      </c>
      <c r="S85" s="31"/>
      <c r="T85" s="31"/>
      <c r="U85" s="31"/>
      <c r="V85" s="52">
        <f t="shared" si="55"/>
        <v>10823.955278789786</v>
      </c>
      <c r="W85" s="31"/>
      <c r="X85" s="36"/>
      <c r="Y85" s="36"/>
      <c r="Z85" s="34">
        <v>42979</v>
      </c>
      <c r="AB85" s="41">
        <f t="shared" si="42"/>
        <v>8.7575996430193676E-2</v>
      </c>
    </row>
    <row r="86" spans="2:28" ht="9.9499999999999993" customHeight="1" x14ac:dyDescent="0.15">
      <c r="B86" s="34">
        <v>43010</v>
      </c>
      <c r="C86" s="31">
        <v>5397.84</v>
      </c>
      <c r="D86" s="31"/>
      <c r="E86" s="41">
        <f t="shared" si="51"/>
        <v>8.964129135113591E-2</v>
      </c>
      <c r="F86" s="31">
        <v>3700.68</v>
      </c>
      <c r="G86" s="31"/>
      <c r="H86" s="41">
        <f t="shared" si="52"/>
        <v>9.0818690487876705E-2</v>
      </c>
      <c r="I86" s="36"/>
      <c r="J86" s="40">
        <f t="shared" si="38"/>
        <v>29640.732477039666</v>
      </c>
      <c r="K86" s="36"/>
      <c r="L86" s="36"/>
      <c r="M86" s="52">
        <f t="shared" si="53"/>
        <v>8020.1829728712382</v>
      </c>
      <c r="N86" s="31"/>
      <c r="O86" s="31"/>
      <c r="P86" s="31"/>
      <c r="Q86" s="31"/>
      <c r="R86" s="52">
        <f t="shared" si="54"/>
        <v>10468.573776472042</v>
      </c>
      <c r="S86" s="31"/>
      <c r="T86" s="31"/>
      <c r="U86" s="31"/>
      <c r="V86" s="52">
        <f t="shared" si="55"/>
        <v>11151.975727696383</v>
      </c>
      <c r="W86" s="31"/>
      <c r="X86" s="36"/>
      <c r="Y86" s="36"/>
      <c r="Z86" s="34">
        <v>43009</v>
      </c>
      <c r="AB86" s="41">
        <f t="shared" si="42"/>
        <v>9.0229990919506314E-2</v>
      </c>
    </row>
    <row r="87" spans="2:28" ht="9.9499999999999993" customHeight="1" x14ac:dyDescent="0.15">
      <c r="B87" s="34">
        <v>43055</v>
      </c>
      <c r="C87" s="31">
        <v>4808.5200000000004</v>
      </c>
      <c r="D87" s="31"/>
      <c r="E87" s="41">
        <f t="shared" si="51"/>
        <v>7.9854523714627354E-2</v>
      </c>
      <c r="F87" s="31">
        <v>3337.72</v>
      </c>
      <c r="G87" s="31"/>
      <c r="H87" s="41">
        <f t="shared" si="52"/>
        <v>8.1911259448316481E-2</v>
      </c>
      <c r="I87" s="36"/>
      <c r="J87" s="40">
        <f t="shared" si="38"/>
        <v>26570.191650296685</v>
      </c>
      <c r="K87" s="36"/>
      <c r="L87" s="36"/>
      <c r="M87" s="52">
        <f t="shared" si="53"/>
        <v>7189.3567011107125</v>
      </c>
      <c r="N87" s="31"/>
      <c r="O87" s="31"/>
      <c r="P87" s="31"/>
      <c r="Q87" s="31"/>
      <c r="R87" s="52">
        <f t="shared" si="54"/>
        <v>9384.1139641739519</v>
      </c>
      <c r="S87" s="31"/>
      <c r="T87" s="31"/>
      <c r="U87" s="31"/>
      <c r="V87" s="52">
        <f t="shared" si="55"/>
        <v>9996.7209850120216</v>
      </c>
      <c r="W87" s="31"/>
      <c r="X87" s="36"/>
      <c r="Y87" s="36"/>
      <c r="Z87" s="34">
        <v>43040</v>
      </c>
      <c r="AB87" s="41">
        <f t="shared" si="42"/>
        <v>8.0882891581471911E-2</v>
      </c>
    </row>
    <row r="88" spans="2:28" ht="9.9499999999999993" customHeight="1" x14ac:dyDescent="0.15">
      <c r="B88" s="34">
        <v>43070</v>
      </c>
      <c r="C88" s="31">
        <v>4770.28</v>
      </c>
      <c r="D88" s="31"/>
      <c r="E88" s="41">
        <f t="shared" si="51"/>
        <v>7.921947655108276E-2</v>
      </c>
      <c r="F88" s="31">
        <v>3094.41</v>
      </c>
      <c r="G88" s="31"/>
      <c r="H88" s="41">
        <f t="shared" si="52"/>
        <v>7.5940168842642583E-2</v>
      </c>
      <c r="I88" s="36"/>
      <c r="J88" s="40">
        <f t="shared" si="38"/>
        <v>25485.126915564779</v>
      </c>
      <c r="K88" s="36"/>
      <c r="L88" s="36"/>
      <c r="M88" s="52">
        <f t="shared" si="53"/>
        <v>6895.7601202333353</v>
      </c>
      <c r="N88" s="31"/>
      <c r="O88" s="31"/>
      <c r="P88" s="31"/>
      <c r="Q88" s="31"/>
      <c r="R88" s="52">
        <f t="shared" si="54"/>
        <v>9000.8886091127042</v>
      </c>
      <c r="S88" s="31"/>
      <c r="T88" s="31"/>
      <c r="U88" s="31"/>
      <c r="V88" s="52">
        <f t="shared" si="55"/>
        <v>9588.478186218741</v>
      </c>
      <c r="W88" s="31"/>
      <c r="X88" s="36"/>
      <c r="Y88" s="36"/>
      <c r="Z88" s="34">
        <v>43070</v>
      </c>
      <c r="AB88" s="41">
        <f t="shared" si="42"/>
        <v>7.7579822696862671E-2</v>
      </c>
    </row>
    <row r="89" spans="2:28" ht="9.9499999999999993" customHeight="1" x14ac:dyDescent="0.15">
      <c r="B89" s="34">
        <v>43105</v>
      </c>
      <c r="C89" s="31">
        <v>4593.75</v>
      </c>
      <c r="D89" s="31"/>
      <c r="E89" s="41">
        <f t="shared" si="51"/>
        <v>7.6287863690713428E-2</v>
      </c>
      <c r="F89" s="31">
        <v>2901.53</v>
      </c>
      <c r="G89" s="31"/>
      <c r="H89" s="41">
        <f t="shared" si="52"/>
        <v>7.1206684990674396E-2</v>
      </c>
      <c r="I89" s="36"/>
      <c r="J89" s="40">
        <f t="shared" ref="J89:J103" si="56">V89+R89+M89</f>
        <v>24226.127115466632</v>
      </c>
      <c r="K89" s="36"/>
      <c r="L89" s="36"/>
      <c r="M89" s="52">
        <f t="shared" si="53"/>
        <v>6555.1002270469198</v>
      </c>
      <c r="N89" s="31"/>
      <c r="O89" s="31"/>
      <c r="P89" s="31"/>
      <c r="Q89" s="31"/>
      <c r="R89" s="52">
        <f t="shared" si="54"/>
        <v>8556.2325162816487</v>
      </c>
      <c r="S89" s="31"/>
      <c r="T89" s="31"/>
      <c r="U89" s="31"/>
      <c r="V89" s="52">
        <f t="shared" si="55"/>
        <v>9114.7943721380652</v>
      </c>
      <c r="W89" s="31"/>
      <c r="X89" s="36"/>
      <c r="Y89" s="36"/>
      <c r="Z89" s="34">
        <v>43101</v>
      </c>
      <c r="AB89" s="41">
        <f t="shared" ref="AB89:AB103" si="57">AVERAGE(E89,O89,T89,X89,H89)</f>
        <v>7.3747274340693919E-2</v>
      </c>
    </row>
    <row r="90" spans="2:28" ht="9.9499999999999993" customHeight="1" x14ac:dyDescent="0.15">
      <c r="B90" s="34">
        <v>43132</v>
      </c>
      <c r="C90" s="31">
        <v>3827.41</v>
      </c>
      <c r="D90" s="31"/>
      <c r="E90" s="41">
        <f t="shared" si="51"/>
        <v>6.3561345821708512E-2</v>
      </c>
      <c r="F90" s="31">
        <v>2403.42</v>
      </c>
      <c r="G90" s="31"/>
      <c r="H90" s="41">
        <f t="shared" si="52"/>
        <v>5.8982526749779135E-2</v>
      </c>
      <c r="I90" s="36"/>
      <c r="J90" s="40">
        <f t="shared" si="56"/>
        <v>20127.953613739417</v>
      </c>
      <c r="K90" s="36"/>
      <c r="L90" s="36"/>
      <c r="M90" s="52">
        <f t="shared" si="53"/>
        <v>5446.2173286946254</v>
      </c>
      <c r="N90" s="31"/>
      <c r="O90" s="31"/>
      <c r="P90" s="31"/>
      <c r="Q90" s="31"/>
      <c r="R90" s="52">
        <f t="shared" si="54"/>
        <v>7108.8313198082842</v>
      </c>
      <c r="S90" s="31"/>
      <c r="T90" s="31"/>
      <c r="U90" s="31"/>
      <c r="V90" s="52">
        <f t="shared" si="55"/>
        <v>7572.9049652365075</v>
      </c>
      <c r="W90" s="31"/>
      <c r="X90" s="36"/>
      <c r="Y90" s="36"/>
      <c r="Z90" s="34">
        <v>43132</v>
      </c>
      <c r="AB90" s="41">
        <f t="shared" si="57"/>
        <v>6.1271936285743824E-2</v>
      </c>
    </row>
    <row r="91" spans="2:28" ht="9.9499999999999993" customHeight="1" x14ac:dyDescent="0.15">
      <c r="B91" s="34">
        <v>43160</v>
      </c>
      <c r="C91" s="31">
        <v>4817.8999999999996</v>
      </c>
      <c r="D91" s="40">
        <f>SUM(C80:C91)</f>
        <v>60216.220000000008</v>
      </c>
      <c r="E91" s="41">
        <f t="shared" si="51"/>
        <v>8.0010296266772946E-2</v>
      </c>
      <c r="F91" s="31">
        <v>3074.8</v>
      </c>
      <c r="G91" s="40">
        <f>SUM(F80:F91)</f>
        <v>40747.71</v>
      </c>
      <c r="H91" s="41">
        <f t="shared" si="52"/>
        <v>7.5458918229115546E-2</v>
      </c>
      <c r="I91" s="36"/>
      <c r="J91" s="40">
        <f t="shared" si="56"/>
        <v>25535.973950164182</v>
      </c>
      <c r="K91" s="52">
        <f>W91+S91+N91</f>
        <v>328502</v>
      </c>
      <c r="L91" s="36"/>
      <c r="M91" s="52">
        <f t="shared" si="53"/>
        <v>6909.5182998407727</v>
      </c>
      <c r="N91" s="67">
        <v>88886</v>
      </c>
      <c r="O91" s="31"/>
      <c r="P91" s="31"/>
      <c r="Q91" s="31"/>
      <c r="R91" s="52">
        <f t="shared" si="54"/>
        <v>9018.8468675137392</v>
      </c>
      <c r="S91" s="67">
        <v>116021</v>
      </c>
      <c r="T91" s="31"/>
      <c r="U91" s="31"/>
      <c r="V91" s="52">
        <f t="shared" si="55"/>
        <v>9607.6087828096697</v>
      </c>
      <c r="W91" s="67">
        <v>123595</v>
      </c>
      <c r="X91" s="36"/>
      <c r="Y91" s="36"/>
      <c r="Z91" s="34">
        <v>43160</v>
      </c>
      <c r="AB91" s="41">
        <f t="shared" si="57"/>
        <v>7.7734607247944246E-2</v>
      </c>
    </row>
    <row r="92" spans="2:28" ht="9.9499999999999993" customHeight="1" x14ac:dyDescent="0.15">
      <c r="B92" s="34">
        <v>43192</v>
      </c>
      <c r="C92" s="31">
        <v>4824.92</v>
      </c>
      <c r="D92" s="31"/>
      <c r="E92" s="41">
        <f>C92/58890</f>
        <v>8.1931057904567839E-2</v>
      </c>
      <c r="F92" s="30">
        <v>2997.38</v>
      </c>
      <c r="G92" s="31"/>
      <c r="H92" s="41">
        <f>F92/40445</f>
        <v>7.4110025961181852E-2</v>
      </c>
      <c r="I92" s="36"/>
      <c r="J92" s="40">
        <f t="shared" si="56"/>
        <v>29059</v>
      </c>
      <c r="K92" s="36"/>
      <c r="L92" s="36"/>
      <c r="M92" s="31">
        <v>8260</v>
      </c>
      <c r="N92" s="31"/>
      <c r="O92" s="31"/>
      <c r="P92" s="31"/>
      <c r="Q92" s="31"/>
      <c r="R92" s="31">
        <v>7180</v>
      </c>
      <c r="S92" s="31"/>
      <c r="T92" s="31"/>
      <c r="U92" s="31"/>
      <c r="V92" s="31">
        <v>13619</v>
      </c>
      <c r="W92" s="31"/>
      <c r="X92" s="36"/>
      <c r="Y92" s="36"/>
      <c r="Z92" s="34">
        <v>43191</v>
      </c>
      <c r="AB92" s="41">
        <f t="shared" si="57"/>
        <v>7.8020541932874846E-2</v>
      </c>
    </row>
    <row r="93" spans="2:28" ht="9.9499999999999993" customHeight="1" x14ac:dyDescent="0.15">
      <c r="B93" s="34">
        <v>43221</v>
      </c>
      <c r="C93" s="31">
        <v>5632.88</v>
      </c>
      <c r="D93" s="31"/>
      <c r="E93" s="41">
        <f t="shared" ref="E93:E103" si="58">C93/58890</f>
        <v>9.5650874511801667E-2</v>
      </c>
      <c r="F93" s="30">
        <v>3801.51</v>
      </c>
      <c r="G93" s="31"/>
      <c r="H93" s="41">
        <f t="shared" ref="H93:H103" si="59">F93/40445</f>
        <v>9.3992088020768957E-2</v>
      </c>
      <c r="I93" s="36"/>
      <c r="J93" s="40">
        <f t="shared" si="56"/>
        <v>26089</v>
      </c>
      <c r="K93" s="36"/>
      <c r="L93" s="36"/>
      <c r="M93" s="31">
        <v>5792</v>
      </c>
      <c r="N93" s="31"/>
      <c r="O93" s="31"/>
      <c r="P93" s="31"/>
      <c r="Q93" s="31"/>
      <c r="R93" s="31">
        <v>8158</v>
      </c>
      <c r="S93" s="31"/>
      <c r="T93" s="31"/>
      <c r="U93" s="31"/>
      <c r="V93" s="31">
        <v>12139</v>
      </c>
      <c r="W93" s="31"/>
      <c r="X93" s="36"/>
      <c r="Y93" s="36"/>
      <c r="Z93" s="34">
        <v>43221</v>
      </c>
      <c r="AB93" s="41">
        <f t="shared" si="57"/>
        <v>9.4821481266285312E-2</v>
      </c>
    </row>
    <row r="94" spans="2:28" ht="9.9499999999999993" customHeight="1" x14ac:dyDescent="0.15">
      <c r="B94" s="34">
        <v>43252</v>
      </c>
      <c r="C94" s="31">
        <v>5064.37</v>
      </c>
      <c r="D94" s="31"/>
      <c r="E94" s="41">
        <f t="shared" si="58"/>
        <v>8.5997113262013924E-2</v>
      </c>
      <c r="F94" s="31">
        <v>3646.96</v>
      </c>
      <c r="G94" s="31"/>
      <c r="H94" s="41">
        <f t="shared" si="59"/>
        <v>9.0170849301520584E-2</v>
      </c>
      <c r="I94" s="36"/>
      <c r="J94" s="40">
        <f t="shared" si="56"/>
        <v>23505</v>
      </c>
      <c r="K94" s="36"/>
      <c r="L94" s="36"/>
      <c r="M94" s="31">
        <v>9199</v>
      </c>
      <c r="N94" s="31"/>
      <c r="O94" s="31"/>
      <c r="P94" s="31"/>
      <c r="Q94" s="31"/>
      <c r="R94" s="66">
        <v>2246</v>
      </c>
      <c r="S94" s="31"/>
      <c r="T94" s="31"/>
      <c r="U94" s="31"/>
      <c r="V94" s="31">
        <v>12060</v>
      </c>
      <c r="W94" s="31"/>
      <c r="X94" s="36"/>
      <c r="Y94" s="36"/>
      <c r="Z94" s="34">
        <v>43252</v>
      </c>
      <c r="AB94" s="41">
        <f t="shared" si="57"/>
        <v>8.8083981281767254E-2</v>
      </c>
    </row>
    <row r="95" spans="2:28" ht="9.9499999999999993" customHeight="1" x14ac:dyDescent="0.15">
      <c r="B95" s="34">
        <v>43283</v>
      </c>
      <c r="C95" s="31">
        <v>5485.96</v>
      </c>
      <c r="D95" s="31"/>
      <c r="E95" s="41">
        <f t="shared" si="58"/>
        <v>9.3156053659364912E-2</v>
      </c>
      <c r="F95" s="31">
        <v>3865.93</v>
      </c>
      <c r="G95" s="31"/>
      <c r="H95" s="41">
        <f t="shared" si="59"/>
        <v>9.5584868339720602E-2</v>
      </c>
      <c r="I95" s="36"/>
      <c r="J95" s="40">
        <f t="shared" si="56"/>
        <v>23312</v>
      </c>
      <c r="K95" s="36"/>
      <c r="L95" s="36"/>
      <c r="M95" s="31">
        <v>5673</v>
      </c>
      <c r="N95" s="31"/>
      <c r="O95" s="31"/>
      <c r="P95" s="31"/>
      <c r="Q95" s="31"/>
      <c r="R95" s="31">
        <v>8431</v>
      </c>
      <c r="S95" s="31"/>
      <c r="T95" s="31"/>
      <c r="U95" s="31"/>
      <c r="V95" s="31">
        <v>9208</v>
      </c>
      <c r="W95" s="31"/>
      <c r="X95" s="36"/>
      <c r="Y95" s="36"/>
      <c r="Z95" s="34">
        <v>43282</v>
      </c>
      <c r="AB95" s="41">
        <f t="shared" si="57"/>
        <v>9.4370460999542757E-2</v>
      </c>
    </row>
    <row r="96" spans="2:28" ht="9.9499999999999993" customHeight="1" x14ac:dyDescent="0.15">
      <c r="B96" s="34">
        <v>43313</v>
      </c>
      <c r="C96" s="31">
        <v>5456.73</v>
      </c>
      <c r="D96" s="31"/>
      <c r="E96" s="41">
        <f t="shared" si="58"/>
        <v>9.2659704533876716E-2</v>
      </c>
      <c r="F96" s="31">
        <v>3797.17</v>
      </c>
      <c r="G96" s="31"/>
      <c r="H96" s="41">
        <f t="shared" si="59"/>
        <v>9.3884781802447775E-2</v>
      </c>
      <c r="I96" s="36"/>
      <c r="J96" s="40">
        <f t="shared" si="56"/>
        <v>30577</v>
      </c>
      <c r="K96" s="36"/>
      <c r="L96" s="36"/>
      <c r="M96" s="31">
        <v>9118</v>
      </c>
      <c r="N96" s="31"/>
      <c r="O96" s="31"/>
      <c r="P96" s="31"/>
      <c r="Q96" s="31"/>
      <c r="R96" s="31">
        <v>9175</v>
      </c>
      <c r="S96" s="31"/>
      <c r="T96" s="31"/>
      <c r="U96" s="31"/>
      <c r="V96" s="31">
        <v>12284</v>
      </c>
      <c r="W96" s="31"/>
      <c r="X96" s="36"/>
      <c r="Y96" s="36"/>
      <c r="Z96" s="34">
        <v>43313</v>
      </c>
      <c r="AB96" s="41">
        <f t="shared" si="57"/>
        <v>9.3272243168162239E-2</v>
      </c>
    </row>
    <row r="97" spans="2:28" ht="9.9499999999999993" customHeight="1" x14ac:dyDescent="0.15">
      <c r="B97" s="34">
        <v>43346</v>
      </c>
      <c r="C97" s="31">
        <v>4753.95</v>
      </c>
      <c r="D97" s="31"/>
      <c r="E97" s="41">
        <f t="shared" si="58"/>
        <v>8.0725929699439633E-2</v>
      </c>
      <c r="F97" s="31">
        <v>3534.99</v>
      </c>
      <c r="G97" s="31"/>
      <c r="H97" s="41">
        <f t="shared" si="59"/>
        <v>8.7402398318704402E-2</v>
      </c>
      <c r="I97" s="36"/>
      <c r="J97" s="40">
        <f t="shared" si="56"/>
        <v>34448</v>
      </c>
      <c r="K97" s="36"/>
      <c r="L97" s="36"/>
      <c r="M97" s="31">
        <v>5957</v>
      </c>
      <c r="N97" s="31"/>
      <c r="O97" s="31"/>
      <c r="P97" s="31"/>
      <c r="Q97" s="31"/>
      <c r="R97" s="31">
        <v>16153</v>
      </c>
      <c r="S97" s="31"/>
      <c r="T97" s="31"/>
      <c r="U97" s="31"/>
      <c r="V97" s="31">
        <v>12338</v>
      </c>
      <c r="W97" s="31"/>
      <c r="X97" s="36"/>
      <c r="Y97" s="36"/>
      <c r="Z97" s="34">
        <v>43344</v>
      </c>
      <c r="AB97" s="41">
        <f t="shared" si="57"/>
        <v>8.4064164009072018E-2</v>
      </c>
    </row>
    <row r="98" spans="2:28" ht="9.9499999999999993" customHeight="1" x14ac:dyDescent="0.15">
      <c r="B98" s="34">
        <v>43374</v>
      </c>
      <c r="C98" s="31">
        <v>5340.29</v>
      </c>
      <c r="D98" s="31"/>
      <c r="E98" s="41">
        <f t="shared" si="58"/>
        <v>9.068245882153167E-2</v>
      </c>
      <c r="F98" s="31">
        <v>3963.28</v>
      </c>
      <c r="G98" s="31"/>
      <c r="H98" s="41">
        <f t="shared" si="59"/>
        <v>9.7991840771417982E-2</v>
      </c>
      <c r="I98" s="36"/>
      <c r="J98" s="40">
        <f t="shared" si="56"/>
        <v>22363</v>
      </c>
      <c r="K98" s="36"/>
      <c r="L98" s="36"/>
      <c r="M98" s="31">
        <v>7116</v>
      </c>
      <c r="N98" s="31"/>
      <c r="O98" s="31"/>
      <c r="P98" s="31"/>
      <c r="Q98" s="31"/>
      <c r="R98" s="31">
        <v>14477</v>
      </c>
      <c r="S98" s="31"/>
      <c r="T98" s="31"/>
      <c r="U98" s="31"/>
      <c r="V98" s="66">
        <v>770</v>
      </c>
      <c r="W98" s="31"/>
      <c r="X98" s="36"/>
      <c r="Y98" s="36"/>
      <c r="Z98" s="34">
        <v>43374</v>
      </c>
      <c r="AB98" s="41">
        <f t="shared" si="57"/>
        <v>9.4337149796474826E-2</v>
      </c>
    </row>
    <row r="99" spans="2:28" ht="9.9499999999999993" customHeight="1" x14ac:dyDescent="0.15">
      <c r="B99" s="34">
        <v>43405</v>
      </c>
      <c r="C99" s="31">
        <v>4995.25</v>
      </c>
      <c r="D99" s="31"/>
      <c r="E99" s="41">
        <f t="shared" si="58"/>
        <v>8.4823399558498894E-2</v>
      </c>
      <c r="F99" s="31">
        <v>3357.65</v>
      </c>
      <c r="G99" s="31"/>
      <c r="H99" s="41">
        <f t="shared" si="59"/>
        <v>8.3017678328594385E-2</v>
      </c>
      <c r="I99" s="36"/>
      <c r="J99" s="40">
        <f t="shared" si="56"/>
        <v>26575</v>
      </c>
      <c r="K99" s="36"/>
      <c r="L99" s="36"/>
      <c r="M99" s="66">
        <v>562</v>
      </c>
      <c r="N99" s="31"/>
      <c r="O99" s="31"/>
      <c r="P99" s="31"/>
      <c r="Q99" s="31"/>
      <c r="R99" s="31">
        <v>14199</v>
      </c>
      <c r="S99" s="31"/>
      <c r="T99" s="31"/>
      <c r="U99" s="31"/>
      <c r="V99" s="31">
        <v>11814</v>
      </c>
      <c r="W99" s="31"/>
      <c r="X99" s="36"/>
      <c r="Y99" s="36"/>
      <c r="Z99" s="34">
        <v>43405</v>
      </c>
      <c r="AB99" s="41">
        <f t="shared" si="57"/>
        <v>8.3920538943546646E-2</v>
      </c>
    </row>
    <row r="100" spans="2:28" ht="9.9499999999999993" customHeight="1" x14ac:dyDescent="0.15">
      <c r="B100" s="34">
        <v>43437</v>
      </c>
      <c r="C100" s="31">
        <v>4635.78</v>
      </c>
      <c r="D100" s="31"/>
      <c r="E100" s="41">
        <f t="shared" si="58"/>
        <v>7.8719307182883336E-2</v>
      </c>
      <c r="F100" s="31">
        <v>3025.6</v>
      </c>
      <c r="G100" s="31"/>
      <c r="H100" s="41">
        <f t="shared" si="59"/>
        <v>7.4807763629620466E-2</v>
      </c>
      <c r="I100" s="36"/>
      <c r="J100" s="40">
        <f t="shared" si="56"/>
        <v>26775</v>
      </c>
      <c r="K100" s="36"/>
      <c r="L100" s="36"/>
      <c r="M100" s="31">
        <v>4125</v>
      </c>
      <c r="N100" s="31"/>
      <c r="O100" s="31"/>
      <c r="P100" s="31"/>
      <c r="Q100" s="31"/>
      <c r="R100" s="31">
        <v>10566</v>
      </c>
      <c r="S100" s="31"/>
      <c r="T100" s="31"/>
      <c r="U100" s="31"/>
      <c r="V100" s="31">
        <v>12084</v>
      </c>
      <c r="W100" s="31"/>
      <c r="X100" s="36"/>
      <c r="Y100" s="36"/>
      <c r="Z100" s="34">
        <v>43435</v>
      </c>
      <c r="AB100" s="41">
        <f t="shared" si="57"/>
        <v>7.6763535406251901E-2</v>
      </c>
    </row>
    <row r="101" spans="2:28" ht="9.9499999999999993" customHeight="1" x14ac:dyDescent="0.15">
      <c r="B101" s="34">
        <v>43472</v>
      </c>
      <c r="C101" s="31">
        <v>4784.4399999999996</v>
      </c>
      <c r="D101" s="31"/>
      <c r="E101" s="41">
        <f t="shared" si="58"/>
        <v>8.1243674647648145E-2</v>
      </c>
      <c r="F101" s="31">
        <v>2986.16</v>
      </c>
      <c r="G101" s="31"/>
      <c r="H101" s="41">
        <f t="shared" si="59"/>
        <v>7.3832612189392993E-2</v>
      </c>
      <c r="I101" s="36"/>
      <c r="J101" s="40">
        <f t="shared" si="56"/>
        <v>22498</v>
      </c>
      <c r="K101" s="36"/>
      <c r="L101" s="36"/>
      <c r="M101" s="31">
        <v>2719</v>
      </c>
      <c r="N101" s="31"/>
      <c r="O101" s="31"/>
      <c r="P101" s="31"/>
      <c r="Q101" s="31"/>
      <c r="R101" s="31">
        <v>10461</v>
      </c>
      <c r="S101" s="31"/>
      <c r="T101" s="31"/>
      <c r="U101" s="31"/>
      <c r="V101" s="31">
        <v>9318</v>
      </c>
      <c r="W101" s="31"/>
      <c r="X101" s="36"/>
      <c r="Y101" s="36"/>
      <c r="Z101" s="34">
        <v>43466</v>
      </c>
      <c r="AB101" s="41">
        <f t="shared" si="57"/>
        <v>7.7538143418520569E-2</v>
      </c>
    </row>
    <row r="102" spans="2:28" ht="9.9499999999999993" customHeight="1" x14ac:dyDescent="0.15">
      <c r="B102" s="34">
        <v>43504</v>
      </c>
      <c r="C102" s="31">
        <v>3914.93</v>
      </c>
      <c r="D102" s="31"/>
      <c r="E102" s="41">
        <f t="shared" si="58"/>
        <v>6.6478689081338083E-2</v>
      </c>
      <c r="F102" s="31">
        <v>2479.9899999999998</v>
      </c>
      <c r="G102" s="31"/>
      <c r="H102" s="41">
        <f t="shared" si="59"/>
        <v>6.1317591791321541E-2</v>
      </c>
      <c r="I102" s="36"/>
      <c r="J102" s="40">
        <f t="shared" si="56"/>
        <v>26586</v>
      </c>
      <c r="K102" s="36"/>
      <c r="L102" s="36"/>
      <c r="M102" s="31">
        <v>4970</v>
      </c>
      <c r="N102" s="31"/>
      <c r="O102" s="31"/>
      <c r="P102" s="31"/>
      <c r="Q102" s="31"/>
      <c r="R102" s="31">
        <v>10958</v>
      </c>
      <c r="S102" s="31"/>
      <c r="T102" s="31"/>
      <c r="U102" s="31"/>
      <c r="V102" s="31">
        <v>10658</v>
      </c>
      <c r="W102" s="31"/>
      <c r="X102" s="36"/>
      <c r="Y102" s="36"/>
      <c r="Z102" s="34">
        <v>43497</v>
      </c>
      <c r="AB102" s="41">
        <f t="shared" si="57"/>
        <v>6.3898140436329812E-2</v>
      </c>
    </row>
    <row r="103" spans="2:28" ht="9.9499999999999993" customHeight="1" x14ac:dyDescent="0.15">
      <c r="B103" s="34">
        <v>43525</v>
      </c>
      <c r="C103" s="31">
        <v>4000</v>
      </c>
      <c r="D103" s="40">
        <f>SUM(C92:C103)</f>
        <v>58889.5</v>
      </c>
      <c r="E103" s="41">
        <f t="shared" si="58"/>
        <v>6.7923246731193751E-2</v>
      </c>
      <c r="F103" s="31">
        <v>2988.55</v>
      </c>
      <c r="G103" s="40">
        <f>SUM(F92:F103)</f>
        <v>40445.170000000006</v>
      </c>
      <c r="H103" s="41">
        <f t="shared" si="59"/>
        <v>7.3891704784274939E-2</v>
      </c>
      <c r="I103" s="36"/>
      <c r="J103" s="40">
        <f t="shared" si="56"/>
        <v>30804</v>
      </c>
      <c r="K103" s="36"/>
      <c r="L103" s="36"/>
      <c r="M103" s="31">
        <v>6717</v>
      </c>
      <c r="N103" s="40">
        <f>SUM(M92:M103)</f>
        <v>70208</v>
      </c>
      <c r="O103" s="31"/>
      <c r="P103" s="31"/>
      <c r="Q103" s="31"/>
      <c r="R103" s="31">
        <v>12260</v>
      </c>
      <c r="S103" s="40">
        <f>SUM(R92:R103)</f>
        <v>124264</v>
      </c>
      <c r="T103" s="31"/>
      <c r="U103" s="31"/>
      <c r="V103" s="31">
        <v>11827</v>
      </c>
      <c r="W103" s="40">
        <f>SUM(V92:V103)</f>
        <v>128119</v>
      </c>
      <c r="X103" s="36"/>
      <c r="Y103" s="36"/>
      <c r="Z103" s="34">
        <v>43525</v>
      </c>
      <c r="AB103" s="41">
        <f t="shared" si="57"/>
        <v>7.0907475757734345E-2</v>
      </c>
    </row>
    <row r="104" spans="2:28" ht="9.9499999999999993" customHeight="1" x14ac:dyDescent="0.15">
      <c r="B104" s="28"/>
      <c r="C104" s="28"/>
      <c r="D104" s="28"/>
      <c r="E104" s="28"/>
      <c r="F104" s="10"/>
      <c r="G104" s="28"/>
      <c r="H104" s="28"/>
      <c r="I104" s="10"/>
      <c r="J104" s="10"/>
      <c r="K104" s="10"/>
      <c r="L104" s="10"/>
      <c r="M104" s="10"/>
      <c r="N104" s="10"/>
      <c r="O104" s="10"/>
      <c r="P104" s="10"/>
      <c r="Q104" s="10"/>
      <c r="R104" s="10"/>
      <c r="S104" s="10"/>
      <c r="T104" s="10"/>
      <c r="U104" s="10"/>
      <c r="V104" s="10"/>
      <c r="W104" s="10"/>
      <c r="X104" s="10"/>
      <c r="Y104" s="10"/>
      <c r="Z104" s="10"/>
      <c r="AB104" s="28"/>
    </row>
    <row r="105" spans="2:28" ht="9.9499999999999993" customHeight="1" x14ac:dyDescent="0.15">
      <c r="B105" s="10"/>
      <c r="C105" s="44" t="s">
        <v>49</v>
      </c>
      <c r="D105" s="44"/>
      <c r="E105" s="44"/>
      <c r="F105" s="10" t="s">
        <v>41</v>
      </c>
      <c r="G105" s="10"/>
      <c r="H105" s="10"/>
      <c r="I105" s="10"/>
      <c r="J105" s="10" t="s">
        <v>102</v>
      </c>
      <c r="K105" s="10"/>
      <c r="L105" s="10"/>
      <c r="M105" s="10" t="s">
        <v>43</v>
      </c>
      <c r="N105" s="10"/>
      <c r="O105" s="10"/>
      <c r="P105" s="10"/>
      <c r="Q105" s="10"/>
      <c r="R105" s="10" t="s">
        <v>44</v>
      </c>
      <c r="S105" s="10"/>
      <c r="T105" s="10"/>
      <c r="U105" s="10"/>
      <c r="V105" s="10" t="s">
        <v>45</v>
      </c>
      <c r="W105" s="10"/>
      <c r="X105" s="10"/>
      <c r="Y105" s="10"/>
      <c r="Z105" s="10"/>
      <c r="AB105" s="10"/>
    </row>
    <row r="106" spans="2:28" ht="9.9499999999999993" customHeight="1" x14ac:dyDescent="0.15">
      <c r="B106" s="28"/>
      <c r="C106" s="28" t="s">
        <v>40</v>
      </c>
      <c r="D106" s="28" t="s">
        <v>50</v>
      </c>
      <c r="E106" s="28" t="s">
        <v>51</v>
      </c>
      <c r="F106" s="10" t="s">
        <v>42</v>
      </c>
      <c r="G106" s="28" t="s">
        <v>50</v>
      </c>
      <c r="H106" s="28" t="s">
        <v>51</v>
      </c>
      <c r="I106" s="10"/>
      <c r="J106" s="10" t="s">
        <v>103</v>
      </c>
      <c r="K106" s="10"/>
      <c r="L106" s="10"/>
      <c r="M106" s="10" t="s">
        <v>46</v>
      </c>
      <c r="N106" s="10"/>
      <c r="O106" s="28" t="s">
        <v>50</v>
      </c>
      <c r="P106" s="28"/>
      <c r="Q106" s="10"/>
      <c r="R106" s="10" t="s">
        <v>47</v>
      </c>
      <c r="S106" s="28" t="s">
        <v>50</v>
      </c>
      <c r="T106" s="10"/>
      <c r="U106" s="10"/>
      <c r="V106" s="10" t="s">
        <v>48</v>
      </c>
      <c r="W106" s="28" t="s">
        <v>50</v>
      </c>
      <c r="X106" s="10"/>
      <c r="Y106" s="10"/>
      <c r="Z106" s="45"/>
      <c r="AB106" s="3" t="s">
        <v>105</v>
      </c>
    </row>
    <row r="107" spans="2:28" ht="9.9499999999999993" customHeight="1" x14ac:dyDescent="0.15">
      <c r="B107" s="42"/>
    </row>
    <row r="110" spans="2:28" ht="9.9499999999999993" customHeight="1" x14ac:dyDescent="0.15">
      <c r="I110" s="29"/>
    </row>
    <row r="111" spans="2:28" ht="9.9499999999999993" customHeight="1" x14ac:dyDescent="0.15">
      <c r="I111" s="29"/>
    </row>
    <row r="112" spans="2:28" ht="9.9499999999999993" customHeight="1" x14ac:dyDescent="0.15">
      <c r="I112" s="29"/>
    </row>
    <row r="113" spans="9:9" ht="9.9499999999999993" customHeight="1" x14ac:dyDescent="0.15">
      <c r="I113" s="29"/>
    </row>
    <row r="114" spans="9:9" ht="9.9499999999999993" customHeight="1" x14ac:dyDescent="0.15">
      <c r="I114" s="29"/>
    </row>
    <row r="115" spans="9:9" ht="9.9499999999999993" customHeight="1" x14ac:dyDescent="0.15">
      <c r="I115" s="29"/>
    </row>
    <row r="116" spans="9:9" ht="9.9499999999999993" customHeight="1" x14ac:dyDescent="0.15">
      <c r="I116" s="29"/>
    </row>
    <row r="117" spans="9:9" ht="9.9499999999999993" customHeight="1" x14ac:dyDescent="0.15">
      <c r="I117" s="29"/>
    </row>
    <row r="118" spans="9:9" ht="9.9499999999999993" customHeight="1" x14ac:dyDescent="0.15">
      <c r="I118" s="29"/>
    </row>
    <row r="119" spans="9:9" ht="9.9499999999999993" customHeight="1" x14ac:dyDescent="0.15">
      <c r="I119" s="29"/>
    </row>
    <row r="120" spans="9:9" ht="9.9499999999999993" customHeight="1" x14ac:dyDescent="0.15">
      <c r="I120" s="29"/>
    </row>
    <row r="121" spans="9:9" ht="9.9499999999999993" customHeight="1" x14ac:dyDescent="0.15">
      <c r="I121" s="29"/>
    </row>
    <row r="122" spans="9:9" ht="9.9499999999999993" customHeight="1" x14ac:dyDescent="0.15">
      <c r="I122" s="29"/>
    </row>
    <row r="123" spans="9:9" ht="9.9499999999999993" customHeight="1" x14ac:dyDescent="0.15">
      <c r="I123" s="29"/>
    </row>
    <row r="124" spans="9:9" ht="9.9499999999999993" customHeight="1" x14ac:dyDescent="0.15">
      <c r="I124" s="29"/>
    </row>
    <row r="125" spans="9:9" ht="9.9499999999999993" customHeight="1" x14ac:dyDescent="0.15">
      <c r="I125" s="29"/>
    </row>
    <row r="126" spans="9:9" ht="9.9499999999999993" customHeight="1" x14ac:dyDescent="0.15">
      <c r="I126" s="29"/>
    </row>
    <row r="127" spans="9:9" ht="9.9499999999999993" customHeight="1" x14ac:dyDescent="0.15">
      <c r="I127" s="29"/>
    </row>
    <row r="128" spans="9:9" ht="9.9499999999999993" customHeight="1" x14ac:dyDescent="0.15">
      <c r="I128" s="29"/>
    </row>
    <row r="129" spans="9:9" ht="9.9499999999999993" customHeight="1" x14ac:dyDescent="0.15">
      <c r="I129" s="29"/>
    </row>
    <row r="130" spans="9:9" ht="9.9499999999999993" customHeight="1" x14ac:dyDescent="0.15">
      <c r="I130" s="29"/>
    </row>
    <row r="131" spans="9:9" ht="9.9499999999999993" customHeight="1" x14ac:dyDescent="0.15">
      <c r="I131" s="29"/>
    </row>
    <row r="132" spans="9:9" ht="9.9499999999999993" customHeight="1" x14ac:dyDescent="0.15">
      <c r="I132" s="29"/>
    </row>
    <row r="133" spans="9:9" ht="9.9499999999999993" customHeight="1" x14ac:dyDescent="0.15">
      <c r="I133" s="29"/>
    </row>
    <row r="134" spans="9:9" ht="9.9499999999999993" customHeight="1" x14ac:dyDescent="0.15">
      <c r="I134" s="29"/>
    </row>
    <row r="135" spans="9:9" ht="9.9499999999999993" customHeight="1" x14ac:dyDescent="0.15">
      <c r="I135" s="29"/>
    </row>
    <row r="136" spans="9:9" ht="9.9499999999999993" customHeight="1" x14ac:dyDescent="0.15">
      <c r="I136" s="29"/>
    </row>
    <row r="137" spans="9:9" ht="9.9499999999999993" customHeight="1" x14ac:dyDescent="0.15">
      <c r="I137" s="29"/>
    </row>
    <row r="138" spans="9:9" ht="9.9499999999999993" customHeight="1" x14ac:dyDescent="0.15">
      <c r="I138" s="29"/>
    </row>
    <row r="139" spans="9:9" ht="9.9499999999999993" customHeight="1" x14ac:dyDescent="0.15">
      <c r="I139" s="29"/>
    </row>
    <row r="140" spans="9:9" ht="9.9499999999999993" customHeight="1" x14ac:dyDescent="0.15">
      <c r="I140" s="29"/>
    </row>
    <row r="141" spans="9:9" ht="9.9499999999999993" customHeight="1" x14ac:dyDescent="0.15">
      <c r="I141" s="29"/>
    </row>
    <row r="142" spans="9:9" ht="9.9499999999999993" customHeight="1" x14ac:dyDescent="0.15">
      <c r="I142" s="29"/>
    </row>
    <row r="143" spans="9:9" ht="9.9499999999999993" customHeight="1" x14ac:dyDescent="0.15">
      <c r="I143" s="29"/>
    </row>
    <row r="144" spans="9:9" ht="9.9499999999999993" customHeight="1" x14ac:dyDescent="0.15">
      <c r="I144" s="29"/>
    </row>
    <row r="145" spans="2:9" ht="9.9499999999999993" customHeight="1" x14ac:dyDescent="0.15">
      <c r="I145" s="29"/>
    </row>
    <row r="146" spans="2:9" ht="9.9499999999999993" customHeight="1" x14ac:dyDescent="0.15">
      <c r="I146" s="29"/>
    </row>
    <row r="147" spans="2:9" ht="9.9499999999999993" customHeight="1" x14ac:dyDescent="0.15">
      <c r="I147" s="29"/>
    </row>
    <row r="148" spans="2:9" ht="9.9499999999999993" customHeight="1" x14ac:dyDescent="0.15">
      <c r="I148" s="29"/>
    </row>
    <row r="160" spans="2:9" ht="9.9499999999999993" customHeight="1" x14ac:dyDescent="0.15">
      <c r="B160" s="38"/>
    </row>
    <row r="161" spans="2:2" ht="9.9499999999999993" customHeight="1" x14ac:dyDescent="0.15">
      <c r="B161" s="38"/>
    </row>
    <row r="162" spans="2:2" ht="9.9499999999999993" customHeight="1" x14ac:dyDescent="0.15">
      <c r="B162" s="38"/>
    </row>
  </sheetData>
  <phoneticPr fontId="5"/>
  <pageMargins left="0.7" right="0.7" top="0.75" bottom="0.75" header="0.3" footer="0.3"/>
  <pageSetup paperSize="9" orientation="portrait"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AI329"/>
  <sheetViews>
    <sheetView zoomScale="75" zoomScaleNormal="75" workbookViewId="0">
      <selection activeCell="AE33" sqref="AE33"/>
    </sheetView>
  </sheetViews>
  <sheetFormatPr defaultRowHeight="11.1" customHeight="1" x14ac:dyDescent="0.15"/>
  <cols>
    <col min="1" max="1" width="2" style="82" customWidth="1"/>
    <col min="2" max="2" width="2.5" style="81" customWidth="1"/>
    <col min="3" max="3" width="6.875" style="81" customWidth="1"/>
    <col min="4" max="4" width="4.75" style="81" customWidth="1"/>
    <col min="5" max="5" width="4.5" style="82" customWidth="1"/>
    <col min="6" max="6" width="5" style="82" customWidth="1"/>
    <col min="7" max="7" width="4.75" style="81" customWidth="1"/>
    <col min="8" max="11" width="4.125" style="83" customWidth="1"/>
    <col min="12" max="13" width="4.125" style="81" customWidth="1"/>
    <col min="14" max="14" width="2.25" style="82" customWidth="1"/>
    <col min="15" max="15" width="4.125" style="84" customWidth="1"/>
    <col min="16" max="17" width="4.375" style="84" customWidth="1"/>
    <col min="18" max="18" width="4.125" style="84" customWidth="1"/>
    <col min="19" max="19" width="5.75" style="84" customWidth="1"/>
    <col min="20" max="21" width="4.375" style="84" customWidth="1"/>
    <col min="22" max="25" width="4.125" style="82" customWidth="1"/>
    <col min="26" max="27" width="4.125" style="81" customWidth="1"/>
    <col min="28" max="30" width="4.125" style="91" customWidth="1"/>
    <col min="31" max="32" width="4.125" style="81" customWidth="1"/>
    <col min="33" max="33" width="5" style="81" customWidth="1"/>
    <col min="34" max="34" width="5" style="82" customWidth="1"/>
    <col min="35" max="75" width="4.125" style="82" customWidth="1"/>
    <col min="76" max="16384" width="9" style="82"/>
  </cols>
  <sheetData>
    <row r="1" spans="2:30" ht="11.1" customHeight="1" x14ac:dyDescent="0.15">
      <c r="AB1" s="81"/>
      <c r="AC1" s="81"/>
      <c r="AD1" s="81"/>
    </row>
    <row r="2" spans="2:30" ht="15.95" customHeight="1" x14ac:dyDescent="0.15">
      <c r="B2" s="232" t="s">
        <v>199</v>
      </c>
      <c r="AB2" s="81"/>
      <c r="AC2" s="81"/>
      <c r="AD2" s="81"/>
    </row>
    <row r="3" spans="2:30" ht="15.95" customHeight="1" x14ac:dyDescent="0.15">
      <c r="C3" s="81" t="s">
        <v>200</v>
      </c>
      <c r="AB3" s="81"/>
      <c r="AC3" s="81"/>
      <c r="AD3" s="81"/>
    </row>
    <row r="4" spans="2:30" ht="15.95" customHeight="1" x14ac:dyDescent="0.15">
      <c r="B4" s="231" t="s">
        <v>195</v>
      </c>
      <c r="AB4" s="81"/>
      <c r="AC4" s="81"/>
      <c r="AD4" s="81"/>
    </row>
    <row r="5" spans="2:30" ht="12" customHeight="1" x14ac:dyDescent="0.15">
      <c r="AB5" s="81"/>
      <c r="AC5" s="81"/>
      <c r="AD5" s="81"/>
    </row>
    <row r="6" spans="2:30" ht="12" customHeight="1" x14ac:dyDescent="0.15">
      <c r="AB6" s="81"/>
      <c r="AC6" s="81"/>
      <c r="AD6" s="81"/>
    </row>
    <row r="7" spans="2:30" ht="12" customHeight="1" x14ac:dyDescent="0.15">
      <c r="AB7" s="81"/>
      <c r="AC7" s="81"/>
      <c r="AD7" s="81"/>
    </row>
    <row r="8" spans="2:30" ht="12" customHeight="1" x14ac:dyDescent="0.15">
      <c r="AB8" s="81"/>
      <c r="AC8" s="81"/>
      <c r="AD8" s="81"/>
    </row>
    <row r="9" spans="2:30" ht="12" customHeight="1" x14ac:dyDescent="0.15">
      <c r="AB9" s="81"/>
      <c r="AC9" s="81"/>
      <c r="AD9" s="81"/>
    </row>
    <row r="10" spans="2:30" ht="12" customHeight="1" x14ac:dyDescent="0.15">
      <c r="AB10" s="81"/>
      <c r="AC10" s="81"/>
      <c r="AD10" s="81"/>
    </row>
    <row r="11" spans="2:30" ht="12" customHeight="1" x14ac:dyDescent="0.15">
      <c r="AB11" s="81"/>
      <c r="AC11" s="81"/>
      <c r="AD11" s="81"/>
    </row>
    <row r="12" spans="2:30" ht="12" customHeight="1" x14ac:dyDescent="0.15">
      <c r="AB12" s="81"/>
      <c r="AC12" s="81"/>
      <c r="AD12" s="81"/>
    </row>
    <row r="13" spans="2:30" ht="12" customHeight="1" x14ac:dyDescent="0.15">
      <c r="AB13" s="81"/>
      <c r="AC13" s="81"/>
      <c r="AD13" s="81"/>
    </row>
    <row r="14" spans="2:30" ht="12" customHeight="1" x14ac:dyDescent="0.15">
      <c r="AB14" s="81"/>
      <c r="AC14" s="81"/>
      <c r="AD14" s="81"/>
    </row>
    <row r="15" spans="2:30" ht="12" customHeight="1" x14ac:dyDescent="0.15">
      <c r="AB15" s="81"/>
      <c r="AC15" s="81"/>
      <c r="AD15" s="81"/>
    </row>
    <row r="16" spans="2:30" ht="12" customHeight="1" x14ac:dyDescent="0.15">
      <c r="AB16" s="81"/>
      <c r="AC16" s="81"/>
      <c r="AD16" s="81"/>
    </row>
    <row r="17" spans="28:30" ht="12" customHeight="1" x14ac:dyDescent="0.15">
      <c r="AB17" s="81"/>
      <c r="AC17" s="81"/>
      <c r="AD17" s="81"/>
    </row>
    <row r="18" spans="28:30" ht="12" customHeight="1" x14ac:dyDescent="0.15">
      <c r="AB18" s="81"/>
      <c r="AC18" s="81"/>
      <c r="AD18" s="81"/>
    </row>
    <row r="19" spans="28:30" ht="12" customHeight="1" x14ac:dyDescent="0.15">
      <c r="AB19" s="81"/>
      <c r="AC19" s="81"/>
      <c r="AD19" s="81"/>
    </row>
    <row r="20" spans="28:30" ht="12" customHeight="1" x14ac:dyDescent="0.15">
      <c r="AB20" s="81"/>
      <c r="AC20" s="81"/>
      <c r="AD20" s="81"/>
    </row>
    <row r="21" spans="28:30" ht="12" customHeight="1" x14ac:dyDescent="0.15">
      <c r="AB21" s="81"/>
      <c r="AC21" s="81"/>
      <c r="AD21" s="81"/>
    </row>
    <row r="22" spans="28:30" ht="12" customHeight="1" x14ac:dyDescent="0.15">
      <c r="AB22" s="81"/>
      <c r="AC22" s="81"/>
      <c r="AD22" s="81"/>
    </row>
    <row r="23" spans="28:30" ht="12" customHeight="1" x14ac:dyDescent="0.15">
      <c r="AB23" s="81"/>
      <c r="AC23" s="81"/>
      <c r="AD23" s="81"/>
    </row>
    <row r="24" spans="28:30" ht="12" customHeight="1" x14ac:dyDescent="0.15">
      <c r="AB24" s="81"/>
      <c r="AC24" s="81"/>
      <c r="AD24" s="81"/>
    </row>
    <row r="25" spans="28:30" ht="12" customHeight="1" x14ac:dyDescent="0.15">
      <c r="AB25" s="81"/>
      <c r="AC25" s="81"/>
      <c r="AD25" s="81"/>
    </row>
    <row r="26" spans="28:30" ht="12" customHeight="1" x14ac:dyDescent="0.15">
      <c r="AB26" s="81"/>
      <c r="AC26" s="81"/>
      <c r="AD26" s="81"/>
    </row>
    <row r="27" spans="28:30" ht="12" customHeight="1" x14ac:dyDescent="0.15">
      <c r="AB27" s="81"/>
      <c r="AC27" s="81"/>
      <c r="AD27" s="81"/>
    </row>
    <row r="28" spans="28:30" ht="12" customHeight="1" x14ac:dyDescent="0.15">
      <c r="AB28" s="81"/>
      <c r="AC28" s="81"/>
      <c r="AD28" s="81"/>
    </row>
    <row r="29" spans="28:30" ht="12" customHeight="1" x14ac:dyDescent="0.15">
      <c r="AB29" s="81"/>
      <c r="AC29" s="81"/>
      <c r="AD29" s="81"/>
    </row>
    <row r="30" spans="28:30" ht="12" customHeight="1" x14ac:dyDescent="0.15">
      <c r="AB30" s="81"/>
      <c r="AC30" s="81"/>
      <c r="AD30" s="81"/>
    </row>
    <row r="31" spans="28:30" ht="12" customHeight="1" x14ac:dyDescent="0.15">
      <c r="AB31" s="81"/>
      <c r="AC31" s="81"/>
      <c r="AD31" s="81"/>
    </row>
    <row r="32" spans="28:30" ht="12" customHeight="1" x14ac:dyDescent="0.15">
      <c r="AB32" s="81"/>
      <c r="AC32" s="81"/>
      <c r="AD32" s="81"/>
    </row>
    <row r="33" spans="3:30" ht="12" customHeight="1" x14ac:dyDescent="0.15">
      <c r="AB33" s="81"/>
      <c r="AC33" s="81"/>
      <c r="AD33" s="81"/>
    </row>
    <row r="34" spans="3:30" ht="12" customHeight="1" x14ac:dyDescent="0.15">
      <c r="AB34" s="81"/>
      <c r="AC34" s="81"/>
      <c r="AD34" s="81"/>
    </row>
    <row r="35" spans="3:30" ht="12" customHeight="1" x14ac:dyDescent="0.15">
      <c r="AB35" s="81"/>
      <c r="AC35" s="81"/>
      <c r="AD35" s="81"/>
    </row>
    <row r="36" spans="3:30" ht="12" customHeight="1" x14ac:dyDescent="0.15">
      <c r="AB36" s="81"/>
      <c r="AC36" s="81"/>
      <c r="AD36" s="81"/>
    </row>
    <row r="37" spans="3:30" ht="12" customHeight="1" x14ac:dyDescent="0.15">
      <c r="AB37" s="81"/>
      <c r="AC37" s="81"/>
      <c r="AD37" s="81"/>
    </row>
    <row r="38" spans="3:30" ht="12" customHeight="1" x14ac:dyDescent="0.15">
      <c r="AB38" s="81"/>
      <c r="AC38" s="81"/>
      <c r="AD38" s="81"/>
    </row>
    <row r="39" spans="3:30" ht="12" customHeight="1" x14ac:dyDescent="0.15">
      <c r="AB39" s="81"/>
      <c r="AC39" s="81"/>
      <c r="AD39" s="81"/>
    </row>
    <row r="40" spans="3:30" ht="12" customHeight="1" x14ac:dyDescent="0.15">
      <c r="AB40" s="81"/>
      <c r="AC40" s="81"/>
      <c r="AD40" s="81"/>
    </row>
    <row r="41" spans="3:30" ht="12" customHeight="1" x14ac:dyDescent="0.15">
      <c r="AB41" s="81"/>
      <c r="AC41" s="81"/>
      <c r="AD41" s="81"/>
    </row>
    <row r="42" spans="3:30" ht="12" customHeight="1" x14ac:dyDescent="0.15">
      <c r="AB42" s="81"/>
      <c r="AC42" s="81"/>
      <c r="AD42" s="81"/>
    </row>
    <row r="43" spans="3:30" ht="12" customHeight="1" x14ac:dyDescent="0.15">
      <c r="AB43" s="81"/>
      <c r="AC43" s="81"/>
      <c r="AD43" s="81"/>
    </row>
    <row r="44" spans="3:30" ht="12" customHeight="1" x14ac:dyDescent="0.15">
      <c r="AB44" s="81"/>
      <c r="AC44" s="81"/>
      <c r="AD44" s="81"/>
    </row>
    <row r="45" spans="3:30" ht="12" customHeight="1" x14ac:dyDescent="0.15">
      <c r="AB45" s="81"/>
      <c r="AC45" s="81"/>
      <c r="AD45" s="81"/>
    </row>
    <row r="46" spans="3:30" ht="12" customHeight="1" x14ac:dyDescent="0.15">
      <c r="AB46" s="81"/>
      <c r="AC46" s="81"/>
      <c r="AD46" s="81"/>
    </row>
    <row r="47" spans="3:30" ht="12" customHeight="1" x14ac:dyDescent="0.15">
      <c r="AB47" s="81"/>
      <c r="AC47" s="81"/>
      <c r="AD47" s="81"/>
    </row>
    <row r="48" spans="3:30" ht="12" customHeight="1" x14ac:dyDescent="0.15">
      <c r="C48" s="85"/>
      <c r="AB48" s="81"/>
      <c r="AC48" s="81"/>
      <c r="AD48" s="81"/>
    </row>
    <row r="49" spans="2:35" ht="11.1" customHeight="1" x14ac:dyDescent="0.15">
      <c r="B49" s="86"/>
      <c r="C49" s="87"/>
      <c r="O49" s="88" t="s">
        <v>137</v>
      </c>
      <c r="P49" s="89"/>
      <c r="Q49" s="89"/>
      <c r="R49" s="88" t="s">
        <v>138</v>
      </c>
      <c r="S49" s="89"/>
      <c r="T49" s="89"/>
      <c r="U49" s="89"/>
      <c r="AB49" s="81"/>
      <c r="AC49" s="81"/>
      <c r="AD49" s="81"/>
    </row>
    <row r="50" spans="2:35" ht="11.1" customHeight="1" x14ac:dyDescent="0.15">
      <c r="B50" s="86"/>
      <c r="N50" s="90" t="s">
        <v>139</v>
      </c>
      <c r="O50" s="201">
        <v>0.71</v>
      </c>
      <c r="R50" s="201">
        <v>1</v>
      </c>
      <c r="T50" s="86" t="s">
        <v>140</v>
      </c>
      <c r="AB50" s="81"/>
      <c r="AC50" s="81"/>
      <c r="AD50" s="81"/>
    </row>
    <row r="51" spans="2:35" ht="11.1" customHeight="1" x14ac:dyDescent="0.15">
      <c r="I51" s="81"/>
      <c r="J51" s="81"/>
      <c r="N51" s="90" t="s">
        <v>141</v>
      </c>
      <c r="O51" s="202">
        <v>2000</v>
      </c>
      <c r="P51" s="91"/>
      <c r="Q51" s="91"/>
      <c r="R51" s="202">
        <v>1300</v>
      </c>
      <c r="S51" s="91"/>
      <c r="T51" s="86" t="s">
        <v>142</v>
      </c>
      <c r="U51" s="91"/>
      <c r="AE51" s="91"/>
    </row>
    <row r="52" spans="2:35" ht="11.1" customHeight="1" x14ac:dyDescent="0.15">
      <c r="N52" s="90" t="s">
        <v>143</v>
      </c>
      <c r="O52" s="202">
        <v>0</v>
      </c>
      <c r="R52" s="202">
        <v>70</v>
      </c>
      <c r="T52" s="86" t="s">
        <v>144</v>
      </c>
      <c r="AB52" s="81"/>
      <c r="AC52" s="81"/>
      <c r="AD52" s="81"/>
    </row>
    <row r="53" spans="2:35" s="85" customFormat="1" ht="11.1" customHeight="1" x14ac:dyDescent="0.15">
      <c r="G53" s="92"/>
      <c r="H53" s="93"/>
      <c r="I53" s="93"/>
      <c r="J53" s="93"/>
      <c r="K53" s="93"/>
      <c r="L53" s="93"/>
      <c r="M53" s="93"/>
      <c r="N53" s="90" t="s">
        <v>145</v>
      </c>
      <c r="O53" s="203">
        <v>1200</v>
      </c>
      <c r="R53" s="203">
        <v>1200</v>
      </c>
      <c r="Z53" s="81"/>
      <c r="AA53" s="94"/>
      <c r="AD53" s="84"/>
      <c r="AE53" s="84"/>
      <c r="AF53" s="95"/>
      <c r="AG53" s="94"/>
    </row>
    <row r="54" spans="2:35" s="85" customFormat="1" ht="11.1" customHeight="1" x14ac:dyDescent="0.15">
      <c r="G54" s="96"/>
      <c r="H54" s="97"/>
      <c r="I54" s="97"/>
      <c r="J54" s="97"/>
      <c r="K54" s="97"/>
      <c r="L54" s="97"/>
      <c r="M54" s="97"/>
      <c r="N54" s="90" t="s">
        <v>146</v>
      </c>
      <c r="O54" s="204">
        <v>2</v>
      </c>
      <c r="R54" s="204">
        <v>2</v>
      </c>
      <c r="U54" s="89"/>
      <c r="AC54" s="98" t="s">
        <v>147</v>
      </c>
      <c r="AD54" s="99"/>
      <c r="AE54" s="100"/>
      <c r="AF54" s="81"/>
      <c r="AG54" s="81"/>
      <c r="AH54" s="81"/>
      <c r="AI54" s="91"/>
    </row>
    <row r="55" spans="2:35" s="85" customFormat="1" ht="11.1" customHeight="1" x14ac:dyDescent="0.2">
      <c r="B55" s="101"/>
      <c r="C55" s="83" t="s">
        <v>69</v>
      </c>
      <c r="E55" s="82"/>
      <c r="F55" s="102"/>
      <c r="G55" s="96"/>
      <c r="H55" s="83" t="s">
        <v>148</v>
      </c>
      <c r="I55" s="83"/>
      <c r="J55" s="102"/>
      <c r="K55" s="83" t="s">
        <v>149</v>
      </c>
      <c r="L55" s="81"/>
      <c r="M55" s="103"/>
      <c r="U55" s="89"/>
      <c r="AC55" s="104">
        <f>8.021/365.25</f>
        <v>2.1960301163586587E-2</v>
      </c>
      <c r="AD55" s="105">
        <v>2.0619999999999998</v>
      </c>
      <c r="AE55" s="106">
        <v>30.07</v>
      </c>
      <c r="AF55" s="107" t="s">
        <v>71</v>
      </c>
      <c r="AG55" s="107"/>
      <c r="AH55" s="107"/>
    </row>
    <row r="56" spans="2:35" ht="15.75" customHeight="1" x14ac:dyDescent="0.15">
      <c r="B56" s="588" t="s">
        <v>150</v>
      </c>
      <c r="C56" s="588" t="s">
        <v>151</v>
      </c>
      <c r="D56" s="588" t="s">
        <v>152</v>
      </c>
      <c r="E56" s="600" t="s">
        <v>153</v>
      </c>
      <c r="F56" s="610" t="s">
        <v>154</v>
      </c>
      <c r="G56" s="108"/>
      <c r="H56" s="588" t="s">
        <v>155</v>
      </c>
      <c r="I56" s="588" t="s">
        <v>156</v>
      </c>
      <c r="J56" s="591" t="s">
        <v>157</v>
      </c>
      <c r="K56" s="594" t="s">
        <v>158</v>
      </c>
      <c r="L56" s="588" t="s">
        <v>159</v>
      </c>
      <c r="M56" s="597" t="s">
        <v>160</v>
      </c>
      <c r="O56" s="600" t="str">
        <f>"Cs-134:事故日"&amp;事故日の濃度1&amp;"から減衰"</f>
        <v>Cs-134:事故日1200から減衰</v>
      </c>
      <c r="P56" s="602" t="s">
        <v>161</v>
      </c>
      <c r="Q56" s="604" t="s">
        <v>162</v>
      </c>
      <c r="R56" s="606" t="str">
        <f>"Cs-137:事故日"&amp;事故日の濃度2&amp;"から減衰"</f>
        <v>Cs-137:事故日1200から減衰</v>
      </c>
      <c r="S56" s="600" t="s">
        <v>163</v>
      </c>
      <c r="T56" s="608" t="s">
        <v>164</v>
      </c>
      <c r="U56" s="89"/>
      <c r="V56" s="586" t="s">
        <v>165</v>
      </c>
      <c r="W56" s="577" t="s">
        <v>166</v>
      </c>
      <c r="X56" s="579" t="s">
        <v>197</v>
      </c>
      <c r="Y56" s="582" t="s">
        <v>167</v>
      </c>
      <c r="Z56" s="577" t="s">
        <v>168</v>
      </c>
      <c r="AA56" s="577" t="s">
        <v>198</v>
      </c>
      <c r="AC56" s="586" t="s">
        <v>169</v>
      </c>
      <c r="AD56" s="586" t="s">
        <v>170</v>
      </c>
      <c r="AE56" s="586" t="s">
        <v>171</v>
      </c>
      <c r="AF56" s="586" t="s">
        <v>172</v>
      </c>
      <c r="AG56" s="586" t="s">
        <v>173</v>
      </c>
      <c r="AH56" s="586" t="s">
        <v>174</v>
      </c>
      <c r="AI56" s="575" t="s">
        <v>175</v>
      </c>
    </row>
    <row r="57" spans="2:35" ht="15.75" customHeight="1" x14ac:dyDescent="0.15">
      <c r="B57" s="589"/>
      <c r="C57" s="589"/>
      <c r="D57" s="589"/>
      <c r="E57" s="601"/>
      <c r="F57" s="611"/>
      <c r="G57" s="109"/>
      <c r="H57" s="589"/>
      <c r="I57" s="589"/>
      <c r="J57" s="592"/>
      <c r="K57" s="595"/>
      <c r="L57" s="589"/>
      <c r="M57" s="598"/>
      <c r="O57" s="601"/>
      <c r="P57" s="603"/>
      <c r="Q57" s="605"/>
      <c r="R57" s="607"/>
      <c r="S57" s="601"/>
      <c r="T57" s="609"/>
      <c r="U57" s="89"/>
      <c r="V57" s="587"/>
      <c r="W57" s="578"/>
      <c r="X57" s="580"/>
      <c r="Y57" s="583"/>
      <c r="Z57" s="578"/>
      <c r="AA57" s="584"/>
      <c r="AC57" s="587"/>
      <c r="AD57" s="587"/>
      <c r="AE57" s="587"/>
      <c r="AF57" s="587"/>
      <c r="AG57" s="587"/>
      <c r="AH57" s="587"/>
      <c r="AI57" s="576"/>
    </row>
    <row r="58" spans="2:35" ht="15.75" customHeight="1" x14ac:dyDescent="0.15">
      <c r="B58" s="589"/>
      <c r="C58" s="589"/>
      <c r="D58" s="589"/>
      <c r="E58" s="601"/>
      <c r="F58" s="611"/>
      <c r="G58" s="109"/>
      <c r="H58" s="589"/>
      <c r="I58" s="589"/>
      <c r="J58" s="592"/>
      <c r="K58" s="595"/>
      <c r="L58" s="589"/>
      <c r="M58" s="598"/>
      <c r="O58" s="601"/>
      <c r="P58" s="603"/>
      <c r="Q58" s="605"/>
      <c r="R58" s="607"/>
      <c r="S58" s="601"/>
      <c r="T58" s="609"/>
      <c r="U58" s="89"/>
      <c r="V58" s="587"/>
      <c r="W58" s="578"/>
      <c r="X58" s="580"/>
      <c r="Y58" s="583"/>
      <c r="Z58" s="578"/>
      <c r="AA58" s="584"/>
      <c r="AC58" s="587"/>
      <c r="AD58" s="587"/>
      <c r="AE58" s="587"/>
      <c r="AF58" s="587"/>
      <c r="AG58" s="587"/>
      <c r="AH58" s="587"/>
      <c r="AI58" s="576"/>
    </row>
    <row r="59" spans="2:35" ht="15.75" customHeight="1" x14ac:dyDescent="0.15">
      <c r="B59" s="589"/>
      <c r="C59" s="589"/>
      <c r="D59" s="589"/>
      <c r="E59" s="601"/>
      <c r="F59" s="611"/>
      <c r="G59" s="109"/>
      <c r="H59" s="589"/>
      <c r="I59" s="589"/>
      <c r="J59" s="592"/>
      <c r="K59" s="595"/>
      <c r="L59" s="589"/>
      <c r="M59" s="598"/>
      <c r="O59" s="601"/>
      <c r="P59" s="603"/>
      <c r="Q59" s="605"/>
      <c r="R59" s="607"/>
      <c r="S59" s="601"/>
      <c r="T59" s="609"/>
      <c r="U59" s="89"/>
      <c r="V59" s="587"/>
      <c r="W59" s="578"/>
      <c r="X59" s="580"/>
      <c r="Y59" s="583"/>
      <c r="Z59" s="578"/>
      <c r="AA59" s="584"/>
      <c r="AC59" s="587"/>
      <c r="AD59" s="587"/>
      <c r="AE59" s="587"/>
      <c r="AF59" s="587"/>
      <c r="AG59" s="587"/>
      <c r="AH59" s="587"/>
      <c r="AI59" s="576"/>
    </row>
    <row r="60" spans="2:35" ht="13.5" customHeight="1" x14ac:dyDescent="0.15">
      <c r="B60" s="590"/>
      <c r="C60" s="590"/>
      <c r="D60" s="590"/>
      <c r="E60" s="601"/>
      <c r="F60" s="611"/>
      <c r="G60" s="110"/>
      <c r="H60" s="590"/>
      <c r="I60" s="590"/>
      <c r="J60" s="593"/>
      <c r="K60" s="596"/>
      <c r="L60" s="590"/>
      <c r="M60" s="599"/>
      <c r="O60" s="601"/>
      <c r="P60" s="603"/>
      <c r="Q60" s="605"/>
      <c r="R60" s="607"/>
      <c r="S60" s="601"/>
      <c r="T60" s="609"/>
      <c r="U60" s="89"/>
      <c r="V60" s="587"/>
      <c r="W60" s="578"/>
      <c r="X60" s="581"/>
      <c r="Y60" s="583"/>
      <c r="Z60" s="578"/>
      <c r="AA60" s="585"/>
      <c r="AC60" s="587"/>
      <c r="AD60" s="587"/>
      <c r="AE60" s="587"/>
      <c r="AF60" s="587"/>
      <c r="AG60" s="587"/>
      <c r="AH60" s="587"/>
      <c r="AI60" s="576"/>
    </row>
    <row r="61" spans="2:35" ht="11.1" customHeight="1" x14ac:dyDescent="0.15">
      <c r="B61" s="111"/>
      <c r="C61" s="111"/>
      <c r="D61" s="112"/>
      <c r="E61" s="113"/>
      <c r="F61" s="114"/>
      <c r="G61" s="115"/>
      <c r="H61" s="116" t="s">
        <v>176</v>
      </c>
      <c r="I61" s="116" t="s">
        <v>176</v>
      </c>
      <c r="J61" s="117" t="s">
        <v>176</v>
      </c>
      <c r="K61" s="118" t="s">
        <v>176</v>
      </c>
      <c r="L61" s="116" t="s">
        <v>177</v>
      </c>
      <c r="M61" s="116" t="s">
        <v>176</v>
      </c>
      <c r="O61" s="119" t="s">
        <v>176</v>
      </c>
      <c r="P61" s="120"/>
      <c r="Q61" s="121"/>
      <c r="R61" s="122" t="s">
        <v>176</v>
      </c>
      <c r="S61" s="120"/>
      <c r="T61" s="120"/>
      <c r="U61" s="89"/>
      <c r="V61" s="113"/>
      <c r="W61" s="123"/>
      <c r="X61" s="124"/>
      <c r="Y61" s="125"/>
      <c r="Z61" s="123"/>
      <c r="AA61" s="123"/>
      <c r="AC61" s="119" t="s">
        <v>178</v>
      </c>
      <c r="AD61" s="119" t="s">
        <v>176</v>
      </c>
      <c r="AE61" s="119" t="s">
        <v>176</v>
      </c>
      <c r="AF61" s="126" t="s">
        <v>176</v>
      </c>
      <c r="AG61" s="126" t="s">
        <v>176</v>
      </c>
      <c r="AH61" s="126" t="s">
        <v>176</v>
      </c>
      <c r="AI61" s="126" t="s">
        <v>176</v>
      </c>
    </row>
    <row r="62" spans="2:35" ht="11.1" customHeight="1" x14ac:dyDescent="0.15">
      <c r="B62" s="127"/>
      <c r="C62" s="127"/>
      <c r="D62" s="128"/>
      <c r="E62" s="113"/>
      <c r="F62" s="114"/>
      <c r="G62" s="129"/>
      <c r="H62" s="130"/>
      <c r="I62" s="130"/>
      <c r="J62" s="131"/>
      <c r="K62" s="132"/>
      <c r="L62" s="130"/>
      <c r="M62" s="130"/>
      <c r="O62" s="133"/>
      <c r="P62" s="134"/>
      <c r="Q62" s="135"/>
      <c r="R62" s="136"/>
      <c r="S62" s="137"/>
      <c r="T62" s="137"/>
      <c r="U62" s="89"/>
      <c r="V62" s="138"/>
      <c r="W62" s="123"/>
      <c r="X62" s="124"/>
      <c r="Y62" s="139"/>
      <c r="Z62" s="123"/>
      <c r="AA62" s="123"/>
      <c r="AC62" s="140"/>
      <c r="AD62" s="140"/>
      <c r="AE62" s="140"/>
      <c r="AF62" s="141"/>
      <c r="AG62" s="141"/>
      <c r="AH62" s="141"/>
      <c r="AI62" s="141"/>
    </row>
    <row r="63" spans="2:35" ht="11.1" customHeight="1" x14ac:dyDescent="0.15">
      <c r="B63" s="142">
        <v>1</v>
      </c>
      <c r="C63" s="143">
        <v>40616</v>
      </c>
      <c r="D63" s="144"/>
      <c r="E63" s="145"/>
      <c r="F63" s="146"/>
      <c r="G63" s="147">
        <v>40616</v>
      </c>
      <c r="H63" s="142"/>
      <c r="I63" s="142"/>
      <c r="J63" s="148"/>
      <c r="K63" s="149"/>
      <c r="L63" s="150"/>
      <c r="M63" s="150"/>
      <c r="N63" s="151"/>
      <c r="O63" s="152">
        <f t="shared" ref="O63:O94" si="0">事故日の濃度1*2.71828^(-0.69315/半1*(G63-事故日)/365.25)</f>
        <v>1193.602219927805</v>
      </c>
      <c r="P63" s="153"/>
      <c r="Q63" s="154"/>
      <c r="R63" s="155">
        <f t="shared" ref="R63:R94" si="1">事故日の濃度2*2.71828^(-0.69315/半2*(G63-事故日)/365.25)</f>
        <v>1195.4540564843187</v>
      </c>
      <c r="S63" s="153"/>
      <c r="T63" s="156"/>
      <c r="U63" s="89"/>
      <c r="V63" s="138"/>
      <c r="W63" s="123"/>
      <c r="X63" s="124"/>
      <c r="Y63" s="139"/>
      <c r="Z63" s="123"/>
      <c r="AA63" s="123"/>
      <c r="AC63" s="153">
        <v>1</v>
      </c>
      <c r="AD63" s="153">
        <v>1</v>
      </c>
      <c r="AE63" s="153">
        <v>1</v>
      </c>
      <c r="AF63" s="153">
        <f>AD63+AE63</f>
        <v>2</v>
      </c>
      <c r="AG63" s="157"/>
      <c r="AH63" s="157">
        <v>500</v>
      </c>
      <c r="AI63" s="157">
        <v>500</v>
      </c>
    </row>
    <row r="64" spans="2:35" ht="11.1" customHeight="1" x14ac:dyDescent="0.15">
      <c r="B64" s="158">
        <v>2</v>
      </c>
      <c r="C64" s="159">
        <v>41012</v>
      </c>
      <c r="D64" s="160">
        <v>5693.7099343496038</v>
      </c>
      <c r="E64" s="161">
        <f>-0.00002*D64^2+0.8046*D64</f>
        <v>3932.7923568474635</v>
      </c>
      <c r="F64" s="162">
        <f t="shared" ref="F64:F95" si="2">E64-X64*1000-500</f>
        <v>3259.1441791805332</v>
      </c>
      <c r="G64" s="163">
        <v>41000</v>
      </c>
      <c r="H64" s="158">
        <v>340</v>
      </c>
      <c r="I64" s="158">
        <v>510</v>
      </c>
      <c r="J64" s="164">
        <f>I64+H64</f>
        <v>850</v>
      </c>
      <c r="K64" s="165">
        <v>35</v>
      </c>
      <c r="L64" s="166">
        <v>42</v>
      </c>
      <c r="M64" s="167">
        <f>L64+K64</f>
        <v>77</v>
      </c>
      <c r="N64" s="151"/>
      <c r="O64" s="152">
        <f t="shared" si="0"/>
        <v>427.66824530077849</v>
      </c>
      <c r="P64" s="167">
        <f t="shared" ref="P64:P95" si="3">下駄1-(H64-40999)/除数11</f>
        <v>20.329499999999999</v>
      </c>
      <c r="Q64" s="164">
        <f t="shared" ref="Q64:Q95" si="4">(O64+P64)*(1-X64/除数12)</f>
        <v>409.10074926559156</v>
      </c>
      <c r="R64" s="155">
        <f t="shared" si="1"/>
        <v>576.83092372613953</v>
      </c>
      <c r="S64" s="167">
        <f t="shared" ref="S64:S95" si="5">下駄2-(I64-40999)/除数21</f>
        <v>101.14538461538461</v>
      </c>
      <c r="T64" s="152">
        <f t="shared" ref="T64:T95" si="6">(R64+S64)*(1-X64/除数22)</f>
        <v>619.11163311909479</v>
      </c>
      <c r="U64" s="89"/>
      <c r="V64" s="168">
        <v>80</v>
      </c>
      <c r="W64" s="169">
        <f t="shared" ref="W64:W95" si="7">PI()/180*V64</f>
        <v>1.3962634015954636</v>
      </c>
      <c r="X64" s="170">
        <f t="shared" ref="X64:X95" si="8">COS(W64)</f>
        <v>0.17364817766693041</v>
      </c>
      <c r="Y64" s="171">
        <v>80</v>
      </c>
      <c r="Z64" s="169">
        <f t="shared" ref="Z64:Z95" si="9">PI()/180*Y64</f>
        <v>1.3962634015954636</v>
      </c>
      <c r="AA64" s="169">
        <f t="shared" ref="AA64:AA95" si="10">COS(Z64)</f>
        <v>0.17364817766693041</v>
      </c>
      <c r="AC64" s="172">
        <f t="shared" ref="AC64:AC95" si="11">1*2.71828^(-0.69315/半I131*(C64-事故日)/365.25)</f>
        <v>1.1558905573890596E-15</v>
      </c>
      <c r="AD64" s="173">
        <f t="shared" ref="AD64:AD95" si="12">1*2.71828^(-0.69315/半Cs134*(C64-事故日)/365.25)</f>
        <v>0.69329817118215586</v>
      </c>
      <c r="AE64" s="173">
        <f t="shared" ref="AE64:AE95" si="13">1*2.71828^(-0.69315/半Cs137*(C64-事故日)/365.25)</f>
        <v>0.97519475899904395</v>
      </c>
      <c r="AF64" s="173">
        <f>AD64+AE64</f>
        <v>1.6684929301811997</v>
      </c>
      <c r="AG64" s="157">
        <v>1000</v>
      </c>
      <c r="AH64" s="152">
        <f t="shared" ref="AH64:AH95" si="14">500*2.71828^(-0.69315/半Cs134*(C64-事故日)/365.25)</f>
        <v>346.64908559107795</v>
      </c>
      <c r="AI64" s="152">
        <f t="shared" ref="AI64:AI95" si="15">500*2.71828^(-0.69315/半Cs137*(C64-事故日)/365.25)</f>
        <v>487.59737949952199</v>
      </c>
    </row>
    <row r="65" spans="2:35" ht="11.1" customHeight="1" x14ac:dyDescent="0.15">
      <c r="B65" s="158">
        <v>3</v>
      </c>
      <c r="C65" s="159">
        <v>41045</v>
      </c>
      <c r="D65" s="160">
        <v>6461.0235251811728</v>
      </c>
      <c r="E65" s="161">
        <f t="shared" ref="E65:E85" si="16">-0.00002*D65^2+0.8046*D65</f>
        <v>4363.6430285018805</v>
      </c>
      <c r="F65" s="162">
        <f t="shared" si="2"/>
        <v>4629.6874716208586</v>
      </c>
      <c r="G65" s="163">
        <v>41030</v>
      </c>
      <c r="H65" s="158">
        <v>550</v>
      </c>
      <c r="I65" s="158">
        <v>850</v>
      </c>
      <c r="J65" s="164">
        <f>I65+H65</f>
        <v>1400</v>
      </c>
      <c r="K65" s="174">
        <v>41</v>
      </c>
      <c r="L65" s="158">
        <v>63</v>
      </c>
      <c r="M65" s="167">
        <f t="shared" ref="M65:M128" si="17">L65+K65</f>
        <v>104</v>
      </c>
      <c r="N65" s="151"/>
      <c r="O65" s="152">
        <f t="shared" si="0"/>
        <v>394.71404663840514</v>
      </c>
      <c r="P65" s="167">
        <f t="shared" si="3"/>
        <v>20.224499999999999</v>
      </c>
      <c r="Q65" s="164">
        <f t="shared" si="4"/>
        <v>573.86923058251261</v>
      </c>
      <c r="R65" s="155">
        <f t="shared" si="1"/>
        <v>544.908013145724</v>
      </c>
      <c r="S65" s="167">
        <f t="shared" si="5"/>
        <v>100.88384615384615</v>
      </c>
      <c r="T65" s="152">
        <f t="shared" si="6"/>
        <v>893.14449191352446</v>
      </c>
      <c r="U65" s="89"/>
      <c r="V65" s="168">
        <v>140</v>
      </c>
      <c r="W65" s="169">
        <f t="shared" si="7"/>
        <v>2.4434609527920612</v>
      </c>
      <c r="X65" s="170">
        <f t="shared" si="8"/>
        <v>-0.7660444431189779</v>
      </c>
      <c r="Y65" s="171">
        <v>110</v>
      </c>
      <c r="Z65" s="169">
        <f t="shared" si="9"/>
        <v>1.9198621771937625</v>
      </c>
      <c r="AA65" s="169">
        <f t="shared" si="10"/>
        <v>-0.34202014332566871</v>
      </c>
      <c r="AC65" s="172">
        <f t="shared" si="11"/>
        <v>6.6744400352010885E-17</v>
      </c>
      <c r="AD65" s="173">
        <f t="shared" si="12"/>
        <v>0.67255841182675324</v>
      </c>
      <c r="AE65" s="173">
        <f t="shared" si="13"/>
        <v>0.9731658787375489</v>
      </c>
      <c r="AF65" s="173">
        <f t="shared" ref="AF65:AF128" si="18">AD65+AE65</f>
        <v>1.6457242905643021</v>
      </c>
      <c r="AG65" s="152">
        <f t="shared" ref="AG65:AG96" si="19">5000*2.71828^(-0.69315/半Cs134*(C65-調査初日)/365.25)+5000*2.71828^(-0.69315/半Cs137*(C65-調査初日)/365.25)</f>
        <v>9430.6137473587933</v>
      </c>
      <c r="AH65" s="152">
        <f t="shared" si="14"/>
        <v>336.27920591337664</v>
      </c>
      <c r="AI65" s="152">
        <f t="shared" si="15"/>
        <v>486.58293936877448</v>
      </c>
    </row>
    <row r="66" spans="2:35" ht="11.1" customHeight="1" x14ac:dyDescent="0.15">
      <c r="B66" s="158">
        <v>4</v>
      </c>
      <c r="C66" s="159">
        <v>41073</v>
      </c>
      <c r="D66" s="160">
        <v>6179.5927881937196</v>
      </c>
      <c r="E66" s="161">
        <f t="shared" si="16"/>
        <v>4208.3530168227499</v>
      </c>
      <c r="F66" s="162">
        <f t="shared" si="2"/>
        <v>4708.3530168227499</v>
      </c>
      <c r="G66" s="163">
        <v>41061</v>
      </c>
      <c r="H66" s="158">
        <v>550</v>
      </c>
      <c r="I66" s="158">
        <v>890</v>
      </c>
      <c r="J66" s="164">
        <f>I66+H66</f>
        <v>1440</v>
      </c>
      <c r="K66" s="174">
        <v>61</v>
      </c>
      <c r="L66" s="158">
        <v>87</v>
      </c>
      <c r="M66" s="167">
        <f t="shared" si="17"/>
        <v>148</v>
      </c>
      <c r="N66" s="151"/>
      <c r="O66" s="152">
        <f t="shared" si="0"/>
        <v>363.32672557584715</v>
      </c>
      <c r="P66" s="167">
        <f t="shared" si="3"/>
        <v>20.224499999999999</v>
      </c>
      <c r="Q66" s="164">
        <f t="shared" si="4"/>
        <v>575.32683836377066</v>
      </c>
      <c r="R66" s="155">
        <f t="shared" si="1"/>
        <v>513.77583790499762</v>
      </c>
      <c r="S66" s="167">
        <f t="shared" si="5"/>
        <v>100.85307692307693</v>
      </c>
      <c r="T66" s="152">
        <f t="shared" si="6"/>
        <v>921.94337224211188</v>
      </c>
      <c r="U66" s="89"/>
      <c r="V66" s="168">
        <v>180</v>
      </c>
      <c r="W66" s="169">
        <f t="shared" si="7"/>
        <v>3.1415926535897931</v>
      </c>
      <c r="X66" s="170">
        <f t="shared" si="8"/>
        <v>-1</v>
      </c>
      <c r="Y66" s="171">
        <v>140</v>
      </c>
      <c r="Z66" s="169">
        <f t="shared" si="9"/>
        <v>2.4434609527920612</v>
      </c>
      <c r="AA66" s="169">
        <f t="shared" si="10"/>
        <v>-0.7660444431189779</v>
      </c>
      <c r="AC66" s="172">
        <f t="shared" si="11"/>
        <v>5.9369686454706109E-18</v>
      </c>
      <c r="AD66" s="173">
        <f t="shared" si="12"/>
        <v>0.65544832041613277</v>
      </c>
      <c r="AE66" s="173">
        <f t="shared" si="13"/>
        <v>0.97144771510320882</v>
      </c>
      <c r="AF66" s="173">
        <f t="shared" si="18"/>
        <v>1.6268960355193416</v>
      </c>
      <c r="AG66" s="152">
        <f t="shared" si="19"/>
        <v>9308.161957881126</v>
      </c>
      <c r="AH66" s="152">
        <f t="shared" si="14"/>
        <v>327.72416020806639</v>
      </c>
      <c r="AI66" s="152">
        <f t="shared" si="15"/>
        <v>485.7238575516044</v>
      </c>
    </row>
    <row r="67" spans="2:35" ht="11.1" customHeight="1" x14ac:dyDescent="0.15">
      <c r="B67" s="158">
        <v>5</v>
      </c>
      <c r="C67" s="159">
        <v>41101</v>
      </c>
      <c r="D67" s="160">
        <v>6411.8394300434275</v>
      </c>
      <c r="E67" s="161">
        <f t="shared" si="16"/>
        <v>4336.732307879749</v>
      </c>
      <c r="F67" s="162">
        <f t="shared" si="2"/>
        <v>4702.7577116641878</v>
      </c>
      <c r="G67" s="163">
        <v>41091</v>
      </c>
      <c r="H67" s="158">
        <v>460</v>
      </c>
      <c r="I67" s="158">
        <v>760</v>
      </c>
      <c r="J67" s="164">
        <f>I67+H67</f>
        <v>1220</v>
      </c>
      <c r="K67" s="174">
        <v>41</v>
      </c>
      <c r="L67" s="158">
        <v>55</v>
      </c>
      <c r="M67" s="167">
        <f t="shared" si="17"/>
        <v>96</v>
      </c>
      <c r="N67" s="151"/>
      <c r="O67" s="152">
        <f t="shared" si="0"/>
        <v>335.3303961182898</v>
      </c>
      <c r="P67" s="167">
        <f t="shared" si="3"/>
        <v>20.269500000000001</v>
      </c>
      <c r="Q67" s="164">
        <f t="shared" si="4"/>
        <v>509.57916792906292</v>
      </c>
      <c r="R67" s="155">
        <f t="shared" si="1"/>
        <v>485.34251462566851</v>
      </c>
      <c r="S67" s="167">
        <f t="shared" si="5"/>
        <v>100.95307692307692</v>
      </c>
      <c r="T67" s="152">
        <f t="shared" si="6"/>
        <v>840.16902975276457</v>
      </c>
      <c r="U67" s="89"/>
      <c r="V67" s="168">
        <v>210</v>
      </c>
      <c r="W67" s="169">
        <f t="shared" si="7"/>
        <v>3.6651914291880923</v>
      </c>
      <c r="X67" s="170">
        <f t="shared" si="8"/>
        <v>-0.8660254037844386</v>
      </c>
      <c r="Y67" s="171">
        <v>170</v>
      </c>
      <c r="Z67" s="169">
        <f t="shared" si="9"/>
        <v>2.9670597283903604</v>
      </c>
      <c r="AA67" s="169">
        <f t="shared" si="10"/>
        <v>-0.98480775301220802</v>
      </c>
      <c r="AC67" s="172">
        <f t="shared" si="11"/>
        <v>5.2809818518715547E-19</v>
      </c>
      <c r="AD67" s="173">
        <f t="shared" si="12"/>
        <v>0.63877351495678691</v>
      </c>
      <c r="AE67" s="173">
        <f t="shared" si="13"/>
        <v>0.96973258495610748</v>
      </c>
      <c r="AF67" s="173">
        <f t="shared" si="18"/>
        <v>1.6085060999128944</v>
      </c>
      <c r="AG67" s="152">
        <f t="shared" si="19"/>
        <v>9188.6179885319216</v>
      </c>
      <c r="AH67" s="152">
        <f t="shared" si="14"/>
        <v>319.38675747839346</v>
      </c>
      <c r="AI67" s="152">
        <f t="shared" si="15"/>
        <v>484.86629247805377</v>
      </c>
    </row>
    <row r="68" spans="2:35" ht="11.1" customHeight="1" x14ac:dyDescent="0.15">
      <c r="B68" s="158">
        <v>6</v>
      </c>
      <c r="C68" s="159">
        <v>41129</v>
      </c>
      <c r="D68" s="160">
        <v>6767.281654590066</v>
      </c>
      <c r="E68" s="161">
        <f t="shared" si="16"/>
        <v>4529.0327994321415</v>
      </c>
      <c r="F68" s="162">
        <f t="shared" si="2"/>
        <v>4529.0327994321415</v>
      </c>
      <c r="G68" s="163">
        <v>41122</v>
      </c>
      <c r="H68" s="158">
        <v>390</v>
      </c>
      <c r="I68" s="158">
        <v>660</v>
      </c>
      <c r="J68" s="164">
        <f t="shared" ref="J68:J131" si="20">I68+H68</f>
        <v>1050</v>
      </c>
      <c r="K68" s="174">
        <v>19</v>
      </c>
      <c r="L68" s="158">
        <v>38</v>
      </c>
      <c r="M68" s="167">
        <f t="shared" si="17"/>
        <v>57</v>
      </c>
      <c r="N68" s="151"/>
      <c r="O68" s="152">
        <f t="shared" si="0"/>
        <v>308.66521180413349</v>
      </c>
      <c r="P68" s="167">
        <f t="shared" si="3"/>
        <v>20.304500000000001</v>
      </c>
      <c r="Q68" s="164">
        <f t="shared" si="4"/>
        <v>411.21213975516696</v>
      </c>
      <c r="R68" s="155">
        <f t="shared" si="1"/>
        <v>457.61348907900185</v>
      </c>
      <c r="S68" s="167">
        <f t="shared" si="5"/>
        <v>101.03</v>
      </c>
      <c r="T68" s="152">
        <f t="shared" si="6"/>
        <v>698.30436134875242</v>
      </c>
      <c r="U68" s="89"/>
      <c r="V68" s="168">
        <v>240</v>
      </c>
      <c r="W68" s="169">
        <f t="shared" si="7"/>
        <v>4.1887902047863905</v>
      </c>
      <c r="X68" s="170">
        <f t="shared" si="8"/>
        <v>-0.50000000000000044</v>
      </c>
      <c r="Y68" s="171">
        <v>200</v>
      </c>
      <c r="Z68" s="169">
        <f t="shared" si="9"/>
        <v>3.4906585039886591</v>
      </c>
      <c r="AA68" s="169">
        <f t="shared" si="10"/>
        <v>-0.93969262078590843</v>
      </c>
      <c r="AC68" s="172">
        <f t="shared" si="11"/>
        <v>4.6974762686464625E-20</v>
      </c>
      <c r="AD68" s="173">
        <f t="shared" si="12"/>
        <v>0.62252292164116974</v>
      </c>
      <c r="AE68" s="173">
        <f t="shared" si="13"/>
        <v>0.96802048294050069</v>
      </c>
      <c r="AF68" s="173">
        <f t="shared" si="18"/>
        <v>1.5905434045816704</v>
      </c>
      <c r="AG68" s="152">
        <f t="shared" si="19"/>
        <v>9071.908229635821</v>
      </c>
      <c r="AH68" s="152">
        <f t="shared" si="14"/>
        <v>311.26146082058489</v>
      </c>
      <c r="AI68" s="152">
        <f t="shared" si="15"/>
        <v>484.01024147025032</v>
      </c>
    </row>
    <row r="69" spans="2:35" ht="11.1" customHeight="1" x14ac:dyDescent="0.15">
      <c r="B69" s="158">
        <v>7</v>
      </c>
      <c r="C69" s="159">
        <v>41164</v>
      </c>
      <c r="D69" s="160">
        <v>6054.9434296986519</v>
      </c>
      <c r="E69" s="161">
        <f t="shared" si="16"/>
        <v>4138.5606847985182</v>
      </c>
      <c r="F69" s="162">
        <f t="shared" si="2"/>
        <v>3980.5808281241871</v>
      </c>
      <c r="G69" s="163">
        <v>41153</v>
      </c>
      <c r="H69" s="158">
        <v>300</v>
      </c>
      <c r="I69" s="158">
        <v>510</v>
      </c>
      <c r="J69" s="164">
        <f t="shared" si="20"/>
        <v>810</v>
      </c>
      <c r="K69" s="174">
        <v>17</v>
      </c>
      <c r="L69" s="158">
        <v>23</v>
      </c>
      <c r="M69" s="167">
        <f t="shared" si="17"/>
        <v>40</v>
      </c>
      <c r="N69" s="151"/>
      <c r="O69" s="152">
        <f t="shared" si="0"/>
        <v>284.12041998269092</v>
      </c>
      <c r="P69" s="167">
        <f t="shared" si="3"/>
        <v>20.349499999999999</v>
      </c>
      <c r="Q69" s="164">
        <f t="shared" si="4"/>
        <v>356.53734281810824</v>
      </c>
      <c r="R69" s="155">
        <f t="shared" si="1"/>
        <v>431.46870318700604</v>
      </c>
      <c r="S69" s="167">
        <f t="shared" si="5"/>
        <v>101.14538461538461</v>
      </c>
      <c r="T69" s="152">
        <f t="shared" si="6"/>
        <v>623.69646112611258</v>
      </c>
      <c r="U69" s="89"/>
      <c r="V69" s="168">
        <v>250</v>
      </c>
      <c r="W69" s="169">
        <f t="shared" si="7"/>
        <v>4.3633231299858242</v>
      </c>
      <c r="X69" s="170">
        <f t="shared" si="8"/>
        <v>-0.34202014332566855</v>
      </c>
      <c r="Y69" s="171">
        <v>230</v>
      </c>
      <c r="Z69" s="169">
        <f t="shared" si="9"/>
        <v>4.0142572795869578</v>
      </c>
      <c r="AA69" s="169">
        <f t="shared" si="10"/>
        <v>-0.64278760968653947</v>
      </c>
      <c r="AC69" s="172">
        <f t="shared" si="11"/>
        <v>2.2819282998636763E-21</v>
      </c>
      <c r="AD69" s="173">
        <f t="shared" si="12"/>
        <v>0.60278981349660865</v>
      </c>
      <c r="AE69" s="173">
        <f t="shared" si="13"/>
        <v>0.96588460558706957</v>
      </c>
      <c r="AF69" s="173">
        <f t="shared" si="18"/>
        <v>1.5686744190836781</v>
      </c>
      <c r="AG69" s="152">
        <f t="shared" si="19"/>
        <v>8929.8975259861072</v>
      </c>
      <c r="AH69" s="152">
        <f t="shared" si="14"/>
        <v>301.39490674830432</v>
      </c>
      <c r="AI69" s="152">
        <f t="shared" si="15"/>
        <v>482.94230279353479</v>
      </c>
    </row>
    <row r="70" spans="2:35" ht="11.1" customHeight="1" x14ac:dyDescent="0.15">
      <c r="B70" s="158">
        <v>8</v>
      </c>
      <c r="C70" s="159">
        <v>41199</v>
      </c>
      <c r="D70" s="160">
        <v>6164.2626032404287</v>
      </c>
      <c r="E70" s="161">
        <f t="shared" si="16"/>
        <v>4199.8030217330788</v>
      </c>
      <c r="F70" s="162">
        <f t="shared" si="2"/>
        <v>3873.4511994000095</v>
      </c>
      <c r="G70" s="163">
        <v>41183</v>
      </c>
      <c r="H70" s="158">
        <v>260</v>
      </c>
      <c r="I70" s="158">
        <v>450</v>
      </c>
      <c r="J70" s="164">
        <f t="shared" si="20"/>
        <v>710</v>
      </c>
      <c r="K70" s="174">
        <v>17</v>
      </c>
      <c r="L70" s="158">
        <v>24</v>
      </c>
      <c r="M70" s="167">
        <f t="shared" si="17"/>
        <v>41</v>
      </c>
      <c r="N70" s="151"/>
      <c r="O70" s="152">
        <f t="shared" si="0"/>
        <v>262.22737352196629</v>
      </c>
      <c r="P70" s="167">
        <f t="shared" si="3"/>
        <v>20.369499999999999</v>
      </c>
      <c r="Q70" s="164">
        <f t="shared" si="4"/>
        <v>307.13308957269703</v>
      </c>
      <c r="R70" s="155">
        <f t="shared" si="1"/>
        <v>407.59041188266207</v>
      </c>
      <c r="S70" s="167">
        <f t="shared" si="5"/>
        <v>101.19153846153846</v>
      </c>
      <c r="T70" s="152">
        <f t="shared" si="6"/>
        <v>552.95647959774908</v>
      </c>
      <c r="U70" s="89"/>
      <c r="V70" s="168">
        <v>260</v>
      </c>
      <c r="W70" s="169">
        <f t="shared" si="7"/>
        <v>4.5378560551852569</v>
      </c>
      <c r="X70" s="170">
        <f t="shared" si="8"/>
        <v>-0.17364817766693033</v>
      </c>
      <c r="Y70" s="171">
        <v>260</v>
      </c>
      <c r="Z70" s="169">
        <f t="shared" si="9"/>
        <v>4.5378560551852569</v>
      </c>
      <c r="AA70" s="169">
        <f t="shared" si="10"/>
        <v>-0.17364817766693033</v>
      </c>
      <c r="AC70" s="172">
        <f t="shared" si="11"/>
        <v>1.1085094352630043E-22</v>
      </c>
      <c r="AD70" s="173">
        <f t="shared" si="12"/>
        <v>0.5836822173508962</v>
      </c>
      <c r="AE70" s="173">
        <f t="shared" si="13"/>
        <v>0.96375344091498061</v>
      </c>
      <c r="AF70" s="173">
        <f t="shared" si="18"/>
        <v>1.5474356582658768</v>
      </c>
      <c r="AG70" s="152">
        <f t="shared" si="19"/>
        <v>8792.0672029200468</v>
      </c>
      <c r="AH70" s="152">
        <f t="shared" si="14"/>
        <v>291.84110867544808</v>
      </c>
      <c r="AI70" s="152">
        <f t="shared" si="15"/>
        <v>481.87672045749031</v>
      </c>
    </row>
    <row r="71" spans="2:35" ht="11.1" customHeight="1" x14ac:dyDescent="0.15">
      <c r="B71" s="158">
        <v>9</v>
      </c>
      <c r="C71" s="159">
        <v>41234</v>
      </c>
      <c r="D71" s="160">
        <v>5754.4110320193013</v>
      </c>
      <c r="E71" s="161">
        <f t="shared" si="16"/>
        <v>3967.7341898542213</v>
      </c>
      <c r="F71" s="162">
        <f t="shared" si="2"/>
        <v>3294.0860121872915</v>
      </c>
      <c r="G71" s="163">
        <v>41214</v>
      </c>
      <c r="H71" s="158">
        <v>250</v>
      </c>
      <c r="I71" s="158">
        <v>450</v>
      </c>
      <c r="J71" s="164">
        <f t="shared" si="20"/>
        <v>700</v>
      </c>
      <c r="K71" s="174">
        <v>11</v>
      </c>
      <c r="L71" s="158">
        <v>23</v>
      </c>
      <c r="M71" s="167">
        <f t="shared" si="17"/>
        <v>34</v>
      </c>
      <c r="N71" s="151"/>
      <c r="O71" s="152">
        <f t="shared" si="0"/>
        <v>241.37527860864461</v>
      </c>
      <c r="P71" s="167">
        <f t="shared" si="3"/>
        <v>20.374500000000001</v>
      </c>
      <c r="Q71" s="164">
        <f t="shared" si="4"/>
        <v>239.02359257858782</v>
      </c>
      <c r="R71" s="155">
        <f t="shared" si="1"/>
        <v>384.30358947768934</v>
      </c>
      <c r="S71" s="167">
        <f t="shared" si="5"/>
        <v>101.19153846153846</v>
      </c>
      <c r="T71" s="152">
        <f t="shared" si="6"/>
        <v>443.34245582281784</v>
      </c>
      <c r="U71" s="89"/>
      <c r="V71" s="168">
        <v>280</v>
      </c>
      <c r="W71" s="169">
        <f t="shared" si="7"/>
        <v>4.8869219055841224</v>
      </c>
      <c r="X71" s="170">
        <f t="shared" si="8"/>
        <v>0.17364817766692997</v>
      </c>
      <c r="Y71" s="171">
        <v>290</v>
      </c>
      <c r="Z71" s="169">
        <f t="shared" si="9"/>
        <v>5.0614548307835561</v>
      </c>
      <c r="AA71" s="169">
        <f t="shared" si="10"/>
        <v>0.34202014332566899</v>
      </c>
      <c r="AC71" s="172">
        <f t="shared" si="11"/>
        <v>5.384889473260536E-24</v>
      </c>
      <c r="AD71" s="173">
        <f t="shared" si="12"/>
        <v>0.56518030534631059</v>
      </c>
      <c r="AE71" s="173">
        <f t="shared" si="13"/>
        <v>0.96162697852599399</v>
      </c>
      <c r="AF71" s="173">
        <f t="shared" si="18"/>
        <v>1.5268072838723046</v>
      </c>
      <c r="AG71" s="152">
        <f t="shared" si="19"/>
        <v>8658.2854568261373</v>
      </c>
      <c r="AH71" s="152">
        <f t="shared" si="14"/>
        <v>282.59015267315527</v>
      </c>
      <c r="AI71" s="152">
        <f t="shared" si="15"/>
        <v>480.813489262997</v>
      </c>
    </row>
    <row r="72" spans="2:35" ht="11.1" customHeight="1" x14ac:dyDescent="0.15">
      <c r="B72" s="158">
        <v>10</v>
      </c>
      <c r="C72" s="159">
        <v>41262</v>
      </c>
      <c r="D72" s="160">
        <v>5830.9070462498912</v>
      </c>
      <c r="E72" s="161">
        <f t="shared" si="16"/>
        <v>4011.5582697725295</v>
      </c>
      <c r="F72" s="162">
        <f t="shared" si="2"/>
        <v>2868.7706600859901</v>
      </c>
      <c r="G72" s="163">
        <v>41244</v>
      </c>
      <c r="H72" s="158">
        <v>180</v>
      </c>
      <c r="I72" s="158">
        <v>330</v>
      </c>
      <c r="J72" s="164">
        <f t="shared" si="20"/>
        <v>510</v>
      </c>
      <c r="K72" s="175">
        <v>5.5</v>
      </c>
      <c r="L72" s="176">
        <v>11.5</v>
      </c>
      <c r="M72" s="167">
        <f t="shared" si="17"/>
        <v>17</v>
      </c>
      <c r="N72" s="151"/>
      <c r="O72" s="152">
        <f t="shared" si="0"/>
        <v>222.77598120731267</v>
      </c>
      <c r="P72" s="167">
        <f t="shared" si="3"/>
        <v>20.409500000000001</v>
      </c>
      <c r="Q72" s="164">
        <f t="shared" si="4"/>
        <v>165.02717411945301</v>
      </c>
      <c r="R72" s="155">
        <f t="shared" si="1"/>
        <v>363.03550446695323</v>
      </c>
      <c r="S72" s="167">
        <f t="shared" si="5"/>
        <v>101.28384615384616</v>
      </c>
      <c r="T72" s="152">
        <f t="shared" si="6"/>
        <v>315.08998786242449</v>
      </c>
      <c r="U72" s="89"/>
      <c r="V72" s="168">
        <v>310</v>
      </c>
      <c r="W72" s="169">
        <f t="shared" si="7"/>
        <v>5.4105206811824216</v>
      </c>
      <c r="X72" s="170">
        <f t="shared" si="8"/>
        <v>0.64278760968653925</v>
      </c>
      <c r="Y72" s="171">
        <v>320</v>
      </c>
      <c r="Z72" s="169">
        <f t="shared" si="9"/>
        <v>5.5850536063818543</v>
      </c>
      <c r="AA72" s="169">
        <f t="shared" si="10"/>
        <v>0.76604444311897779</v>
      </c>
      <c r="AC72" s="172">
        <f t="shared" si="11"/>
        <v>4.7899029421888219E-25</v>
      </c>
      <c r="AD72" s="173">
        <f t="shared" si="12"/>
        <v>0.55080194576012675</v>
      </c>
      <c r="AE72" s="173">
        <f t="shared" si="13"/>
        <v>0.95992918728566889</v>
      </c>
      <c r="AF72" s="173">
        <f t="shared" si="18"/>
        <v>1.5107311330457955</v>
      </c>
      <c r="AG72" s="152">
        <f t="shared" si="19"/>
        <v>8554.0891329772712</v>
      </c>
      <c r="AH72" s="152">
        <f t="shared" si="14"/>
        <v>275.40097288006336</v>
      </c>
      <c r="AI72" s="152">
        <f t="shared" si="15"/>
        <v>479.96459364283447</v>
      </c>
    </row>
    <row r="73" spans="2:35" ht="11.1" customHeight="1" x14ac:dyDescent="0.15">
      <c r="B73" s="158">
        <v>11</v>
      </c>
      <c r="C73" s="159">
        <v>41290</v>
      </c>
      <c r="D73" s="160">
        <v>5508.7884612072394</v>
      </c>
      <c r="E73" s="161">
        <f t="shared" si="16"/>
        <v>3825.4361896807441</v>
      </c>
      <c r="F73" s="162">
        <f t="shared" si="2"/>
        <v>2559.391746561766</v>
      </c>
      <c r="G73" s="163">
        <v>41275</v>
      </c>
      <c r="H73" s="158">
        <v>160</v>
      </c>
      <c r="I73" s="158">
        <v>300</v>
      </c>
      <c r="J73" s="164">
        <f t="shared" si="20"/>
        <v>460</v>
      </c>
      <c r="K73" s="177">
        <v>4.2563140860967774</v>
      </c>
      <c r="L73" s="167">
        <v>11.301538550542444</v>
      </c>
      <c r="M73" s="167">
        <f t="shared" si="17"/>
        <v>15.557852636639222</v>
      </c>
      <c r="N73" s="151"/>
      <c r="O73" s="152">
        <f t="shared" si="0"/>
        <v>205.06102703547398</v>
      </c>
      <c r="P73" s="167">
        <f t="shared" si="3"/>
        <v>20.419499999999999</v>
      </c>
      <c r="Q73" s="164">
        <f t="shared" si="4"/>
        <v>139.11647465194233</v>
      </c>
      <c r="R73" s="155">
        <f t="shared" si="1"/>
        <v>342.29423314957177</v>
      </c>
      <c r="S73" s="167">
        <f t="shared" si="5"/>
        <v>101.30692307692308</v>
      </c>
      <c r="T73" s="152">
        <f t="shared" si="6"/>
        <v>273.69205588226487</v>
      </c>
      <c r="U73" s="89"/>
      <c r="V73" s="168">
        <v>320</v>
      </c>
      <c r="W73" s="169">
        <f t="shared" si="7"/>
        <v>5.5850536063818543</v>
      </c>
      <c r="X73" s="170">
        <f t="shared" si="8"/>
        <v>0.76604444311897779</v>
      </c>
      <c r="Y73" s="171">
        <v>350</v>
      </c>
      <c r="Z73" s="169">
        <f t="shared" si="9"/>
        <v>6.1086523819801535</v>
      </c>
      <c r="AA73" s="169">
        <f t="shared" si="10"/>
        <v>0.98480775301220802</v>
      </c>
      <c r="AC73" s="172">
        <f t="shared" si="11"/>
        <v>4.2606575881487414E-26</v>
      </c>
      <c r="AD73" s="173">
        <f t="shared" si="12"/>
        <v>0.53678937603327448</v>
      </c>
      <c r="AE73" s="173">
        <f t="shared" si="13"/>
        <v>0.95823439356429896</v>
      </c>
      <c r="AF73" s="173">
        <f t="shared" si="18"/>
        <v>1.4950237695975734</v>
      </c>
      <c r="AG73" s="152">
        <f t="shared" si="19"/>
        <v>8452.3386636837458</v>
      </c>
      <c r="AH73" s="152">
        <f t="shared" si="14"/>
        <v>268.39468801663725</v>
      </c>
      <c r="AI73" s="152">
        <f t="shared" si="15"/>
        <v>479.11719678214951</v>
      </c>
    </row>
    <row r="74" spans="2:35" ht="11.1" customHeight="1" x14ac:dyDescent="0.15">
      <c r="B74" s="158">
        <v>12</v>
      </c>
      <c r="C74" s="159">
        <v>41318</v>
      </c>
      <c r="D74" s="160">
        <v>4728.3759929486159</v>
      </c>
      <c r="E74" s="161">
        <f t="shared" si="16"/>
        <v>3357.3005333125998</v>
      </c>
      <c r="F74" s="162">
        <f t="shared" si="2"/>
        <v>1991.2751295281614</v>
      </c>
      <c r="G74" s="163">
        <v>41306</v>
      </c>
      <c r="H74" s="158">
        <v>98</v>
      </c>
      <c r="I74" s="158">
        <v>180</v>
      </c>
      <c r="J74" s="164">
        <f t="shared" si="20"/>
        <v>278</v>
      </c>
      <c r="K74" s="177">
        <v>4.1480321557769662</v>
      </c>
      <c r="L74" s="167">
        <v>11.457859997308681</v>
      </c>
      <c r="M74" s="167">
        <f t="shared" si="17"/>
        <v>15.605892153085648</v>
      </c>
      <c r="N74" s="151"/>
      <c r="O74" s="152">
        <f t="shared" si="0"/>
        <v>188.75475076333359</v>
      </c>
      <c r="P74" s="167">
        <f t="shared" si="3"/>
        <v>20.450500000000002</v>
      </c>
      <c r="Q74" s="164">
        <f t="shared" si="4"/>
        <v>118.61671988026326</v>
      </c>
      <c r="R74" s="155">
        <f t="shared" si="1"/>
        <v>322.73797082047895</v>
      </c>
      <c r="S74" s="167">
        <f t="shared" si="5"/>
        <v>101.39923076923077</v>
      </c>
      <c r="T74" s="152">
        <f t="shared" si="6"/>
        <v>240.48040595634467</v>
      </c>
      <c r="U74" s="89"/>
      <c r="V74" s="168">
        <v>330</v>
      </c>
      <c r="W74" s="169">
        <f t="shared" si="7"/>
        <v>5.7595865315812871</v>
      </c>
      <c r="X74" s="170">
        <f t="shared" si="8"/>
        <v>0.86602540378443837</v>
      </c>
      <c r="Y74" s="171">
        <v>380</v>
      </c>
      <c r="Z74" s="169">
        <f t="shared" si="9"/>
        <v>6.6322511575784526</v>
      </c>
      <c r="AA74" s="169">
        <f t="shared" si="10"/>
        <v>0.93969262078590832</v>
      </c>
      <c r="AC74" s="172">
        <f t="shared" si="11"/>
        <v>3.7898895452678096E-27</v>
      </c>
      <c r="AD74" s="173">
        <f t="shared" si="12"/>
        <v>0.52313329036001233</v>
      </c>
      <c r="AE74" s="173">
        <f t="shared" si="13"/>
        <v>0.9565425920696432</v>
      </c>
      <c r="AF74" s="173">
        <f t="shared" si="18"/>
        <v>1.4796758824296554</v>
      </c>
      <c r="AG74" s="152">
        <f t="shared" si="19"/>
        <v>8352.9721874739262</v>
      </c>
      <c r="AH74" s="152">
        <f t="shared" si="14"/>
        <v>261.56664518000616</v>
      </c>
      <c r="AI74" s="152">
        <f t="shared" si="15"/>
        <v>478.2712960348216</v>
      </c>
    </row>
    <row r="75" spans="2:35" ht="11.1" customHeight="1" x14ac:dyDescent="0.15">
      <c r="B75" s="158">
        <v>13</v>
      </c>
      <c r="C75" s="159">
        <v>41346</v>
      </c>
      <c r="D75" s="160">
        <v>5774.2107831388548</v>
      </c>
      <c r="E75" s="161">
        <f t="shared" si="16"/>
        <v>3979.0997927511817</v>
      </c>
      <c r="F75" s="162">
        <f t="shared" si="2"/>
        <v>2539.4071719652734</v>
      </c>
      <c r="G75" s="163">
        <v>41334</v>
      </c>
      <c r="H75" s="158">
        <v>160</v>
      </c>
      <c r="I75" s="158">
        <v>320</v>
      </c>
      <c r="J75" s="164">
        <f t="shared" si="20"/>
        <v>480</v>
      </c>
      <c r="K75" s="177">
        <v>4.0425049508361122</v>
      </c>
      <c r="L75" s="167">
        <v>11.437630683062403</v>
      </c>
      <c r="M75" s="167">
        <f t="shared" si="17"/>
        <v>15.480135633898517</v>
      </c>
      <c r="N75" s="151"/>
      <c r="O75" s="152">
        <f t="shared" si="0"/>
        <v>175.14393241983743</v>
      </c>
      <c r="P75" s="167">
        <f t="shared" si="3"/>
        <v>20.419499999999999</v>
      </c>
      <c r="Q75" s="164">
        <f t="shared" si="4"/>
        <v>103.67867524959496</v>
      </c>
      <c r="R75" s="155">
        <f t="shared" si="1"/>
        <v>306.0363966679954</v>
      </c>
      <c r="S75" s="167">
        <f t="shared" si="5"/>
        <v>101.29153846153847</v>
      </c>
      <c r="T75" s="152">
        <f t="shared" si="6"/>
        <v>215.9464076889418</v>
      </c>
      <c r="U75" s="89"/>
      <c r="V75" s="168">
        <v>340</v>
      </c>
      <c r="W75" s="169">
        <f t="shared" si="7"/>
        <v>5.9341194567807207</v>
      </c>
      <c r="X75" s="170">
        <f t="shared" si="8"/>
        <v>0.93969262078590843</v>
      </c>
      <c r="Y75" s="171">
        <v>410</v>
      </c>
      <c r="Z75" s="169">
        <f t="shared" si="9"/>
        <v>7.1558499331767509</v>
      </c>
      <c r="AA75" s="169">
        <f t="shared" si="10"/>
        <v>0.64278760968653958</v>
      </c>
      <c r="AC75" s="172">
        <f t="shared" si="11"/>
        <v>3.3711375458292089E-28</v>
      </c>
      <c r="AD75" s="173">
        <f t="shared" si="12"/>
        <v>0.50982461967713921</v>
      </c>
      <c r="AE75" s="173">
        <f t="shared" si="13"/>
        <v>0.95485377751880474</v>
      </c>
      <c r="AF75" s="173">
        <f t="shared" si="18"/>
        <v>1.4646783971959438</v>
      </c>
      <c r="AG75" s="152">
        <f t="shared" si="19"/>
        <v>8255.9294160121135</v>
      </c>
      <c r="AH75" s="152">
        <f t="shared" si="14"/>
        <v>254.9123098385696</v>
      </c>
      <c r="AI75" s="152">
        <f t="shared" si="15"/>
        <v>477.42688875940235</v>
      </c>
    </row>
    <row r="76" spans="2:35" ht="11.1" customHeight="1" x14ac:dyDescent="0.15">
      <c r="B76" s="158">
        <v>14</v>
      </c>
      <c r="C76" s="159">
        <v>41376</v>
      </c>
      <c r="D76" s="160">
        <v>5482.3589469097042</v>
      </c>
      <c r="E76" s="161">
        <f t="shared" si="16"/>
        <v>3809.9808162283302</v>
      </c>
      <c r="F76" s="162">
        <f t="shared" si="2"/>
        <v>3136.3326385614</v>
      </c>
      <c r="G76" s="163">
        <v>41365</v>
      </c>
      <c r="H76" s="158">
        <v>220</v>
      </c>
      <c r="I76" s="158">
        <v>460</v>
      </c>
      <c r="J76" s="164">
        <f t="shared" si="20"/>
        <v>680</v>
      </c>
      <c r="K76" s="177">
        <v>3.9324174064808517</v>
      </c>
      <c r="L76" s="158">
        <v>34</v>
      </c>
      <c r="M76" s="167">
        <f t="shared" si="17"/>
        <v>37.932417406480852</v>
      </c>
      <c r="N76" s="151"/>
      <c r="O76" s="152">
        <f t="shared" si="0"/>
        <v>161.21663774705263</v>
      </c>
      <c r="P76" s="167">
        <f t="shared" si="3"/>
        <v>20.389500000000002</v>
      </c>
      <c r="Q76" s="164">
        <f t="shared" si="4"/>
        <v>165.83835031059999</v>
      </c>
      <c r="R76" s="155">
        <f t="shared" si="1"/>
        <v>288.55164969922481</v>
      </c>
      <c r="S76" s="167">
        <f t="shared" si="5"/>
        <v>101.18384615384616</v>
      </c>
      <c r="T76" s="152">
        <f t="shared" si="6"/>
        <v>355.89706653956932</v>
      </c>
      <c r="U76" s="89"/>
      <c r="V76" s="138">
        <v>80</v>
      </c>
      <c r="W76" s="169">
        <f t="shared" si="7"/>
        <v>1.3962634015954636</v>
      </c>
      <c r="X76" s="170">
        <f t="shared" si="8"/>
        <v>0.17364817766693041</v>
      </c>
      <c r="Y76" s="139">
        <v>440</v>
      </c>
      <c r="Z76" s="169">
        <f t="shared" si="9"/>
        <v>7.67944870877505</v>
      </c>
      <c r="AA76" s="169">
        <f t="shared" si="10"/>
        <v>0.17364817766693044</v>
      </c>
      <c r="AC76" s="172">
        <f t="shared" si="11"/>
        <v>2.5227003777542246E-29</v>
      </c>
      <c r="AD76" s="173">
        <f t="shared" si="12"/>
        <v>0.49594081715501687</v>
      </c>
      <c r="AE76" s="173">
        <f t="shared" si="13"/>
        <v>0.95304764195926506</v>
      </c>
      <c r="AF76" s="173">
        <f t="shared" si="18"/>
        <v>1.4489884591142819</v>
      </c>
      <c r="AG76" s="152">
        <f t="shared" si="19"/>
        <v>8154.4668967102007</v>
      </c>
      <c r="AH76" s="152">
        <f t="shared" si="14"/>
        <v>247.97040857750844</v>
      </c>
      <c r="AI76" s="152">
        <f t="shared" si="15"/>
        <v>476.52382097963255</v>
      </c>
    </row>
    <row r="77" spans="2:35" ht="11.1" customHeight="1" x14ac:dyDescent="0.15">
      <c r="B77" s="158">
        <v>15</v>
      </c>
      <c r="C77" s="159">
        <v>41410</v>
      </c>
      <c r="D77" s="160">
        <v>6221.1897932797165</v>
      </c>
      <c r="E77" s="161">
        <f t="shared" si="16"/>
        <v>4231.5052587927048</v>
      </c>
      <c r="F77" s="162">
        <f t="shared" si="2"/>
        <v>4497.5497019116829</v>
      </c>
      <c r="G77" s="163">
        <v>41395</v>
      </c>
      <c r="H77" s="158">
        <v>250</v>
      </c>
      <c r="I77" s="158">
        <v>540</v>
      </c>
      <c r="J77" s="164">
        <f t="shared" si="20"/>
        <v>790</v>
      </c>
      <c r="K77" s="174">
        <v>17</v>
      </c>
      <c r="L77" s="158">
        <v>35</v>
      </c>
      <c r="M77" s="167">
        <f t="shared" si="17"/>
        <v>52</v>
      </c>
      <c r="N77" s="151"/>
      <c r="O77" s="152">
        <f t="shared" si="0"/>
        <v>148.79400603106026</v>
      </c>
      <c r="P77" s="167">
        <f t="shared" si="3"/>
        <v>20.374500000000001</v>
      </c>
      <c r="Q77" s="164">
        <f t="shared" si="4"/>
        <v>233.9638030289768</v>
      </c>
      <c r="R77" s="155">
        <f t="shared" si="1"/>
        <v>272.58265751746552</v>
      </c>
      <c r="S77" s="167">
        <f t="shared" si="5"/>
        <v>101.12230769230769</v>
      </c>
      <c r="T77" s="152">
        <f t="shared" si="6"/>
        <v>516.84227119223203</v>
      </c>
      <c r="U77" s="89"/>
      <c r="V77" s="138">
        <v>140</v>
      </c>
      <c r="W77" s="169">
        <f t="shared" si="7"/>
        <v>2.4434609527920612</v>
      </c>
      <c r="X77" s="170">
        <f t="shared" si="8"/>
        <v>-0.7660444431189779</v>
      </c>
      <c r="Y77" s="139">
        <v>470</v>
      </c>
      <c r="Z77" s="169">
        <f t="shared" si="9"/>
        <v>8.2030474843733483</v>
      </c>
      <c r="AA77" s="169">
        <f t="shared" si="10"/>
        <v>-0.34202014332566805</v>
      </c>
      <c r="AC77" s="172">
        <f t="shared" si="11"/>
        <v>1.3360829806611908E-30</v>
      </c>
      <c r="AD77" s="173">
        <f t="shared" si="12"/>
        <v>0.48066235416452191</v>
      </c>
      <c r="AE77" s="173">
        <f t="shared" si="13"/>
        <v>0.95100481797920355</v>
      </c>
      <c r="AF77" s="173">
        <f t="shared" si="18"/>
        <v>1.4316671721437255</v>
      </c>
      <c r="AG77" s="152">
        <f t="shared" si="19"/>
        <v>8042.5304995644728</v>
      </c>
      <c r="AH77" s="152">
        <f t="shared" si="14"/>
        <v>240.33117708226095</v>
      </c>
      <c r="AI77" s="152">
        <f t="shared" si="15"/>
        <v>475.5024089896018</v>
      </c>
    </row>
    <row r="78" spans="2:35" ht="11.1" customHeight="1" x14ac:dyDescent="0.15">
      <c r="B78" s="158">
        <v>16</v>
      </c>
      <c r="C78" s="159">
        <v>41437</v>
      </c>
      <c r="D78" s="160">
        <v>5950.2057887117353</v>
      </c>
      <c r="E78" s="161">
        <f t="shared" si="16"/>
        <v>4079.4365990370893</v>
      </c>
      <c r="F78" s="162">
        <f t="shared" si="2"/>
        <v>4579.4365990370898</v>
      </c>
      <c r="G78" s="163">
        <v>41426</v>
      </c>
      <c r="H78" s="158">
        <v>260</v>
      </c>
      <c r="I78" s="158">
        <v>560</v>
      </c>
      <c r="J78" s="164">
        <f t="shared" si="20"/>
        <v>820</v>
      </c>
      <c r="K78" s="174">
        <v>22</v>
      </c>
      <c r="L78" s="158">
        <v>48</v>
      </c>
      <c r="M78" s="167">
        <f t="shared" si="17"/>
        <v>70</v>
      </c>
      <c r="N78" s="151"/>
      <c r="O78" s="152">
        <f t="shared" si="0"/>
        <v>136.96203481226172</v>
      </c>
      <c r="P78" s="167">
        <f t="shared" si="3"/>
        <v>20.369499999999999</v>
      </c>
      <c r="Q78" s="164">
        <f t="shared" si="4"/>
        <v>235.99730221839258</v>
      </c>
      <c r="R78" s="155">
        <f t="shared" si="1"/>
        <v>257.00921969549813</v>
      </c>
      <c r="S78" s="167">
        <f t="shared" si="5"/>
        <v>101.10692307692308</v>
      </c>
      <c r="T78" s="152">
        <f t="shared" si="6"/>
        <v>537.1742141586318</v>
      </c>
      <c r="U78" s="89"/>
      <c r="V78" s="138">
        <v>180</v>
      </c>
      <c r="W78" s="169">
        <f t="shared" si="7"/>
        <v>3.1415926535897931</v>
      </c>
      <c r="X78" s="170">
        <f t="shared" si="8"/>
        <v>-1</v>
      </c>
      <c r="Y78" s="139">
        <v>500</v>
      </c>
      <c r="Z78" s="169">
        <f t="shared" si="9"/>
        <v>8.7266462599716483</v>
      </c>
      <c r="AA78" s="169">
        <f t="shared" si="10"/>
        <v>-0.76604444311897835</v>
      </c>
      <c r="AC78" s="172">
        <f t="shared" si="11"/>
        <v>1.295727605775608E-31</v>
      </c>
      <c r="AD78" s="173">
        <f t="shared" si="12"/>
        <v>0.46886547396452533</v>
      </c>
      <c r="AE78" s="173">
        <f t="shared" si="13"/>
        <v>0.94938569513655136</v>
      </c>
      <c r="AF78" s="173">
        <f t="shared" si="18"/>
        <v>1.4182511691010766</v>
      </c>
      <c r="AG78" s="152">
        <f t="shared" si="19"/>
        <v>7955.8884757281949</v>
      </c>
      <c r="AH78" s="152">
        <f t="shared" si="14"/>
        <v>234.43273698226267</v>
      </c>
      <c r="AI78" s="152">
        <f t="shared" si="15"/>
        <v>474.69284756827568</v>
      </c>
    </row>
    <row r="79" spans="2:35" ht="11.1" customHeight="1" x14ac:dyDescent="0.15">
      <c r="B79" s="158">
        <v>17</v>
      </c>
      <c r="C79" s="159">
        <v>41465</v>
      </c>
      <c r="D79" s="160">
        <v>6173.8314158538951</v>
      </c>
      <c r="E79" s="161">
        <f t="shared" si="16"/>
        <v>4205.140870168354</v>
      </c>
      <c r="F79" s="162">
        <f t="shared" si="2"/>
        <v>4571.1662739527928</v>
      </c>
      <c r="G79" s="163">
        <v>41456</v>
      </c>
      <c r="H79" s="158">
        <v>200</v>
      </c>
      <c r="I79" s="158">
        <v>430</v>
      </c>
      <c r="J79" s="164">
        <f t="shared" si="20"/>
        <v>630</v>
      </c>
      <c r="K79" s="174">
        <v>15</v>
      </c>
      <c r="L79" s="158">
        <v>33</v>
      </c>
      <c r="M79" s="167">
        <f t="shared" si="17"/>
        <v>48</v>
      </c>
      <c r="N79" s="151"/>
      <c r="O79" s="152">
        <f t="shared" si="0"/>
        <v>126.40835411700265</v>
      </c>
      <c r="P79" s="167">
        <f t="shared" si="3"/>
        <v>20.3995</v>
      </c>
      <c r="Q79" s="164">
        <f t="shared" si="4"/>
        <v>210.37751968720471</v>
      </c>
      <c r="R79" s="155">
        <f t="shared" si="1"/>
        <v>242.78584504407786</v>
      </c>
      <c r="S79" s="167">
        <f t="shared" si="5"/>
        <v>101.20692307692308</v>
      </c>
      <c r="T79" s="152">
        <f t="shared" si="6"/>
        <v>492.94600607645924</v>
      </c>
      <c r="U79" s="89"/>
      <c r="V79" s="138">
        <v>210</v>
      </c>
      <c r="W79" s="169">
        <f t="shared" si="7"/>
        <v>3.6651914291880923</v>
      </c>
      <c r="X79" s="170">
        <f t="shared" si="8"/>
        <v>-0.8660254037844386</v>
      </c>
      <c r="Y79" s="139">
        <v>530</v>
      </c>
      <c r="Z79" s="169">
        <f t="shared" si="9"/>
        <v>9.2502450355699466</v>
      </c>
      <c r="AA79" s="169">
        <f t="shared" si="10"/>
        <v>-0.98480775301220802</v>
      </c>
      <c r="AC79" s="172">
        <f t="shared" si="11"/>
        <v>1.1525602339655961E-32</v>
      </c>
      <c r="AD79" s="178">
        <f t="shared" si="12"/>
        <v>0.45693739310530712</v>
      </c>
      <c r="AE79" s="173">
        <f t="shared" si="13"/>
        <v>0.94770951637608913</v>
      </c>
      <c r="AF79" s="173">
        <f t="shared" si="18"/>
        <v>1.4046469094813963</v>
      </c>
      <c r="AG79" s="152">
        <f t="shared" si="19"/>
        <v>7868.0837625358799</v>
      </c>
      <c r="AH79" s="152">
        <f t="shared" si="14"/>
        <v>228.46869655265357</v>
      </c>
      <c r="AI79" s="152">
        <f t="shared" si="15"/>
        <v>473.85475818804457</v>
      </c>
    </row>
    <row r="80" spans="2:35" ht="11.1" customHeight="1" x14ac:dyDescent="0.15">
      <c r="B80" s="158">
        <v>18</v>
      </c>
      <c r="C80" s="159">
        <v>41493</v>
      </c>
      <c r="D80" s="160">
        <v>6516.079595392629</v>
      </c>
      <c r="E80" s="161">
        <f t="shared" si="16"/>
        <v>4393.6517765830649</v>
      </c>
      <c r="F80" s="162">
        <f t="shared" si="2"/>
        <v>4393.6517765830649</v>
      </c>
      <c r="G80" s="163">
        <v>41487</v>
      </c>
      <c r="H80" s="158">
        <v>190</v>
      </c>
      <c r="I80" s="158">
        <v>390</v>
      </c>
      <c r="J80" s="164">
        <f t="shared" si="20"/>
        <v>580</v>
      </c>
      <c r="K80" s="174">
        <v>11</v>
      </c>
      <c r="L80" s="158">
        <v>28</v>
      </c>
      <c r="M80" s="167">
        <f t="shared" si="17"/>
        <v>39</v>
      </c>
      <c r="N80" s="151"/>
      <c r="O80" s="152">
        <f t="shared" si="0"/>
        <v>116.35647065997786</v>
      </c>
      <c r="P80" s="167">
        <f t="shared" si="3"/>
        <v>20.404499999999999</v>
      </c>
      <c r="Q80" s="164">
        <f t="shared" si="4"/>
        <v>170.95121332497234</v>
      </c>
      <c r="R80" s="155">
        <f t="shared" si="1"/>
        <v>228.91478554130859</v>
      </c>
      <c r="S80" s="167">
        <f t="shared" si="5"/>
        <v>101.2376923076923</v>
      </c>
      <c r="T80" s="152">
        <f t="shared" si="6"/>
        <v>412.69059731125117</v>
      </c>
      <c r="U80" s="89"/>
      <c r="V80" s="138">
        <v>240</v>
      </c>
      <c r="W80" s="169">
        <f t="shared" si="7"/>
        <v>4.1887902047863905</v>
      </c>
      <c r="X80" s="170">
        <f t="shared" si="8"/>
        <v>-0.50000000000000044</v>
      </c>
      <c r="Y80" s="139">
        <v>560</v>
      </c>
      <c r="Z80" s="169">
        <f t="shared" si="9"/>
        <v>9.7738438111682449</v>
      </c>
      <c r="AA80" s="169">
        <f t="shared" si="10"/>
        <v>-0.93969262078590865</v>
      </c>
      <c r="AC80" s="172">
        <f t="shared" si="11"/>
        <v>1.0252116934127125E-33</v>
      </c>
      <c r="AD80" s="178">
        <f t="shared" si="12"/>
        <v>0.44531276626623884</v>
      </c>
      <c r="AE80" s="173">
        <f t="shared" si="13"/>
        <v>0.94603629697687652</v>
      </c>
      <c r="AF80" s="173">
        <f t="shared" si="18"/>
        <v>1.3913490632431154</v>
      </c>
      <c r="AG80" s="152">
        <f t="shared" si="19"/>
        <v>7782.3105050499998</v>
      </c>
      <c r="AH80" s="152">
        <f t="shared" si="14"/>
        <v>222.65638313311942</v>
      </c>
      <c r="AI80" s="152">
        <f t="shared" si="15"/>
        <v>473.01814848843827</v>
      </c>
    </row>
    <row r="81" spans="2:35" ht="11.1" customHeight="1" x14ac:dyDescent="0.15">
      <c r="B81" s="158">
        <v>19</v>
      </c>
      <c r="C81" s="159">
        <v>41521</v>
      </c>
      <c r="D81" s="160">
        <v>5830.1834247958523</v>
      </c>
      <c r="E81" s="161">
        <f t="shared" si="16"/>
        <v>4011.1448082554566</v>
      </c>
      <c r="F81" s="162">
        <f t="shared" si="2"/>
        <v>3853.164951581125</v>
      </c>
      <c r="G81" s="163">
        <v>41518</v>
      </c>
      <c r="H81" s="158">
        <v>150</v>
      </c>
      <c r="I81" s="158">
        <v>360</v>
      </c>
      <c r="J81" s="164">
        <f t="shared" si="20"/>
        <v>510</v>
      </c>
      <c r="K81" s="174">
        <v>16</v>
      </c>
      <c r="L81" s="158">
        <v>28</v>
      </c>
      <c r="M81" s="167">
        <f t="shared" si="17"/>
        <v>44</v>
      </c>
      <c r="N81" s="151"/>
      <c r="O81" s="152">
        <f t="shared" si="0"/>
        <v>107.10390431881464</v>
      </c>
      <c r="P81" s="167">
        <f t="shared" si="3"/>
        <v>20.424499999999998</v>
      </c>
      <c r="Q81" s="164">
        <f t="shared" si="4"/>
        <v>149.33704588042201</v>
      </c>
      <c r="R81" s="155">
        <f t="shared" si="1"/>
        <v>215.83621989951558</v>
      </c>
      <c r="S81" s="167">
        <f t="shared" si="5"/>
        <v>101.26076923076923</v>
      </c>
      <c r="T81" s="152">
        <f t="shared" si="6"/>
        <v>371.32376796552376</v>
      </c>
      <c r="U81" s="89"/>
      <c r="V81" s="138">
        <v>250</v>
      </c>
      <c r="W81" s="169">
        <f t="shared" si="7"/>
        <v>4.3633231299858242</v>
      </c>
      <c r="X81" s="170">
        <f t="shared" si="8"/>
        <v>-0.34202014332566855</v>
      </c>
      <c r="Y81" s="139">
        <v>590</v>
      </c>
      <c r="Z81" s="169">
        <f t="shared" si="9"/>
        <v>10.297442586766545</v>
      </c>
      <c r="AA81" s="169">
        <f t="shared" si="10"/>
        <v>-0.64278760968653903</v>
      </c>
      <c r="AC81" s="172">
        <f t="shared" si="11"/>
        <v>9.1193413180132401E-35</v>
      </c>
      <c r="AD81" s="173">
        <f t="shared" si="12"/>
        <v>0.43398387348436651</v>
      </c>
      <c r="AE81" s="173">
        <f t="shared" si="13"/>
        <v>0.94436603171404176</v>
      </c>
      <c r="AF81" s="173">
        <f t="shared" si="18"/>
        <v>1.3783499051984083</v>
      </c>
      <c r="AG81" s="152">
        <f t="shared" si="19"/>
        <v>7698.5173796263762</v>
      </c>
      <c r="AH81" s="152">
        <f t="shared" si="14"/>
        <v>216.99193674218324</v>
      </c>
      <c r="AI81" s="152">
        <f t="shared" si="15"/>
        <v>472.18301585702091</v>
      </c>
    </row>
    <row r="82" spans="2:35" ht="11.1" customHeight="1" x14ac:dyDescent="0.15">
      <c r="B82" s="158">
        <v>20</v>
      </c>
      <c r="C82" s="159">
        <v>41557</v>
      </c>
      <c r="D82" s="160">
        <v>5935.444661501966</v>
      </c>
      <c r="E82" s="161">
        <f t="shared" si="16"/>
        <v>4071.0687080494381</v>
      </c>
      <c r="F82" s="162">
        <f t="shared" si="2"/>
        <v>3744.7168857163688</v>
      </c>
      <c r="G82" s="163">
        <v>41548</v>
      </c>
      <c r="H82" s="158">
        <v>130</v>
      </c>
      <c r="I82" s="158">
        <v>290</v>
      </c>
      <c r="J82" s="164">
        <f t="shared" si="20"/>
        <v>420</v>
      </c>
      <c r="K82" s="177">
        <v>3.329003160674477</v>
      </c>
      <c r="L82" s="158">
        <v>18</v>
      </c>
      <c r="M82" s="167">
        <f t="shared" si="17"/>
        <v>21.329003160674478</v>
      </c>
      <c r="N82" s="151"/>
      <c r="O82" s="152">
        <f t="shared" si="0"/>
        <v>98.850957369349771</v>
      </c>
      <c r="P82" s="167">
        <f t="shared" si="3"/>
        <v>20.4345</v>
      </c>
      <c r="Q82" s="164">
        <f t="shared" si="4"/>
        <v>129.64230851652673</v>
      </c>
      <c r="R82" s="155">
        <f t="shared" si="1"/>
        <v>203.89143666327854</v>
      </c>
      <c r="S82" s="167">
        <f t="shared" si="5"/>
        <v>101.31461538461538</v>
      </c>
      <c r="T82" s="152">
        <f t="shared" si="6"/>
        <v>331.7052894234115</v>
      </c>
      <c r="U82" s="89"/>
      <c r="V82" s="138">
        <v>260</v>
      </c>
      <c r="W82" s="169">
        <f t="shared" si="7"/>
        <v>4.5378560551852569</v>
      </c>
      <c r="X82" s="170">
        <f t="shared" si="8"/>
        <v>-0.17364817766693033</v>
      </c>
      <c r="Y82" s="139">
        <v>620</v>
      </c>
      <c r="Z82" s="169">
        <f t="shared" si="9"/>
        <v>10.821041362364843</v>
      </c>
      <c r="AA82" s="169">
        <f t="shared" si="10"/>
        <v>-0.17364817766693058</v>
      </c>
      <c r="AC82" s="172">
        <f t="shared" si="11"/>
        <v>4.0632216173980779E-36</v>
      </c>
      <c r="AD82" s="173">
        <f t="shared" si="12"/>
        <v>0.41984061638411252</v>
      </c>
      <c r="AE82" s="173">
        <f t="shared" si="13"/>
        <v>0.94222288018386757</v>
      </c>
      <c r="AF82" s="173">
        <f t="shared" si="18"/>
        <v>1.3620634965679801</v>
      </c>
      <c r="AG82" s="152">
        <f t="shared" si="19"/>
        <v>7593.6125933856356</v>
      </c>
      <c r="AH82" s="152">
        <f t="shared" si="14"/>
        <v>209.92030819205627</v>
      </c>
      <c r="AI82" s="152">
        <f t="shared" si="15"/>
        <v>471.11144009193379</v>
      </c>
    </row>
    <row r="83" spans="2:35" ht="11.1" customHeight="1" x14ac:dyDescent="0.15">
      <c r="B83" s="158">
        <v>21</v>
      </c>
      <c r="C83" s="159">
        <v>41591</v>
      </c>
      <c r="D83" s="160">
        <v>5540.8068147733347</v>
      </c>
      <c r="E83" s="161">
        <f t="shared" si="16"/>
        <v>3844.1223599938526</v>
      </c>
      <c r="F83" s="162">
        <f t="shared" si="2"/>
        <v>3170.4741823269228</v>
      </c>
      <c r="G83" s="163">
        <v>41579</v>
      </c>
      <c r="H83" s="158">
        <v>120</v>
      </c>
      <c r="I83" s="158">
        <v>300</v>
      </c>
      <c r="J83" s="164">
        <f t="shared" si="20"/>
        <v>420</v>
      </c>
      <c r="K83" s="174">
        <v>11</v>
      </c>
      <c r="L83" s="158">
        <v>19</v>
      </c>
      <c r="M83" s="167">
        <f t="shared" si="17"/>
        <v>30</v>
      </c>
      <c r="N83" s="151"/>
      <c r="O83" s="152">
        <f t="shared" si="0"/>
        <v>90.990414369380616</v>
      </c>
      <c r="P83" s="167">
        <f t="shared" si="3"/>
        <v>20.439499999999999</v>
      </c>
      <c r="Q83" s="164">
        <f t="shared" si="4"/>
        <v>101.75511358546811</v>
      </c>
      <c r="R83" s="155">
        <f t="shared" si="1"/>
        <v>192.24252752053997</v>
      </c>
      <c r="S83" s="167">
        <f t="shared" si="5"/>
        <v>101.30692307692308</v>
      </c>
      <c r="T83" s="152">
        <f t="shared" si="6"/>
        <v>268.06228702177407</v>
      </c>
      <c r="U83" s="89"/>
      <c r="V83" s="138">
        <v>280</v>
      </c>
      <c r="W83" s="169">
        <f t="shared" si="7"/>
        <v>4.8869219055841224</v>
      </c>
      <c r="X83" s="170">
        <f t="shared" si="8"/>
        <v>0.17364817766692997</v>
      </c>
      <c r="Y83" s="139">
        <v>650</v>
      </c>
      <c r="Z83" s="169">
        <f t="shared" si="9"/>
        <v>11.344640137963141</v>
      </c>
      <c r="AA83" s="169">
        <f t="shared" si="10"/>
        <v>0.34202014332566794</v>
      </c>
      <c r="AC83" s="172">
        <f t="shared" si="11"/>
        <v>2.1519801945299382E-37</v>
      </c>
      <c r="AD83" s="173">
        <f t="shared" si="12"/>
        <v>0.40690657446328737</v>
      </c>
      <c r="AE83" s="173">
        <f t="shared" si="13"/>
        <v>0.94020325869858146</v>
      </c>
      <c r="AF83" s="173">
        <f t="shared" si="18"/>
        <v>1.3471098331618689</v>
      </c>
      <c r="AG83" s="152">
        <f t="shared" si="19"/>
        <v>7497.3725188562639</v>
      </c>
      <c r="AH83" s="152">
        <f t="shared" si="14"/>
        <v>203.45328723164369</v>
      </c>
      <c r="AI83" s="152">
        <f t="shared" si="15"/>
        <v>470.1016293492907</v>
      </c>
    </row>
    <row r="84" spans="2:35" ht="11.1" customHeight="1" x14ac:dyDescent="0.15">
      <c r="B84" s="158">
        <v>22</v>
      </c>
      <c r="C84" s="159">
        <v>41619</v>
      </c>
      <c r="D84" s="160">
        <v>5614.4632905783164</v>
      </c>
      <c r="E84" s="161">
        <f t="shared" si="16"/>
        <v>3886.953202774283</v>
      </c>
      <c r="F84" s="162">
        <f t="shared" si="2"/>
        <v>2744.1655930877437</v>
      </c>
      <c r="G84" s="163">
        <v>41609</v>
      </c>
      <c r="H84" s="158">
        <v>110</v>
      </c>
      <c r="I84" s="158">
        <v>280</v>
      </c>
      <c r="J84" s="164">
        <f t="shared" si="20"/>
        <v>390</v>
      </c>
      <c r="K84" s="177">
        <v>3.1443646812528252</v>
      </c>
      <c r="L84" s="158">
        <v>13</v>
      </c>
      <c r="M84" s="167">
        <f t="shared" si="17"/>
        <v>16.144364681252824</v>
      </c>
      <c r="N84" s="151"/>
      <c r="O84" s="152">
        <f t="shared" si="0"/>
        <v>83.979100753165369</v>
      </c>
      <c r="P84" s="167">
        <f t="shared" si="3"/>
        <v>20.444500000000001</v>
      </c>
      <c r="Q84" s="164">
        <f t="shared" si="4"/>
        <v>70.862502391671043</v>
      </c>
      <c r="R84" s="155">
        <f t="shared" si="1"/>
        <v>181.60346369201193</v>
      </c>
      <c r="S84" s="167">
        <f t="shared" si="5"/>
        <v>101.32230769230769</v>
      </c>
      <c r="T84" s="152">
        <f t="shared" si="6"/>
        <v>191.99518123089607</v>
      </c>
      <c r="U84" s="89"/>
      <c r="V84" s="138">
        <v>310</v>
      </c>
      <c r="W84" s="169">
        <f t="shared" si="7"/>
        <v>5.4105206811824216</v>
      </c>
      <c r="X84" s="170">
        <f t="shared" si="8"/>
        <v>0.64278760968653925</v>
      </c>
      <c r="Y84" s="139">
        <v>680</v>
      </c>
      <c r="Z84" s="169">
        <f t="shared" si="9"/>
        <v>11.868238913561441</v>
      </c>
      <c r="AA84" s="169">
        <f t="shared" si="10"/>
        <v>0.76604444311897824</v>
      </c>
      <c r="AC84" s="172">
        <f t="shared" si="11"/>
        <v>1.9142038692708199E-38</v>
      </c>
      <c r="AD84" s="173">
        <f t="shared" si="12"/>
        <v>0.39655474693095599</v>
      </c>
      <c r="AE84" s="173">
        <f t="shared" si="13"/>
        <v>0.93854329190023933</v>
      </c>
      <c r="AF84" s="173">
        <f t="shared" si="18"/>
        <v>1.3350980388311953</v>
      </c>
      <c r="AG84" s="152">
        <f t="shared" si="19"/>
        <v>7420.1242264386447</v>
      </c>
      <c r="AH84" s="152">
        <f t="shared" si="14"/>
        <v>198.27737346547801</v>
      </c>
      <c r="AI84" s="152">
        <f t="shared" si="15"/>
        <v>469.27164595011965</v>
      </c>
    </row>
    <row r="85" spans="2:35" ht="11.1" customHeight="1" x14ac:dyDescent="0.15">
      <c r="B85" s="158">
        <v>23</v>
      </c>
      <c r="C85" s="159">
        <v>41647</v>
      </c>
      <c r="D85" s="160">
        <v>5304.3017742670354</v>
      </c>
      <c r="E85" s="161">
        <f t="shared" si="16"/>
        <v>3705.1288613254083</v>
      </c>
      <c r="F85" s="162">
        <f t="shared" si="2"/>
        <v>2439.0844182064302</v>
      </c>
      <c r="G85" s="163">
        <v>41640</v>
      </c>
      <c r="H85" s="158">
        <v>76</v>
      </c>
      <c r="I85" s="158">
        <v>190</v>
      </c>
      <c r="J85" s="164">
        <f t="shared" si="20"/>
        <v>266</v>
      </c>
      <c r="K85" s="177">
        <v>3.0643710834054159</v>
      </c>
      <c r="L85" s="176">
        <v>6.5</v>
      </c>
      <c r="M85" s="167">
        <f t="shared" si="17"/>
        <v>9.5643710834054154</v>
      </c>
      <c r="N85" s="151"/>
      <c r="O85" s="152">
        <f t="shared" si="0"/>
        <v>77.3011549837329</v>
      </c>
      <c r="P85" s="167">
        <f t="shared" si="3"/>
        <v>20.461500000000001</v>
      </c>
      <c r="Q85" s="164">
        <f t="shared" si="4"/>
        <v>60.317385686309684</v>
      </c>
      <c r="R85" s="155">
        <f t="shared" si="1"/>
        <v>171.22793108909769</v>
      </c>
      <c r="S85" s="167">
        <f t="shared" si="5"/>
        <v>101.39153846153846</v>
      </c>
      <c r="T85" s="152">
        <f t="shared" si="6"/>
        <v>168.20015468298203</v>
      </c>
      <c r="U85" s="89"/>
      <c r="V85" s="138">
        <v>320</v>
      </c>
      <c r="W85" s="169">
        <f t="shared" si="7"/>
        <v>5.5850536063818543</v>
      </c>
      <c r="X85" s="170">
        <f t="shared" si="8"/>
        <v>0.76604444311897779</v>
      </c>
      <c r="Y85" s="139">
        <v>710</v>
      </c>
      <c r="Z85" s="169">
        <f t="shared" si="9"/>
        <v>12.39183768915974</v>
      </c>
      <c r="AA85" s="169">
        <f t="shared" si="10"/>
        <v>0.98480775301220802</v>
      </c>
      <c r="AC85" s="172">
        <f t="shared" si="11"/>
        <v>1.7026998958658184E-39</v>
      </c>
      <c r="AD85" s="173">
        <f t="shared" si="12"/>
        <v>0.38646627305271697</v>
      </c>
      <c r="AE85" s="173">
        <f t="shared" si="13"/>
        <v>0.93688625584027307</v>
      </c>
      <c r="AF85" s="173">
        <f t="shared" si="18"/>
        <v>1.3233525288929902</v>
      </c>
      <c r="AG85" s="152">
        <f t="shared" si="19"/>
        <v>7344.6407880222978</v>
      </c>
      <c r="AH85" s="152">
        <f t="shared" si="14"/>
        <v>193.23313652635849</v>
      </c>
      <c r="AI85" s="152">
        <f t="shared" si="15"/>
        <v>468.44312792013653</v>
      </c>
    </row>
    <row r="86" spans="2:35" ht="11.1" customHeight="1" x14ac:dyDescent="0.15">
      <c r="B86" s="158">
        <v>24</v>
      </c>
      <c r="C86" s="159">
        <v>41675</v>
      </c>
      <c r="D86" s="160">
        <v>4552.8582818920968</v>
      </c>
      <c r="E86" s="161">
        <f t="shared" ref="E86:E147" si="21">4.66*10^-9*C86^3-4.08*10^-4*C86^2+8.98*10^0*C86^1+3000</f>
        <v>5922.0098059374141</v>
      </c>
      <c r="F86" s="162">
        <f t="shared" si="2"/>
        <v>4555.9844021529752</v>
      </c>
      <c r="G86" s="163">
        <v>41671</v>
      </c>
      <c r="H86" s="158">
        <v>46</v>
      </c>
      <c r="I86" s="158">
        <v>120</v>
      </c>
      <c r="J86" s="164">
        <f t="shared" si="20"/>
        <v>166</v>
      </c>
      <c r="K86" s="177">
        <v>2.9864125471190008</v>
      </c>
      <c r="L86" s="167">
        <v>6.2344874934176557</v>
      </c>
      <c r="M86" s="167">
        <f t="shared" si="17"/>
        <v>9.220900040536657</v>
      </c>
      <c r="N86" s="151"/>
      <c r="O86" s="152">
        <f t="shared" si="0"/>
        <v>71.154233710865981</v>
      </c>
      <c r="P86" s="167">
        <f t="shared" si="3"/>
        <v>20.476500000000001</v>
      </c>
      <c r="Q86" s="164">
        <f t="shared" si="4"/>
        <v>51.953462130357451</v>
      </c>
      <c r="R86" s="155">
        <f t="shared" si="1"/>
        <v>161.44518275695441</v>
      </c>
      <c r="S86" s="167">
        <f t="shared" si="5"/>
        <v>101.44538461538461</v>
      </c>
      <c r="T86" s="152">
        <f t="shared" si="6"/>
        <v>149.05561249246404</v>
      </c>
      <c r="U86" s="89"/>
      <c r="V86" s="138">
        <v>330</v>
      </c>
      <c r="W86" s="169">
        <f t="shared" si="7"/>
        <v>5.7595865315812871</v>
      </c>
      <c r="X86" s="170">
        <f t="shared" si="8"/>
        <v>0.86602540378443837</v>
      </c>
      <c r="Y86" s="139">
        <v>740</v>
      </c>
      <c r="Z86" s="169">
        <f t="shared" si="9"/>
        <v>12.915436464758038</v>
      </c>
      <c r="AA86" s="169">
        <f t="shared" si="10"/>
        <v>0.93969262078590865</v>
      </c>
      <c r="AC86" s="172">
        <f t="shared" si="11"/>
        <v>1.5145653929149243E-40</v>
      </c>
      <c r="AD86" s="173">
        <f t="shared" si="12"/>
        <v>0.37663445303117637</v>
      </c>
      <c r="AE86" s="173">
        <f t="shared" si="13"/>
        <v>0.93523214534434596</v>
      </c>
      <c r="AF86" s="173">
        <f t="shared" si="18"/>
        <v>1.3118665983755222</v>
      </c>
      <c r="AG86" s="152">
        <f t="shared" si="19"/>
        <v>7270.8776589369354</v>
      </c>
      <c r="AH86" s="152">
        <f t="shared" si="14"/>
        <v>188.31722651558817</v>
      </c>
      <c r="AI86" s="152">
        <f t="shared" si="15"/>
        <v>467.616072672173</v>
      </c>
    </row>
    <row r="87" spans="2:35" ht="11.1" customHeight="1" x14ac:dyDescent="0.15">
      <c r="B87" s="158">
        <v>25</v>
      </c>
      <c r="C87" s="159">
        <v>41703</v>
      </c>
      <c r="D87" s="160">
        <v>5559.8715974806528</v>
      </c>
      <c r="E87" s="161">
        <f t="shared" si="21"/>
        <v>5901.2516014197608</v>
      </c>
      <c r="F87" s="162">
        <f t="shared" si="2"/>
        <v>4461.5589806338521</v>
      </c>
      <c r="G87" s="163">
        <v>41699</v>
      </c>
      <c r="H87" s="158">
        <v>49</v>
      </c>
      <c r="I87" s="158">
        <v>130</v>
      </c>
      <c r="J87" s="164">
        <f t="shared" si="20"/>
        <v>179</v>
      </c>
      <c r="K87" s="177">
        <v>2.9104372998059214</v>
      </c>
      <c r="L87" s="167">
        <v>6.2234802541340155</v>
      </c>
      <c r="M87" s="167">
        <f t="shared" si="17"/>
        <v>9.1339175539399378</v>
      </c>
      <c r="N87" s="151"/>
      <c r="O87" s="152">
        <f t="shared" si="0"/>
        <v>66.023410007130124</v>
      </c>
      <c r="P87" s="167">
        <f t="shared" si="3"/>
        <v>20.475000000000001</v>
      </c>
      <c r="Q87" s="164">
        <f t="shared" si="4"/>
        <v>45.857451210423051</v>
      </c>
      <c r="R87" s="155">
        <f t="shared" si="1"/>
        <v>153.09045249536908</v>
      </c>
      <c r="S87" s="167">
        <f t="shared" si="5"/>
        <v>101.43769230769232</v>
      </c>
      <c r="T87" s="152">
        <f t="shared" si="6"/>
        <v>134.93903507617941</v>
      </c>
      <c r="U87" s="89"/>
      <c r="V87" s="138">
        <v>340</v>
      </c>
      <c r="W87" s="169">
        <f t="shared" si="7"/>
        <v>5.9341194567807207</v>
      </c>
      <c r="X87" s="170">
        <f t="shared" si="8"/>
        <v>0.93969262078590843</v>
      </c>
      <c r="Y87" s="139">
        <v>770</v>
      </c>
      <c r="Z87" s="169">
        <f t="shared" si="9"/>
        <v>13.439035240356338</v>
      </c>
      <c r="AA87" s="169">
        <f t="shared" si="10"/>
        <v>0.64278760968653914</v>
      </c>
      <c r="AC87" s="172">
        <f t="shared" si="11"/>
        <v>1.3472182238251052E-41</v>
      </c>
      <c r="AD87" s="173">
        <f t="shared" si="12"/>
        <v>0.36705275751383221</v>
      </c>
      <c r="AE87" s="173">
        <f t="shared" si="13"/>
        <v>0.93358095524725682</v>
      </c>
      <c r="AF87" s="173">
        <f t="shared" si="18"/>
        <v>1.300633712761089</v>
      </c>
      <c r="AG87" s="152">
        <f t="shared" si="19"/>
        <v>7198.791427117716</v>
      </c>
      <c r="AH87" s="152">
        <f t="shared" si="14"/>
        <v>183.5263787569161</v>
      </c>
      <c r="AI87" s="152">
        <f t="shared" si="15"/>
        <v>466.79047762362842</v>
      </c>
    </row>
    <row r="88" spans="2:35" ht="11.1" customHeight="1" x14ac:dyDescent="0.15">
      <c r="B88" s="158">
        <v>26</v>
      </c>
      <c r="C88" s="159">
        <v>41739</v>
      </c>
      <c r="D88" s="160">
        <v>5397.9493997803338</v>
      </c>
      <c r="E88" s="161">
        <f t="shared" si="21"/>
        <v>5874.9657855124678</v>
      </c>
      <c r="F88" s="162">
        <f t="shared" si="2"/>
        <v>5201.3176078455372</v>
      </c>
      <c r="G88" s="163">
        <v>41730</v>
      </c>
      <c r="H88" s="158">
        <v>74</v>
      </c>
      <c r="I88" s="158">
        <v>210</v>
      </c>
      <c r="J88" s="164">
        <f t="shared" si="20"/>
        <v>284</v>
      </c>
      <c r="K88" s="177">
        <v>2.8155880081148852</v>
      </c>
      <c r="L88" s="167">
        <v>6.2093566402155362</v>
      </c>
      <c r="M88" s="167">
        <f t="shared" si="17"/>
        <v>9.0249446483304219</v>
      </c>
      <c r="N88" s="151"/>
      <c r="O88" s="152">
        <f t="shared" si="0"/>
        <v>60.773285302454703</v>
      </c>
      <c r="P88" s="167">
        <f t="shared" si="3"/>
        <v>20.462499999999999</v>
      </c>
      <c r="Q88" s="164">
        <f t="shared" si="4"/>
        <v>74.18256226289806</v>
      </c>
      <c r="R88" s="155">
        <f t="shared" si="1"/>
        <v>144.34395092117873</v>
      </c>
      <c r="S88" s="167">
        <f t="shared" si="5"/>
        <v>101.37615384615384</v>
      </c>
      <c r="T88" s="152">
        <f t="shared" si="6"/>
        <v>224.38568056284529</v>
      </c>
      <c r="U88" s="89"/>
      <c r="V88" s="168">
        <v>80</v>
      </c>
      <c r="W88" s="169">
        <f t="shared" si="7"/>
        <v>1.3962634015954636</v>
      </c>
      <c r="X88" s="170">
        <f t="shared" si="8"/>
        <v>0.17364817766693041</v>
      </c>
      <c r="Y88" s="171">
        <v>800</v>
      </c>
      <c r="Z88" s="169">
        <f t="shared" si="9"/>
        <v>13.962634015954636</v>
      </c>
      <c r="AA88" s="169">
        <f t="shared" si="10"/>
        <v>0.17364817766693069</v>
      </c>
      <c r="AC88" s="172">
        <f t="shared" si="11"/>
        <v>6.0026771885225085E-43</v>
      </c>
      <c r="AD88" s="173">
        <f t="shared" si="12"/>
        <v>0.35509074271085056</v>
      </c>
      <c r="AE88" s="173">
        <f t="shared" si="13"/>
        <v>0.93146227945250371</v>
      </c>
      <c r="AF88" s="173">
        <f t="shared" si="18"/>
        <v>1.2865530221633543</v>
      </c>
      <c r="AG88" s="152">
        <f t="shared" si="19"/>
        <v>7108.5051775338925</v>
      </c>
      <c r="AH88" s="152">
        <f t="shared" si="14"/>
        <v>177.54537135542529</v>
      </c>
      <c r="AI88" s="152">
        <f t="shared" si="15"/>
        <v>465.73113972625185</v>
      </c>
    </row>
    <row r="89" spans="2:35" ht="11.1" customHeight="1" x14ac:dyDescent="0.15">
      <c r="B89" s="158">
        <v>27</v>
      </c>
      <c r="C89" s="159">
        <v>41773</v>
      </c>
      <c r="D89" s="160">
        <v>6125.4047820935002</v>
      </c>
      <c r="E89" s="161">
        <f t="shared" si="21"/>
        <v>5850.5579872331</v>
      </c>
      <c r="F89" s="162">
        <f t="shared" si="2"/>
        <v>6116.602430352078</v>
      </c>
      <c r="G89" s="163">
        <v>41760</v>
      </c>
      <c r="H89" s="158">
        <v>120</v>
      </c>
      <c r="I89" s="158">
        <v>320</v>
      </c>
      <c r="J89" s="164">
        <f t="shared" si="20"/>
        <v>440</v>
      </c>
      <c r="K89" s="177">
        <v>2.728848107525057</v>
      </c>
      <c r="L89" s="158">
        <v>21</v>
      </c>
      <c r="M89" s="167">
        <f t="shared" si="17"/>
        <v>23.728848107525057</v>
      </c>
      <c r="N89" s="151"/>
      <c r="O89" s="152">
        <f t="shared" si="0"/>
        <v>56.090368253484485</v>
      </c>
      <c r="P89" s="167">
        <f t="shared" si="3"/>
        <v>20.439499999999999</v>
      </c>
      <c r="Q89" s="164">
        <f t="shared" si="4"/>
        <v>105.84250840758911</v>
      </c>
      <c r="R89" s="155">
        <f t="shared" si="1"/>
        <v>136.35568460508864</v>
      </c>
      <c r="S89" s="167">
        <f t="shared" si="5"/>
        <v>101.29153846153847</v>
      </c>
      <c r="T89" s="152">
        <f t="shared" si="6"/>
        <v>328.67139039305005</v>
      </c>
      <c r="U89" s="89"/>
      <c r="V89" s="168">
        <v>140</v>
      </c>
      <c r="W89" s="169">
        <f t="shared" si="7"/>
        <v>2.4434609527920612</v>
      </c>
      <c r="X89" s="170">
        <f t="shared" si="8"/>
        <v>-0.7660444431189779</v>
      </c>
      <c r="Y89" s="171">
        <v>830</v>
      </c>
      <c r="Z89" s="169">
        <f t="shared" si="9"/>
        <v>14.486232791552935</v>
      </c>
      <c r="AA89" s="169">
        <f t="shared" si="10"/>
        <v>-0.34202014332566782</v>
      </c>
      <c r="AC89" s="172">
        <f t="shared" si="11"/>
        <v>3.1791626547135876E-44</v>
      </c>
      <c r="AD89" s="173">
        <f t="shared" si="12"/>
        <v>0.34415145200697755</v>
      </c>
      <c r="AE89" s="173">
        <f t="shared" si="13"/>
        <v>0.9294657229350598</v>
      </c>
      <c r="AF89" s="173">
        <f t="shared" si="18"/>
        <v>1.2736171749420373</v>
      </c>
      <c r="AG89" s="152">
        <f t="shared" si="19"/>
        <v>7025.6372655869263</v>
      </c>
      <c r="AH89" s="152">
        <f t="shared" si="14"/>
        <v>172.07572600348877</v>
      </c>
      <c r="AI89" s="152">
        <f t="shared" si="15"/>
        <v>464.73286146752991</v>
      </c>
    </row>
    <row r="90" spans="2:35" ht="11.1" customHeight="1" x14ac:dyDescent="0.15">
      <c r="B90" s="158">
        <v>28</v>
      </c>
      <c r="C90" s="159">
        <v>41801</v>
      </c>
      <c r="D90" s="160">
        <v>5858.5930028990097</v>
      </c>
      <c r="E90" s="161">
        <f t="shared" si="21"/>
        <v>5830.7629115686286</v>
      </c>
      <c r="F90" s="162">
        <f t="shared" si="2"/>
        <v>6330.7629115686286</v>
      </c>
      <c r="G90" s="163">
        <v>41791</v>
      </c>
      <c r="H90" s="158">
        <v>110</v>
      </c>
      <c r="I90" s="158">
        <v>330</v>
      </c>
      <c r="J90" s="164">
        <f t="shared" si="20"/>
        <v>440</v>
      </c>
      <c r="K90" s="177">
        <v>2.659425378220944</v>
      </c>
      <c r="L90" s="158">
        <v>26</v>
      </c>
      <c r="M90" s="167">
        <f t="shared" si="17"/>
        <v>28.659425378220945</v>
      </c>
      <c r="N90" s="151"/>
      <c r="O90" s="152">
        <f t="shared" si="0"/>
        <v>51.630110474763896</v>
      </c>
      <c r="P90" s="167">
        <f t="shared" si="3"/>
        <v>20.444500000000001</v>
      </c>
      <c r="Q90" s="164">
        <f t="shared" si="4"/>
        <v>108.11191571214584</v>
      </c>
      <c r="R90" s="155">
        <f t="shared" si="1"/>
        <v>128.56528885794515</v>
      </c>
      <c r="S90" s="167">
        <f t="shared" si="5"/>
        <v>101.28384615384616</v>
      </c>
      <c r="T90" s="152">
        <f t="shared" si="6"/>
        <v>344.77370251768696</v>
      </c>
      <c r="U90" s="89"/>
      <c r="V90" s="168">
        <v>180</v>
      </c>
      <c r="W90" s="169">
        <f t="shared" si="7"/>
        <v>3.1415926535897931</v>
      </c>
      <c r="X90" s="170">
        <f t="shared" si="8"/>
        <v>-1</v>
      </c>
      <c r="Y90" s="171">
        <v>860</v>
      </c>
      <c r="Z90" s="169">
        <f t="shared" si="9"/>
        <v>15.009831567151235</v>
      </c>
      <c r="AA90" s="169">
        <f t="shared" si="10"/>
        <v>-0.76604444311897812</v>
      </c>
      <c r="AC90" s="172">
        <f t="shared" si="11"/>
        <v>2.827891014128692E-45</v>
      </c>
      <c r="AD90" s="173">
        <f t="shared" si="12"/>
        <v>0.33539613395669349</v>
      </c>
      <c r="AE90" s="173">
        <f t="shared" si="13"/>
        <v>0.92782471368945785</v>
      </c>
      <c r="AF90" s="173">
        <f t="shared" si="18"/>
        <v>1.2632208476461513</v>
      </c>
      <c r="AG90" s="152">
        <f t="shared" si="19"/>
        <v>6959.093988750069</v>
      </c>
      <c r="AH90" s="152">
        <f t="shared" si="14"/>
        <v>167.69806697834673</v>
      </c>
      <c r="AI90" s="152">
        <f t="shared" si="15"/>
        <v>463.91235684472895</v>
      </c>
    </row>
    <row r="91" spans="2:35" ht="11.1" customHeight="1" x14ac:dyDescent="0.15">
      <c r="B91" s="158">
        <v>29</v>
      </c>
      <c r="C91" s="159">
        <v>41829</v>
      </c>
      <c r="D91" s="160">
        <v>6078.7755614467223</v>
      </c>
      <c r="E91" s="161">
        <f t="shared" si="21"/>
        <v>5811.2443965766579</v>
      </c>
      <c r="F91" s="162">
        <f t="shared" si="2"/>
        <v>6177.2698003610967</v>
      </c>
      <c r="G91" s="163">
        <v>41821</v>
      </c>
      <c r="H91" s="158">
        <v>91</v>
      </c>
      <c r="I91" s="158">
        <v>290</v>
      </c>
      <c r="J91" s="164">
        <f t="shared" si="20"/>
        <v>381</v>
      </c>
      <c r="K91" s="177">
        <v>2.5917687843535173</v>
      </c>
      <c r="L91" s="158">
        <v>22</v>
      </c>
      <c r="M91" s="167">
        <f t="shared" si="17"/>
        <v>24.591768784353519</v>
      </c>
      <c r="N91" s="151"/>
      <c r="O91" s="152">
        <f t="shared" si="0"/>
        <v>47.651725508751198</v>
      </c>
      <c r="P91" s="167">
        <f t="shared" si="3"/>
        <v>20.454000000000001</v>
      </c>
      <c r="Q91" s="164">
        <f t="shared" si="4"/>
        <v>97.596369725625379</v>
      </c>
      <c r="R91" s="155">
        <f t="shared" si="1"/>
        <v>121.45024344143765</v>
      </c>
      <c r="S91" s="167">
        <f t="shared" si="5"/>
        <v>101.31461538461538</v>
      </c>
      <c r="T91" s="152">
        <f t="shared" si="6"/>
        <v>319.22487223296105</v>
      </c>
      <c r="U91" s="89"/>
      <c r="V91" s="168">
        <v>210</v>
      </c>
      <c r="W91" s="169">
        <f t="shared" si="7"/>
        <v>3.6651914291880923</v>
      </c>
      <c r="X91" s="170">
        <f t="shared" si="8"/>
        <v>-0.8660254037844386</v>
      </c>
      <c r="Y91" s="171">
        <v>890</v>
      </c>
      <c r="Z91" s="169">
        <f t="shared" si="9"/>
        <v>15.533430342749533</v>
      </c>
      <c r="AA91" s="169">
        <f t="shared" si="10"/>
        <v>-0.98480775301220802</v>
      </c>
      <c r="AC91" s="172">
        <f t="shared" si="11"/>
        <v>2.5154320355182138E-46</v>
      </c>
      <c r="AD91" s="173">
        <f t="shared" si="12"/>
        <v>0.32686355387167043</v>
      </c>
      <c r="AE91" s="173">
        <f t="shared" si="13"/>
        <v>0.92618660171190759</v>
      </c>
      <c r="AF91" s="173">
        <f t="shared" si="18"/>
        <v>1.253050155583578</v>
      </c>
      <c r="AG91" s="152">
        <f t="shared" si="19"/>
        <v>6894.0455153183611</v>
      </c>
      <c r="AH91" s="152">
        <f t="shared" si="14"/>
        <v>163.43177693583522</v>
      </c>
      <c r="AI91" s="152">
        <f t="shared" si="15"/>
        <v>463.09330085595377</v>
      </c>
    </row>
    <row r="92" spans="2:35" ht="11.1" customHeight="1" x14ac:dyDescent="0.15">
      <c r="B92" s="158">
        <v>30</v>
      </c>
      <c r="C92" s="159">
        <v>41857</v>
      </c>
      <c r="D92" s="160">
        <v>6415.7542914436672</v>
      </c>
      <c r="E92" s="161">
        <f t="shared" si="21"/>
        <v>5792.0030560353189</v>
      </c>
      <c r="F92" s="162">
        <f t="shared" si="2"/>
        <v>5792.0030560353189</v>
      </c>
      <c r="G92" s="163">
        <v>41852</v>
      </c>
      <c r="H92" s="158">
        <v>74</v>
      </c>
      <c r="I92" s="158">
        <v>220</v>
      </c>
      <c r="J92" s="164">
        <f t="shared" si="20"/>
        <v>294</v>
      </c>
      <c r="K92" s="177">
        <v>2.5258333948978513</v>
      </c>
      <c r="L92" s="158">
        <v>21</v>
      </c>
      <c r="M92" s="167">
        <f t="shared" si="17"/>
        <v>23.525833394897852</v>
      </c>
      <c r="N92" s="151"/>
      <c r="O92" s="152">
        <f t="shared" si="0"/>
        <v>43.862501333767042</v>
      </c>
      <c r="P92" s="167">
        <f t="shared" si="3"/>
        <v>20.462499999999999</v>
      </c>
      <c r="Q92" s="164">
        <f t="shared" si="4"/>
        <v>80.406251667208807</v>
      </c>
      <c r="R92" s="155">
        <f t="shared" si="1"/>
        <v>114.51143877967435</v>
      </c>
      <c r="S92" s="167">
        <f t="shared" si="5"/>
        <v>101.36846153846153</v>
      </c>
      <c r="T92" s="152">
        <f t="shared" si="6"/>
        <v>269.8498753976699</v>
      </c>
      <c r="U92" s="89"/>
      <c r="V92" s="168">
        <v>240</v>
      </c>
      <c r="W92" s="169">
        <f t="shared" si="7"/>
        <v>4.1887902047863905</v>
      </c>
      <c r="X92" s="170">
        <f t="shared" si="8"/>
        <v>-0.50000000000000044</v>
      </c>
      <c r="Y92" s="171">
        <v>920</v>
      </c>
      <c r="Z92" s="169">
        <f t="shared" si="9"/>
        <v>16.057029118347831</v>
      </c>
      <c r="AA92" s="169">
        <f t="shared" si="10"/>
        <v>-0.93969262078590876</v>
      </c>
      <c r="AC92" s="172">
        <f t="shared" si="11"/>
        <v>2.2374972351121329E-47</v>
      </c>
      <c r="AD92" s="173">
        <f t="shared" si="12"/>
        <v>0.31854804523004304</v>
      </c>
      <c r="AE92" s="173">
        <f t="shared" si="13"/>
        <v>0.92455138188716512</v>
      </c>
      <c r="AF92" s="173">
        <f t="shared" si="18"/>
        <v>1.2430994271172082</v>
      </c>
      <c r="AG92" s="152">
        <f t="shared" si="19"/>
        <v>6830.4541667511221</v>
      </c>
      <c r="AH92" s="152">
        <f t="shared" si="14"/>
        <v>159.27402261502152</v>
      </c>
      <c r="AI92" s="152">
        <f t="shared" si="15"/>
        <v>462.27569094358256</v>
      </c>
    </row>
    <row r="93" spans="2:35" ht="11.1" customHeight="1" x14ac:dyDescent="0.15">
      <c r="B93" s="158">
        <v>31</v>
      </c>
      <c r="C93" s="159">
        <v>41892</v>
      </c>
      <c r="D93" s="160">
        <v>5740.4185722325992</v>
      </c>
      <c r="E93" s="161">
        <f t="shared" si="21"/>
        <v>5768.3420919820783</v>
      </c>
      <c r="F93" s="162">
        <f t="shared" si="2"/>
        <v>5610.3622353077471</v>
      </c>
      <c r="G93" s="163">
        <v>41883</v>
      </c>
      <c r="H93" s="158">
        <v>72</v>
      </c>
      <c r="I93" s="158">
        <v>230</v>
      </c>
      <c r="J93" s="164">
        <f t="shared" si="20"/>
        <v>302</v>
      </c>
      <c r="K93" s="177">
        <v>2.4457680000281132</v>
      </c>
      <c r="L93" s="158">
        <v>22</v>
      </c>
      <c r="M93" s="167">
        <f t="shared" si="17"/>
        <v>24.445768000028114</v>
      </c>
      <c r="N93" s="151"/>
      <c r="O93" s="152">
        <f t="shared" si="0"/>
        <v>40.374593001913233</v>
      </c>
      <c r="P93" s="167">
        <f t="shared" si="3"/>
        <v>20.4635</v>
      </c>
      <c r="Q93" s="164">
        <f t="shared" si="4"/>
        <v>71.242019646000585</v>
      </c>
      <c r="R93" s="155">
        <f t="shared" si="1"/>
        <v>107.96906815352763</v>
      </c>
      <c r="S93" s="167">
        <f t="shared" si="5"/>
        <v>101.36076923076924</v>
      </c>
      <c r="T93" s="152">
        <f t="shared" si="6"/>
        <v>245.12734787655489</v>
      </c>
      <c r="U93" s="89"/>
      <c r="V93" s="168">
        <v>250</v>
      </c>
      <c r="W93" s="169">
        <f t="shared" si="7"/>
        <v>4.3633231299858242</v>
      </c>
      <c r="X93" s="170">
        <f t="shared" si="8"/>
        <v>-0.34202014332566855</v>
      </c>
      <c r="Y93" s="171">
        <v>950</v>
      </c>
      <c r="Z93" s="169">
        <f t="shared" si="9"/>
        <v>16.580627893946129</v>
      </c>
      <c r="AA93" s="169">
        <f t="shared" si="10"/>
        <v>-0.64278760968654058</v>
      </c>
      <c r="AC93" s="172">
        <f t="shared" si="11"/>
        <v>1.0869258234997537E-48</v>
      </c>
      <c r="AD93" s="173">
        <f t="shared" si="12"/>
        <v>0.30845051659737643</v>
      </c>
      <c r="AE93" s="173">
        <f t="shared" si="13"/>
        <v>0.9225114164179864</v>
      </c>
      <c r="AF93" s="173">
        <f t="shared" si="18"/>
        <v>1.2309619330153629</v>
      </c>
      <c r="AG93" s="152">
        <f t="shared" si="19"/>
        <v>6752.9582105679447</v>
      </c>
      <c r="AH93" s="152">
        <f t="shared" si="14"/>
        <v>154.2252582986882</v>
      </c>
      <c r="AI93" s="152">
        <f t="shared" si="15"/>
        <v>461.25570820899321</v>
      </c>
    </row>
    <row r="94" spans="2:35" ht="11.1" customHeight="1" x14ac:dyDescent="0.15">
      <c r="B94" s="158">
        <v>32</v>
      </c>
      <c r="C94" s="159">
        <v>41920</v>
      </c>
      <c r="D94" s="160">
        <v>5844.0591464817899</v>
      </c>
      <c r="E94" s="161">
        <f t="shared" si="21"/>
        <v>5749.7266380800284</v>
      </c>
      <c r="F94" s="162">
        <f t="shared" si="2"/>
        <v>5423.374815746959</v>
      </c>
      <c r="G94" s="163">
        <v>41913</v>
      </c>
      <c r="H94" s="158">
        <v>63</v>
      </c>
      <c r="I94" s="158">
        <v>200</v>
      </c>
      <c r="J94" s="164">
        <f t="shared" si="20"/>
        <v>263</v>
      </c>
      <c r="K94" s="177">
        <v>2.3835469151174533</v>
      </c>
      <c r="L94" s="158">
        <v>14</v>
      </c>
      <c r="M94" s="167">
        <f t="shared" si="17"/>
        <v>16.383546915117453</v>
      </c>
      <c r="N94" s="151"/>
      <c r="O94" s="152">
        <f t="shared" si="0"/>
        <v>37.263507777987456</v>
      </c>
      <c r="P94" s="167">
        <f t="shared" si="3"/>
        <v>20.468</v>
      </c>
      <c r="Q94" s="164">
        <f t="shared" si="4"/>
        <v>62.743993337793334</v>
      </c>
      <c r="R94" s="155">
        <f t="shared" si="1"/>
        <v>101.99385641236198</v>
      </c>
      <c r="S94" s="167">
        <f t="shared" si="5"/>
        <v>101.38384615384615</v>
      </c>
      <c r="T94" s="152">
        <f t="shared" si="6"/>
        <v>221.03578628056266</v>
      </c>
      <c r="U94" s="89"/>
      <c r="V94" s="168">
        <v>260</v>
      </c>
      <c r="W94" s="169">
        <f t="shared" si="7"/>
        <v>4.5378560551852569</v>
      </c>
      <c r="X94" s="170">
        <f t="shared" si="8"/>
        <v>-0.17364817766693033</v>
      </c>
      <c r="Y94" s="171">
        <v>980</v>
      </c>
      <c r="Z94" s="169">
        <f t="shared" si="9"/>
        <v>17.104226669544431</v>
      </c>
      <c r="AA94" s="169">
        <f t="shared" si="10"/>
        <v>-0.17364817766692905</v>
      </c>
      <c r="AC94" s="172">
        <f t="shared" si="11"/>
        <v>9.668293519811412E-50</v>
      </c>
      <c r="AD94" s="173">
        <f t="shared" si="12"/>
        <v>0.30060344124774313</v>
      </c>
      <c r="AE94" s="173">
        <f t="shared" si="13"/>
        <v>0.9208826852812052</v>
      </c>
      <c r="AF94" s="173">
        <f t="shared" si="18"/>
        <v>1.2214861265289483</v>
      </c>
      <c r="AG94" s="152">
        <f t="shared" si="19"/>
        <v>6692.512553196535</v>
      </c>
      <c r="AH94" s="152">
        <f t="shared" si="14"/>
        <v>150.30172062387157</v>
      </c>
      <c r="AI94" s="152">
        <f t="shared" si="15"/>
        <v>460.44134264060261</v>
      </c>
    </row>
    <row r="95" spans="2:35" ht="11.1" customHeight="1" x14ac:dyDescent="0.15">
      <c r="B95" s="158">
        <v>33</v>
      </c>
      <c r="C95" s="159">
        <v>41948</v>
      </c>
      <c r="D95" s="160">
        <v>5455.4973707009112</v>
      </c>
      <c r="E95" s="161">
        <f t="shared" si="21"/>
        <v>5731.3903534067213</v>
      </c>
      <c r="F95" s="162">
        <f t="shared" si="2"/>
        <v>5057.7421757397915</v>
      </c>
      <c r="G95" s="163">
        <v>41944</v>
      </c>
      <c r="H95" s="158">
        <v>60</v>
      </c>
      <c r="I95" s="158">
        <v>190</v>
      </c>
      <c r="J95" s="164">
        <f t="shared" si="20"/>
        <v>250</v>
      </c>
      <c r="K95" s="177">
        <v>2.3229087536105717</v>
      </c>
      <c r="L95" s="158">
        <v>13</v>
      </c>
      <c r="M95" s="167">
        <f t="shared" si="17"/>
        <v>15.322908753610571</v>
      </c>
      <c r="N95" s="151"/>
      <c r="O95" s="152">
        <f t="shared" ref="O95:O126" si="22">事故日の濃度1*2.71828^(-0.69315/半1*(G95-事故日)/365.25)</f>
        <v>34.30034573066289</v>
      </c>
      <c r="P95" s="167">
        <f t="shared" si="3"/>
        <v>20.4695</v>
      </c>
      <c r="Q95" s="164">
        <f t="shared" si="4"/>
        <v>50.01450377954864</v>
      </c>
      <c r="R95" s="155">
        <f t="shared" ref="R95:R126" si="23">事故日の濃度2*2.71828^(-0.69315/半2*(G95-事故日)/365.25)</f>
        <v>96.166651572821493</v>
      </c>
      <c r="S95" s="167">
        <f t="shared" si="5"/>
        <v>101.39153846153846</v>
      </c>
      <c r="T95" s="152">
        <f t="shared" si="6"/>
        <v>180.4053801930381</v>
      </c>
      <c r="U95" s="89"/>
      <c r="V95" s="168">
        <v>280</v>
      </c>
      <c r="W95" s="169">
        <f t="shared" si="7"/>
        <v>4.8869219055841224</v>
      </c>
      <c r="X95" s="170">
        <f t="shared" si="8"/>
        <v>0.17364817766692997</v>
      </c>
      <c r="Y95" s="171">
        <v>1010</v>
      </c>
      <c r="Z95" s="169">
        <f t="shared" si="9"/>
        <v>17.627825445142729</v>
      </c>
      <c r="AA95" s="169">
        <f t="shared" si="10"/>
        <v>0.34202014332566938</v>
      </c>
      <c r="AC95" s="172">
        <f t="shared" si="11"/>
        <v>8.6000256470351955E-51</v>
      </c>
      <c r="AD95" s="173">
        <f t="shared" si="12"/>
        <v>0.29295599789166954</v>
      </c>
      <c r="AE95" s="173">
        <f t="shared" si="13"/>
        <v>0.91925682973497891</v>
      </c>
      <c r="AF95" s="173">
        <f t="shared" si="18"/>
        <v>1.2122128276266484</v>
      </c>
      <c r="AG95" s="152">
        <f t="shared" si="19"/>
        <v>6633.408055956811</v>
      </c>
      <c r="AH95" s="152">
        <f t="shared" si="14"/>
        <v>146.47799894583477</v>
      </c>
      <c r="AI95" s="152">
        <f t="shared" si="15"/>
        <v>459.62841486748948</v>
      </c>
    </row>
    <row r="96" spans="2:35" ht="11.1" customHeight="1" x14ac:dyDescent="0.15">
      <c r="B96" s="158">
        <v>34</v>
      </c>
      <c r="C96" s="159">
        <v>41984</v>
      </c>
      <c r="D96" s="160">
        <v>5528.019789099938</v>
      </c>
      <c r="E96" s="161">
        <f t="shared" si="21"/>
        <v>5708.2263258725288</v>
      </c>
      <c r="F96" s="162">
        <f t="shared" ref="F96:F127" si="24">E96-X96*1000-500</f>
        <v>4565.4387161859895</v>
      </c>
      <c r="G96" s="163">
        <v>41974</v>
      </c>
      <c r="H96" s="158">
        <v>60</v>
      </c>
      <c r="I96" s="158">
        <v>180</v>
      </c>
      <c r="J96" s="164">
        <f t="shared" si="20"/>
        <v>240</v>
      </c>
      <c r="K96" s="177">
        <v>2.2472066417809988</v>
      </c>
      <c r="L96" s="167">
        <v>6.1140851981782607</v>
      </c>
      <c r="M96" s="167">
        <f t="shared" si="17"/>
        <v>8.3612918399592591</v>
      </c>
      <c r="N96" s="151"/>
      <c r="O96" s="152">
        <f t="shared" si="22"/>
        <v>31.657314783622667</v>
      </c>
      <c r="P96" s="167">
        <f t="shared" ref="P96:P127" si="25">下駄1-(H96-40999)/除数11</f>
        <v>20.4695</v>
      </c>
      <c r="Q96" s="164">
        <f t="shared" ref="Q96:Q127" si="26">(O96+P96)*(1-X96/除数12)</f>
        <v>35.37357944595378</v>
      </c>
      <c r="R96" s="155">
        <f t="shared" si="23"/>
        <v>90.844607811459895</v>
      </c>
      <c r="S96" s="167">
        <f t="shared" ref="S96:S127" si="27">下駄2-(I96-40999)/除数21</f>
        <v>101.39923076923077</v>
      </c>
      <c r="T96" s="152">
        <f t="shared" ref="T96:T127" si="28">(R96+S96)*(1-X96/除数22)</f>
        <v>130.45785984156714</v>
      </c>
      <c r="U96" s="89"/>
      <c r="V96" s="168">
        <v>310</v>
      </c>
      <c r="W96" s="169">
        <f t="shared" ref="W96:W127" si="29">PI()/180*V96</f>
        <v>5.4105206811824216</v>
      </c>
      <c r="X96" s="170">
        <f t="shared" ref="X96:X127" si="30">COS(W96)</f>
        <v>0.64278760968653925</v>
      </c>
      <c r="Y96" s="171">
        <v>1040</v>
      </c>
      <c r="Z96" s="169">
        <f t="shared" ref="Z96:Z127" si="31">PI()/180*Y96</f>
        <v>18.151424220741028</v>
      </c>
      <c r="AA96" s="169">
        <f t="shared" ref="AA96:AA127" si="32">COS(Z96)</f>
        <v>0.76604444311897812</v>
      </c>
      <c r="AC96" s="172">
        <f t="shared" ref="AC96:AC127" si="33">1*2.71828^(-0.69315/半I131*(C96-事故日)/365.25)</f>
        <v>3.8318348771733693E-52</v>
      </c>
      <c r="AD96" s="173">
        <f t="shared" ref="AD96:AD127" si="34">1*2.71828^(-0.69315/半Cs134*(C96-事故日)/365.25)</f>
        <v>0.28340874913337516</v>
      </c>
      <c r="AE96" s="173">
        <f t="shared" ref="AE96:AE127" si="35">1*2.71828^(-0.69315/半Cs137*(C96-事故日)/365.25)</f>
        <v>0.91717066122074953</v>
      </c>
      <c r="AF96" s="173">
        <f t="shared" si="18"/>
        <v>1.2005794103541247</v>
      </c>
      <c r="AG96" s="152">
        <f t="shared" si="19"/>
        <v>6559.3329918776117</v>
      </c>
      <c r="AH96" s="152">
        <f t="shared" ref="AH96:AH127" si="36">500*2.71828^(-0.69315/半Cs134*(C96-事故日)/365.25)</f>
        <v>141.70437456668759</v>
      </c>
      <c r="AI96" s="152">
        <f t="shared" ref="AI96:AI127" si="37">500*2.71828^(-0.69315/半Cs137*(C96-事故日)/365.25)</f>
        <v>458.58533061037474</v>
      </c>
    </row>
    <row r="97" spans="2:35" ht="11.1" customHeight="1" x14ac:dyDescent="0.15">
      <c r="B97" s="158">
        <v>35</v>
      </c>
      <c r="C97" s="159">
        <v>42012</v>
      </c>
      <c r="D97" s="160">
        <v>5222.633697634481</v>
      </c>
      <c r="E97" s="161">
        <f t="shared" si="21"/>
        <v>5690.5304470924311</v>
      </c>
      <c r="F97" s="162">
        <f t="shared" si="24"/>
        <v>4424.4860039734531</v>
      </c>
      <c r="G97" s="163">
        <v>42005</v>
      </c>
      <c r="H97" s="158">
        <v>33</v>
      </c>
      <c r="I97" s="158">
        <v>110</v>
      </c>
      <c r="J97" s="164">
        <f t="shared" si="20"/>
        <v>143</v>
      </c>
      <c r="K97" s="177">
        <v>2.1900370184690368</v>
      </c>
      <c r="L97" s="167">
        <v>6.1032905340061108</v>
      </c>
      <c r="M97" s="167">
        <f t="shared" si="17"/>
        <v>8.293327552475148</v>
      </c>
      <c r="N97" s="151"/>
      <c r="O97" s="152">
        <f t="shared" si="22"/>
        <v>29.139952375179423</v>
      </c>
      <c r="P97" s="167">
        <f t="shared" si="25"/>
        <v>20.483000000000001</v>
      </c>
      <c r="Q97" s="164">
        <f t="shared" si="26"/>
        <v>30.616258916097483</v>
      </c>
      <c r="R97" s="155">
        <f t="shared" si="23"/>
        <v>85.654391881739102</v>
      </c>
      <c r="S97" s="167">
        <f t="shared" si="27"/>
        <v>101.45307692307692</v>
      </c>
      <c r="T97" s="152">
        <f t="shared" si="28"/>
        <v>115.44115043282261</v>
      </c>
      <c r="U97" s="89"/>
      <c r="V97" s="168">
        <v>320</v>
      </c>
      <c r="W97" s="169">
        <f t="shared" si="29"/>
        <v>5.5850536063818543</v>
      </c>
      <c r="X97" s="170">
        <f t="shared" si="30"/>
        <v>0.76604444311897779</v>
      </c>
      <c r="Y97" s="171">
        <v>1070</v>
      </c>
      <c r="Z97" s="169">
        <f t="shared" si="31"/>
        <v>18.675022996339326</v>
      </c>
      <c r="AA97" s="169">
        <f t="shared" si="32"/>
        <v>0.98480775301220802</v>
      </c>
      <c r="AC97" s="172">
        <f t="shared" si="33"/>
        <v>3.4084482593922388E-53</v>
      </c>
      <c r="AD97" s="173">
        <f t="shared" si="34"/>
        <v>0.27619874399631839</v>
      </c>
      <c r="AE97" s="173">
        <f t="shared" si="35"/>
        <v>0.91555135940281351</v>
      </c>
      <c r="AF97" s="173">
        <f t="shared" si="18"/>
        <v>1.1917501033991318</v>
      </c>
      <c r="AG97" s="152">
        <f t="shared" ref="AG97:AG128" si="38">5000*2.71828^(-0.69315/半Cs134*(C97-調査初日)/365.25)+5000*2.71828^(-0.69315/半Cs137*(C97-調査初日)/365.25)</f>
        <v>6503.168563805445</v>
      </c>
      <c r="AH97" s="152">
        <f t="shared" si="36"/>
        <v>138.0993719981592</v>
      </c>
      <c r="AI97" s="152">
        <f t="shared" si="37"/>
        <v>457.77567970140677</v>
      </c>
    </row>
    <row r="98" spans="2:35" ht="11.1" customHeight="1" x14ac:dyDescent="0.15">
      <c r="B98" s="158">
        <v>36</v>
      </c>
      <c r="C98" s="159">
        <v>42039</v>
      </c>
      <c r="D98" s="160">
        <v>4482.7598608583294</v>
      </c>
      <c r="E98" s="161">
        <f t="shared" si="21"/>
        <v>5673.7328587864176</v>
      </c>
      <c r="F98" s="162">
        <f t="shared" si="24"/>
        <v>4307.7074550019788</v>
      </c>
      <c r="G98" s="163">
        <v>42036</v>
      </c>
      <c r="H98" s="158">
        <v>20</v>
      </c>
      <c r="I98" s="158">
        <v>71</v>
      </c>
      <c r="J98" s="164">
        <f t="shared" si="20"/>
        <v>91</v>
      </c>
      <c r="K98" s="177">
        <v>2.1362870126352251</v>
      </c>
      <c r="L98" s="167">
        <v>6.092899443517263</v>
      </c>
      <c r="M98" s="167">
        <f t="shared" si="17"/>
        <v>8.2291864561524886</v>
      </c>
      <c r="N98" s="151"/>
      <c r="O98" s="152">
        <f t="shared" si="22"/>
        <v>26.822768457513348</v>
      </c>
      <c r="P98" s="167">
        <f t="shared" si="25"/>
        <v>20.4895</v>
      </c>
      <c r="Q98" s="164">
        <f t="shared" si="26"/>
        <v>26.825455260075476</v>
      </c>
      <c r="R98" s="155">
        <f t="shared" si="23"/>
        <v>80.760708041771352</v>
      </c>
      <c r="S98" s="167">
        <f t="shared" si="27"/>
        <v>101.48307692307692</v>
      </c>
      <c r="T98" s="152">
        <f t="shared" si="28"/>
        <v>103.32991123415472</v>
      </c>
      <c r="U98" s="89"/>
      <c r="V98" s="168">
        <v>330</v>
      </c>
      <c r="W98" s="169">
        <f t="shared" si="29"/>
        <v>5.7595865315812871</v>
      </c>
      <c r="X98" s="170">
        <f t="shared" si="30"/>
        <v>0.86602540378443837</v>
      </c>
      <c r="Y98" s="171">
        <v>1100</v>
      </c>
      <c r="Z98" s="169">
        <f t="shared" si="31"/>
        <v>19.198621771937624</v>
      </c>
      <c r="AA98" s="169">
        <f t="shared" si="32"/>
        <v>0.93969262078590876</v>
      </c>
      <c r="AC98" s="172">
        <f t="shared" si="33"/>
        <v>3.3054986602455663E-54</v>
      </c>
      <c r="AD98" s="173">
        <f t="shared" si="34"/>
        <v>0.26942000739237199</v>
      </c>
      <c r="AE98" s="173">
        <f t="shared" si="35"/>
        <v>0.91399259745796824</v>
      </c>
      <c r="AF98" s="173">
        <f t="shared" si="18"/>
        <v>1.1834126048503402</v>
      </c>
      <c r="AG98" s="152">
        <f t="shared" si="38"/>
        <v>6450.1784554194919</v>
      </c>
      <c r="AH98" s="152">
        <f t="shared" si="36"/>
        <v>134.71000369618599</v>
      </c>
      <c r="AI98" s="152">
        <f t="shared" si="37"/>
        <v>456.99629872898413</v>
      </c>
    </row>
    <row r="99" spans="2:35" ht="11.1" customHeight="1" x14ac:dyDescent="0.15">
      <c r="B99" s="158">
        <v>37</v>
      </c>
      <c r="C99" s="159">
        <v>42067</v>
      </c>
      <c r="D99" s="160">
        <v>5474.268621063844</v>
      </c>
      <c r="E99" s="161">
        <f t="shared" si="21"/>
        <v>5656.589890795527</v>
      </c>
      <c r="F99" s="162">
        <f t="shared" si="24"/>
        <v>4216.8972700096183</v>
      </c>
      <c r="G99" s="163">
        <v>42064</v>
      </c>
      <c r="H99" s="158">
        <v>26</v>
      </c>
      <c r="I99" s="158">
        <v>100</v>
      </c>
      <c r="J99" s="164">
        <f t="shared" si="20"/>
        <v>126</v>
      </c>
      <c r="K99" s="177">
        <v>2.0819392185659642</v>
      </c>
      <c r="L99" s="167">
        <v>6.0821421836499896</v>
      </c>
      <c r="M99" s="167">
        <f t="shared" si="17"/>
        <v>8.1640814022159542</v>
      </c>
      <c r="N99" s="151"/>
      <c r="O99" s="152">
        <f t="shared" si="22"/>
        <v>24.888619370041514</v>
      </c>
      <c r="P99" s="167">
        <f t="shared" si="25"/>
        <v>20.486499999999999</v>
      </c>
      <c r="Q99" s="164">
        <f t="shared" si="26"/>
        <v>24.055786950387642</v>
      </c>
      <c r="R99" s="155">
        <f t="shared" si="23"/>
        <v>76.581370387334019</v>
      </c>
      <c r="S99" s="167">
        <f t="shared" si="27"/>
        <v>101.46076923076923</v>
      </c>
      <c r="T99" s="152">
        <f t="shared" si="28"/>
        <v>94.389697224070218</v>
      </c>
      <c r="U99" s="89"/>
      <c r="V99" s="168">
        <v>340</v>
      </c>
      <c r="W99" s="169">
        <f t="shared" si="29"/>
        <v>5.9341194567807207</v>
      </c>
      <c r="X99" s="170">
        <f t="shared" si="30"/>
        <v>0.93969262078590843</v>
      </c>
      <c r="Y99" s="171">
        <v>1130</v>
      </c>
      <c r="Z99" s="169">
        <f t="shared" si="31"/>
        <v>19.722220547535922</v>
      </c>
      <c r="AA99" s="169">
        <f t="shared" si="32"/>
        <v>0.6427876096865407</v>
      </c>
      <c r="AC99" s="172">
        <f t="shared" si="33"/>
        <v>2.9402679176114263E-55</v>
      </c>
      <c r="AD99" s="173">
        <f t="shared" si="34"/>
        <v>0.26256588011766774</v>
      </c>
      <c r="AE99" s="173">
        <f t="shared" si="35"/>
        <v>0.91237890663986687</v>
      </c>
      <c r="AF99" s="173">
        <f t="shared" si="18"/>
        <v>1.1749447867575347</v>
      </c>
      <c r="AG99" s="152">
        <f t="shared" si="38"/>
        <v>6396.4073441769542</v>
      </c>
      <c r="AH99" s="152">
        <f t="shared" si="36"/>
        <v>131.28294005883387</v>
      </c>
      <c r="AI99" s="152">
        <f t="shared" si="37"/>
        <v>456.18945331993342</v>
      </c>
    </row>
    <row r="100" spans="2:35" ht="11.1" customHeight="1" x14ac:dyDescent="0.15">
      <c r="B100" s="158">
        <v>38</v>
      </c>
      <c r="C100" s="159">
        <v>42095</v>
      </c>
      <c r="D100" s="160">
        <v>4911.22</v>
      </c>
      <c r="E100" s="161">
        <f t="shared" si="21"/>
        <v>5639.7293143674033</v>
      </c>
      <c r="F100" s="162">
        <f t="shared" si="24"/>
        <v>4966.0811367004726</v>
      </c>
      <c r="G100" s="163">
        <v>42095</v>
      </c>
      <c r="H100" s="158">
        <v>47</v>
      </c>
      <c r="I100" s="158">
        <v>170</v>
      </c>
      <c r="J100" s="164">
        <f t="shared" si="20"/>
        <v>217</v>
      </c>
      <c r="K100" s="177">
        <v>2.0289740489768047</v>
      </c>
      <c r="L100" s="167">
        <v>6.0714039161591602</v>
      </c>
      <c r="M100" s="167">
        <f t="shared" si="17"/>
        <v>8.1003779651359658</v>
      </c>
      <c r="N100" s="151"/>
      <c r="O100" s="152">
        <f t="shared" si="22"/>
        <v>22.909497791713367</v>
      </c>
      <c r="P100" s="167">
        <f t="shared" si="25"/>
        <v>20.475999999999999</v>
      </c>
      <c r="Q100" s="164">
        <f t="shared" si="26"/>
        <v>39.618591477361534</v>
      </c>
      <c r="R100" s="155">
        <f t="shared" si="23"/>
        <v>72.206054580708368</v>
      </c>
      <c r="S100" s="167">
        <f t="shared" si="27"/>
        <v>101.40692307692308</v>
      </c>
      <c r="T100" s="152">
        <f t="shared" si="28"/>
        <v>158.53918906284284</v>
      </c>
      <c r="U100" s="89"/>
      <c r="V100" s="138">
        <v>80</v>
      </c>
      <c r="W100" s="169">
        <f t="shared" si="29"/>
        <v>1.3962634015954636</v>
      </c>
      <c r="X100" s="170">
        <f t="shared" si="30"/>
        <v>0.17364817766693041</v>
      </c>
      <c r="Y100" s="139">
        <v>1160</v>
      </c>
      <c r="Z100" s="169">
        <f t="shared" si="31"/>
        <v>20.245819323134224</v>
      </c>
      <c r="AA100" s="169">
        <f t="shared" si="32"/>
        <v>0.17364817766692919</v>
      </c>
      <c r="AC100" s="172">
        <f t="shared" si="33"/>
        <v>2.6153922043014171E-56</v>
      </c>
      <c r="AD100" s="173">
        <f t="shared" si="34"/>
        <v>0.25588612393422933</v>
      </c>
      <c r="AE100" s="173">
        <f t="shared" si="35"/>
        <v>0.91076806485803097</v>
      </c>
      <c r="AF100" s="173">
        <f t="shared" si="18"/>
        <v>1.1666541887922603</v>
      </c>
      <c r="AG100" s="152">
        <f t="shared" si="38"/>
        <v>6343.8094060144176</v>
      </c>
      <c r="AH100" s="152">
        <f t="shared" si="36"/>
        <v>127.94306196711466</v>
      </c>
      <c r="AI100" s="152">
        <f t="shared" si="37"/>
        <v>455.38403242901546</v>
      </c>
    </row>
    <row r="101" spans="2:35" ht="11.1" customHeight="1" x14ac:dyDescent="0.15">
      <c r="B101" s="158">
        <v>39</v>
      </c>
      <c r="C101" s="159">
        <v>42131</v>
      </c>
      <c r="D101" s="160">
        <v>5017.6899999999996</v>
      </c>
      <c r="E101" s="161">
        <f t="shared" si="21"/>
        <v>5618.4673608639278</v>
      </c>
      <c r="F101" s="162">
        <f t="shared" si="24"/>
        <v>5884.5118039829058</v>
      </c>
      <c r="G101" s="163">
        <v>42125</v>
      </c>
      <c r="H101" s="158">
        <v>67</v>
      </c>
      <c r="I101" s="158">
        <v>230</v>
      </c>
      <c r="J101" s="164">
        <f t="shared" si="20"/>
        <v>297</v>
      </c>
      <c r="K101" s="177">
        <v>1.9628510813328102</v>
      </c>
      <c r="L101" s="167">
        <v>6.0576254254508433</v>
      </c>
      <c r="M101" s="167">
        <f t="shared" si="17"/>
        <v>8.0204765067836536</v>
      </c>
      <c r="N101" s="151"/>
      <c r="O101" s="152">
        <f t="shared" si="22"/>
        <v>21.144194546081089</v>
      </c>
      <c r="P101" s="167">
        <f t="shared" si="25"/>
        <v>20.466000000000001</v>
      </c>
      <c r="Q101" s="164">
        <f t="shared" si="26"/>
        <v>57.547823700643598</v>
      </c>
      <c r="R101" s="155">
        <f t="shared" si="23"/>
        <v>68.210035419920615</v>
      </c>
      <c r="S101" s="167">
        <f t="shared" si="27"/>
        <v>101.36076923076924</v>
      </c>
      <c r="T101" s="152">
        <f t="shared" si="28"/>
        <v>234.52019095962723</v>
      </c>
      <c r="U101" s="89"/>
      <c r="V101" s="138">
        <v>140</v>
      </c>
      <c r="W101" s="169">
        <f t="shared" si="29"/>
        <v>2.4434609527920612</v>
      </c>
      <c r="X101" s="170">
        <f t="shared" si="30"/>
        <v>-0.7660444431189779</v>
      </c>
      <c r="Y101" s="139">
        <v>1190</v>
      </c>
      <c r="Z101" s="169">
        <f t="shared" si="31"/>
        <v>20.769418098732523</v>
      </c>
      <c r="AA101" s="169">
        <f t="shared" si="32"/>
        <v>-0.34202014332566927</v>
      </c>
      <c r="AC101" s="172">
        <f t="shared" si="33"/>
        <v>1.1653164161649266E-57</v>
      </c>
      <c r="AD101" s="173">
        <f t="shared" si="34"/>
        <v>0.2475469586787728</v>
      </c>
      <c r="AE101" s="173">
        <f t="shared" si="35"/>
        <v>0.90870116081205254</v>
      </c>
      <c r="AF101" s="173">
        <f t="shared" si="18"/>
        <v>1.1562481194908254</v>
      </c>
      <c r="AG101" s="152">
        <f t="shared" si="38"/>
        <v>6277.8599397807229</v>
      </c>
      <c r="AH101" s="152">
        <f t="shared" si="36"/>
        <v>123.7734793393864</v>
      </c>
      <c r="AI101" s="152">
        <f t="shared" si="37"/>
        <v>454.35058040602627</v>
      </c>
    </row>
    <row r="102" spans="2:35" ht="11.1" customHeight="1" x14ac:dyDescent="0.15">
      <c r="B102" s="158">
        <v>40</v>
      </c>
      <c r="C102" s="159">
        <v>42158</v>
      </c>
      <c r="D102" s="160">
        <v>5245.7</v>
      </c>
      <c r="E102" s="161">
        <f t="shared" si="21"/>
        <v>5602.8286907338188</v>
      </c>
      <c r="F102" s="162">
        <f t="shared" si="24"/>
        <v>6102.8286907338188</v>
      </c>
      <c r="G102" s="163">
        <v>42156</v>
      </c>
      <c r="H102" s="158">
        <v>58</v>
      </c>
      <c r="I102" s="158">
        <v>240</v>
      </c>
      <c r="J102" s="164">
        <f t="shared" si="20"/>
        <v>298</v>
      </c>
      <c r="K102" s="177">
        <v>1.9146768924114306</v>
      </c>
      <c r="L102" s="158">
        <v>18</v>
      </c>
      <c r="M102" s="167">
        <f t="shared" si="17"/>
        <v>19.914676892411432</v>
      </c>
      <c r="N102" s="151"/>
      <c r="O102" s="152">
        <f t="shared" si="22"/>
        <v>19.46282640507086</v>
      </c>
      <c r="P102" s="167">
        <f t="shared" si="25"/>
        <v>20.470500000000001</v>
      </c>
      <c r="Q102" s="164">
        <f t="shared" si="26"/>
        <v>59.899989607606287</v>
      </c>
      <c r="R102" s="155">
        <f t="shared" si="23"/>
        <v>64.312998260180336</v>
      </c>
      <c r="S102" s="167">
        <f t="shared" si="27"/>
        <v>101.35307692307693</v>
      </c>
      <c r="T102" s="152">
        <f t="shared" si="28"/>
        <v>248.49911277488587</v>
      </c>
      <c r="U102" s="89"/>
      <c r="V102" s="138">
        <v>180</v>
      </c>
      <c r="W102" s="169">
        <f t="shared" si="29"/>
        <v>3.1415926535897931</v>
      </c>
      <c r="X102" s="170">
        <f t="shared" si="30"/>
        <v>-1</v>
      </c>
      <c r="Y102" s="139">
        <v>1220</v>
      </c>
      <c r="Z102" s="169">
        <f t="shared" si="31"/>
        <v>21.293016874330821</v>
      </c>
      <c r="AA102" s="169">
        <f t="shared" si="32"/>
        <v>-0.76604444311897801</v>
      </c>
      <c r="AC102" s="172">
        <f t="shared" si="33"/>
        <v>1.1301189160730041E-58</v>
      </c>
      <c r="AD102" s="173">
        <f t="shared" si="34"/>
        <v>0.2414714218906194</v>
      </c>
      <c r="AE102" s="173">
        <f t="shared" si="35"/>
        <v>0.90715406159783218</v>
      </c>
      <c r="AF102" s="173">
        <f t="shared" si="18"/>
        <v>1.1486254834884515</v>
      </c>
      <c r="AG102" s="152">
        <f t="shared" si="38"/>
        <v>6229.6018604709088</v>
      </c>
      <c r="AH102" s="152">
        <f t="shared" si="36"/>
        <v>120.73571094530971</v>
      </c>
      <c r="AI102" s="152">
        <f t="shared" si="37"/>
        <v>453.5770307989161</v>
      </c>
    </row>
    <row r="103" spans="2:35" ht="11.1" customHeight="1" x14ac:dyDescent="0.15">
      <c r="B103" s="158">
        <v>41</v>
      </c>
      <c r="C103" s="159">
        <v>42193</v>
      </c>
      <c r="D103" s="160">
        <v>5444.63</v>
      </c>
      <c r="E103" s="161">
        <f t="shared" si="21"/>
        <v>5582.949991845584</v>
      </c>
      <c r="F103" s="162">
        <f t="shared" si="24"/>
        <v>5948.9753956300228</v>
      </c>
      <c r="G103" s="163">
        <v>42186</v>
      </c>
      <c r="H103" s="158">
        <v>56</v>
      </c>
      <c r="I103" s="158">
        <v>230</v>
      </c>
      <c r="J103" s="164">
        <f t="shared" si="20"/>
        <v>286</v>
      </c>
      <c r="K103" s="177">
        <v>1.8539843060561512</v>
      </c>
      <c r="L103" s="167">
        <v>6.033969061324183</v>
      </c>
      <c r="M103" s="167">
        <f t="shared" si="17"/>
        <v>7.8879533673803337</v>
      </c>
      <c r="N103" s="151"/>
      <c r="O103" s="152">
        <f t="shared" si="22"/>
        <v>17.963108212449608</v>
      </c>
      <c r="P103" s="167">
        <f t="shared" si="25"/>
        <v>20.471499999999999</v>
      </c>
      <c r="Q103" s="164">
        <f t="shared" si="26"/>
        <v>55.077281760691285</v>
      </c>
      <c r="R103" s="155">
        <f t="shared" si="23"/>
        <v>60.753795713694004</v>
      </c>
      <c r="S103" s="167">
        <f t="shared" si="27"/>
        <v>101.36076923076924</v>
      </c>
      <c r="T103" s="152">
        <f t="shared" si="28"/>
        <v>232.3122307271469</v>
      </c>
      <c r="U103" s="89"/>
      <c r="V103" s="138">
        <v>210</v>
      </c>
      <c r="W103" s="169">
        <f t="shared" si="29"/>
        <v>3.6651914291880923</v>
      </c>
      <c r="X103" s="170">
        <f t="shared" si="30"/>
        <v>-0.8660254037844386</v>
      </c>
      <c r="Y103" s="139">
        <v>1250</v>
      </c>
      <c r="Z103" s="169">
        <f t="shared" si="31"/>
        <v>21.816615649929119</v>
      </c>
      <c r="AA103" s="169">
        <f t="shared" si="32"/>
        <v>-0.98480775301220791</v>
      </c>
      <c r="AC103" s="172">
        <f t="shared" si="33"/>
        <v>5.4898634699038621E-60</v>
      </c>
      <c r="AD103" s="173">
        <f t="shared" si="34"/>
        <v>0.23381711468948604</v>
      </c>
      <c r="AE103" s="173">
        <f t="shared" si="35"/>
        <v>0.90515248224038469</v>
      </c>
      <c r="AF103" s="173">
        <f t="shared" si="18"/>
        <v>1.1389695969298708</v>
      </c>
      <c r="AG103" s="152">
        <f t="shared" si="38"/>
        <v>6168.5361409224824</v>
      </c>
      <c r="AH103" s="152">
        <f t="shared" si="36"/>
        <v>116.90855734474302</v>
      </c>
      <c r="AI103" s="152">
        <f t="shared" si="37"/>
        <v>452.57624112019232</v>
      </c>
    </row>
    <row r="104" spans="2:35" ht="11.1" customHeight="1" x14ac:dyDescent="0.15">
      <c r="B104" s="158">
        <v>42</v>
      </c>
      <c r="C104" s="159">
        <v>42221</v>
      </c>
      <c r="D104" s="160">
        <v>5507.05</v>
      </c>
      <c r="E104" s="161">
        <f t="shared" si="21"/>
        <v>5567.367772952246</v>
      </c>
      <c r="F104" s="162">
        <f t="shared" si="24"/>
        <v>5567.367772952246</v>
      </c>
      <c r="G104" s="163">
        <v>42217</v>
      </c>
      <c r="H104" s="158">
        <v>39</v>
      </c>
      <c r="I104" s="158">
        <v>170</v>
      </c>
      <c r="J104" s="164">
        <f t="shared" si="20"/>
        <v>209</v>
      </c>
      <c r="K104" s="177">
        <v>1.8068183790635559</v>
      </c>
      <c r="L104" s="158">
        <v>17</v>
      </c>
      <c r="M104" s="167">
        <f t="shared" si="17"/>
        <v>18.806818379063557</v>
      </c>
      <c r="N104" s="151"/>
      <c r="O104" s="152">
        <f t="shared" si="22"/>
        <v>16.534697317151174</v>
      </c>
      <c r="P104" s="167">
        <f t="shared" si="25"/>
        <v>20.48</v>
      </c>
      <c r="Q104" s="164">
        <f t="shared" si="26"/>
        <v>46.268371646438979</v>
      </c>
      <c r="R104" s="155">
        <f t="shared" si="23"/>
        <v>57.282755154427697</v>
      </c>
      <c r="S104" s="167">
        <f t="shared" si="27"/>
        <v>101.40692307692308</v>
      </c>
      <c r="T104" s="152">
        <f t="shared" si="28"/>
        <v>198.36209778918848</v>
      </c>
      <c r="U104" s="89"/>
      <c r="V104" s="138">
        <v>240</v>
      </c>
      <c r="W104" s="169">
        <f t="shared" si="29"/>
        <v>4.1887902047863905</v>
      </c>
      <c r="X104" s="170">
        <f t="shared" si="30"/>
        <v>-0.50000000000000044</v>
      </c>
      <c r="Y104" s="139">
        <v>1280</v>
      </c>
      <c r="Z104" s="169">
        <f t="shared" si="31"/>
        <v>22.340214425527417</v>
      </c>
      <c r="AA104" s="169">
        <f t="shared" si="32"/>
        <v>-0.93969262078590887</v>
      </c>
      <c r="AC104" s="172">
        <f t="shared" si="33"/>
        <v>4.8832781651850157E-61</v>
      </c>
      <c r="AD104" s="173">
        <f t="shared" si="34"/>
        <v>0.22786873587902942</v>
      </c>
      <c r="AE104" s="173">
        <f t="shared" si="35"/>
        <v>0.90355439900247314</v>
      </c>
      <c r="AF104" s="173">
        <f t="shared" si="18"/>
        <v>1.1314231348815025</v>
      </c>
      <c r="AG104" s="152">
        <f t="shared" si="38"/>
        <v>6120.86305082539</v>
      </c>
      <c r="AH104" s="152">
        <f t="shared" si="36"/>
        <v>113.93436793951471</v>
      </c>
      <c r="AI104" s="152">
        <f t="shared" si="37"/>
        <v>451.77719950123657</v>
      </c>
    </row>
    <row r="105" spans="2:35" ht="11.1" customHeight="1" x14ac:dyDescent="0.15">
      <c r="B105" s="158">
        <v>43</v>
      </c>
      <c r="C105" s="159">
        <v>42249</v>
      </c>
      <c r="D105" s="160">
        <v>5124.37</v>
      </c>
      <c r="E105" s="161">
        <f t="shared" si="21"/>
        <v>5552.0713214002899</v>
      </c>
      <c r="F105" s="162">
        <f t="shared" si="24"/>
        <v>5394.0914647259588</v>
      </c>
      <c r="G105" s="163">
        <v>42248</v>
      </c>
      <c r="H105" s="158">
        <v>35</v>
      </c>
      <c r="I105" s="158">
        <v>160</v>
      </c>
      <c r="J105" s="164">
        <f t="shared" si="20"/>
        <v>195</v>
      </c>
      <c r="K105" s="177">
        <v>1.760852367659137</v>
      </c>
      <c r="L105" s="167">
        <v>6.0126814382084532</v>
      </c>
      <c r="M105" s="167">
        <f t="shared" si="17"/>
        <v>7.77353380586759</v>
      </c>
      <c r="N105" s="151"/>
      <c r="O105" s="152">
        <f t="shared" si="22"/>
        <v>15.219872426105235</v>
      </c>
      <c r="P105" s="167">
        <f t="shared" si="25"/>
        <v>20.481999999999999</v>
      </c>
      <c r="Q105" s="164">
        <f t="shared" si="26"/>
        <v>41.807252188190851</v>
      </c>
      <c r="R105" s="155">
        <f t="shared" si="23"/>
        <v>54.010025209708829</v>
      </c>
      <c r="S105" s="167">
        <f t="shared" si="27"/>
        <v>101.41461538461539</v>
      </c>
      <c r="T105" s="152">
        <f t="shared" si="28"/>
        <v>182.00381952052985</v>
      </c>
      <c r="U105" s="89"/>
      <c r="V105" s="138">
        <v>250</v>
      </c>
      <c r="W105" s="169">
        <f t="shared" si="29"/>
        <v>4.3633231299858242</v>
      </c>
      <c r="X105" s="170">
        <f t="shared" si="30"/>
        <v>-0.34202014332566855</v>
      </c>
      <c r="Y105" s="139">
        <v>1310</v>
      </c>
      <c r="Z105" s="169">
        <f t="shared" si="31"/>
        <v>22.863813201125716</v>
      </c>
      <c r="AA105" s="169">
        <f t="shared" si="32"/>
        <v>-0.64278760968654081</v>
      </c>
      <c r="AC105" s="172">
        <f t="shared" si="33"/>
        <v>4.3437156077379918E-62</v>
      </c>
      <c r="AD105" s="173">
        <f t="shared" si="34"/>
        <v>0.22207168564227309</v>
      </c>
      <c r="AE105" s="173">
        <f t="shared" si="35"/>
        <v>0.90195913724501398</v>
      </c>
      <c r="AF105" s="173">
        <f t="shared" si="18"/>
        <v>1.1240308228872871</v>
      </c>
      <c r="AG105" s="152">
        <f t="shared" si="38"/>
        <v>6074.2098821995323</v>
      </c>
      <c r="AH105" s="152">
        <f t="shared" si="36"/>
        <v>111.03584282113654</v>
      </c>
      <c r="AI105" s="152">
        <f t="shared" si="37"/>
        <v>450.97956862250697</v>
      </c>
    </row>
    <row r="106" spans="2:35" ht="11.1" customHeight="1" x14ac:dyDescent="0.15">
      <c r="B106" s="158">
        <v>44</v>
      </c>
      <c r="C106" s="159">
        <v>42284</v>
      </c>
      <c r="D106" s="160">
        <v>5005.3</v>
      </c>
      <c r="E106" s="161">
        <f t="shared" si="21"/>
        <v>5533.3535523365717</v>
      </c>
      <c r="F106" s="162">
        <f t="shared" si="24"/>
        <v>5207.0017300035024</v>
      </c>
      <c r="G106" s="163">
        <v>42278</v>
      </c>
      <c r="H106" s="158">
        <v>34</v>
      </c>
      <c r="I106" s="158">
        <v>160</v>
      </c>
      <c r="J106" s="164">
        <f t="shared" si="20"/>
        <v>194</v>
      </c>
      <c r="K106" s="177">
        <v>1.7050358041404479</v>
      </c>
      <c r="L106" s="158">
        <v>11</v>
      </c>
      <c r="M106" s="167">
        <f t="shared" si="17"/>
        <v>12.705035804140447</v>
      </c>
      <c r="N106" s="151"/>
      <c r="O106" s="152">
        <f t="shared" si="22"/>
        <v>14.047097255030502</v>
      </c>
      <c r="P106" s="167">
        <f t="shared" si="25"/>
        <v>20.482500000000002</v>
      </c>
      <c r="Q106" s="164">
        <f t="shared" si="26"/>
        <v>37.527598074485049</v>
      </c>
      <c r="R106" s="155">
        <f t="shared" si="23"/>
        <v>51.021008611780928</v>
      </c>
      <c r="S106" s="167">
        <f t="shared" si="27"/>
        <v>101.41461538461539</v>
      </c>
      <c r="T106" s="152">
        <f t="shared" si="28"/>
        <v>165.67070815564415</v>
      </c>
      <c r="U106" s="89"/>
      <c r="V106" s="138">
        <v>260</v>
      </c>
      <c r="W106" s="169">
        <f t="shared" si="29"/>
        <v>4.5378560551852569</v>
      </c>
      <c r="X106" s="170">
        <f t="shared" si="30"/>
        <v>-0.17364817766693033</v>
      </c>
      <c r="Y106" s="139">
        <v>1340</v>
      </c>
      <c r="Z106" s="169">
        <f t="shared" si="31"/>
        <v>23.387411976724017</v>
      </c>
      <c r="AA106" s="169">
        <f t="shared" si="32"/>
        <v>-0.1736481776669293</v>
      </c>
      <c r="AC106" s="172">
        <f t="shared" si="33"/>
        <v>2.1100793287696467E-63</v>
      </c>
      <c r="AD106" s="173">
        <f t="shared" si="34"/>
        <v>0.21503232301596023</v>
      </c>
      <c r="AE106" s="173">
        <f t="shared" si="35"/>
        <v>0.89996902016700542</v>
      </c>
      <c r="AF106" s="173">
        <f t="shared" si="18"/>
        <v>1.1150013431829657</v>
      </c>
      <c r="AG106" s="152">
        <f t="shared" si="38"/>
        <v>6017.2887382195076</v>
      </c>
      <c r="AH106" s="152">
        <f t="shared" si="36"/>
        <v>107.51616150798012</v>
      </c>
      <c r="AI106" s="152">
        <f t="shared" si="37"/>
        <v>449.9845100835027</v>
      </c>
    </row>
    <row r="107" spans="2:35" ht="11.1" customHeight="1" x14ac:dyDescent="0.15">
      <c r="B107" s="158">
        <v>45</v>
      </c>
      <c r="C107" s="159">
        <v>42312</v>
      </c>
      <c r="D107" s="160">
        <v>4810.2299999999996</v>
      </c>
      <c r="E107" s="161">
        <f t="shared" si="21"/>
        <v>5518.7023214283981</v>
      </c>
      <c r="F107" s="162">
        <f t="shared" si="24"/>
        <v>4845.0541437614684</v>
      </c>
      <c r="G107" s="163">
        <v>42309</v>
      </c>
      <c r="H107" s="158">
        <v>39</v>
      </c>
      <c r="I107" s="158">
        <v>170</v>
      </c>
      <c r="J107" s="164">
        <f t="shared" si="20"/>
        <v>209</v>
      </c>
      <c r="K107" s="177">
        <v>1.6616591725286518</v>
      </c>
      <c r="L107" s="158">
        <v>10</v>
      </c>
      <c r="M107" s="167">
        <f t="shared" si="17"/>
        <v>11.661659172528651</v>
      </c>
      <c r="N107" s="151"/>
      <c r="O107" s="152">
        <f t="shared" si="22"/>
        <v>12.930084178613377</v>
      </c>
      <c r="P107" s="167">
        <f t="shared" si="25"/>
        <v>20.48</v>
      </c>
      <c r="Q107" s="164">
        <f t="shared" si="26"/>
        <v>30.509284061955903</v>
      </c>
      <c r="R107" s="155">
        <f t="shared" si="23"/>
        <v>48.106030408596013</v>
      </c>
      <c r="S107" s="167">
        <f t="shared" si="27"/>
        <v>101.40692307692308</v>
      </c>
      <c r="T107" s="152">
        <f t="shared" si="28"/>
        <v>136.53162753033865</v>
      </c>
      <c r="U107" s="89"/>
      <c r="V107" s="138">
        <v>280</v>
      </c>
      <c r="W107" s="169">
        <f t="shared" si="29"/>
        <v>4.8869219055841224</v>
      </c>
      <c r="X107" s="170">
        <f t="shared" si="30"/>
        <v>0.17364817766692997</v>
      </c>
      <c r="Y107" s="139">
        <v>1370</v>
      </c>
      <c r="Z107" s="169">
        <f t="shared" si="31"/>
        <v>23.911010752322316</v>
      </c>
      <c r="AA107" s="169">
        <f t="shared" si="32"/>
        <v>0.34202014332566916</v>
      </c>
      <c r="AC107" s="172">
        <f t="shared" si="33"/>
        <v>1.8769327087053251E-64</v>
      </c>
      <c r="AD107" s="173">
        <f t="shared" si="34"/>
        <v>0.20956183504295589</v>
      </c>
      <c r="AE107" s="173">
        <f t="shared" si="35"/>
        <v>0.8983800885405806</v>
      </c>
      <c r="AF107" s="173">
        <f t="shared" si="18"/>
        <v>1.1079419235835366</v>
      </c>
      <c r="AG107" s="152">
        <f t="shared" si="38"/>
        <v>5972.8377588929752</v>
      </c>
      <c r="AH107" s="152">
        <f t="shared" si="36"/>
        <v>104.78091752147795</v>
      </c>
      <c r="AI107" s="152">
        <f t="shared" si="37"/>
        <v>449.19004427029029</v>
      </c>
    </row>
    <row r="108" spans="2:35" ht="11.1" customHeight="1" x14ac:dyDescent="0.15">
      <c r="B108" s="158">
        <v>46</v>
      </c>
      <c r="C108" s="159">
        <v>42340</v>
      </c>
      <c r="D108" s="160">
        <v>5090.9399999999996</v>
      </c>
      <c r="E108" s="161">
        <f t="shared" si="21"/>
        <v>5504.3388526398921</v>
      </c>
      <c r="F108" s="162">
        <f t="shared" si="24"/>
        <v>4361.5512429533528</v>
      </c>
      <c r="G108" s="163">
        <v>42339</v>
      </c>
      <c r="H108" s="158">
        <v>33</v>
      </c>
      <c r="I108" s="158">
        <v>140</v>
      </c>
      <c r="J108" s="164">
        <f t="shared" si="20"/>
        <v>173</v>
      </c>
      <c r="K108" s="177">
        <v>1.6193860556732116</v>
      </c>
      <c r="L108" s="167">
        <v>5</v>
      </c>
      <c r="M108" s="167">
        <f t="shared" si="17"/>
        <v>6.6193860556732114</v>
      </c>
      <c r="N108" s="151"/>
      <c r="O108" s="152">
        <f t="shared" si="22"/>
        <v>11.933749829675319</v>
      </c>
      <c r="P108" s="167">
        <f t="shared" si="25"/>
        <v>20.483000000000001</v>
      </c>
      <c r="Q108" s="164">
        <f t="shared" si="26"/>
        <v>21.998207261263556</v>
      </c>
      <c r="R108" s="155">
        <f t="shared" si="23"/>
        <v>45.44375201132781</v>
      </c>
      <c r="S108" s="167">
        <f t="shared" si="27"/>
        <v>101.43</v>
      </c>
      <c r="T108" s="152">
        <f t="shared" si="28"/>
        <v>99.669438020800342</v>
      </c>
      <c r="U108" s="89"/>
      <c r="V108" s="138">
        <v>310</v>
      </c>
      <c r="W108" s="169">
        <f t="shared" si="29"/>
        <v>5.4105206811824216</v>
      </c>
      <c r="X108" s="170">
        <f t="shared" si="30"/>
        <v>0.64278760968653925</v>
      </c>
      <c r="Y108" s="139">
        <v>1400</v>
      </c>
      <c r="Z108" s="169">
        <f t="shared" si="31"/>
        <v>24.434609527920614</v>
      </c>
      <c r="AA108" s="169">
        <f t="shared" si="32"/>
        <v>0.7660444431189779</v>
      </c>
      <c r="AC108" s="172">
        <f t="shared" si="33"/>
        <v>1.6695468956903817E-65</v>
      </c>
      <c r="AD108" s="173">
        <f t="shared" si="34"/>
        <v>0.20423051795478903</v>
      </c>
      <c r="AE108" s="173">
        <f t="shared" si="35"/>
        <v>0.89679396223706898</v>
      </c>
      <c r="AF108" s="173">
        <f t="shared" si="18"/>
        <v>1.1010244801918581</v>
      </c>
      <c r="AG108" s="152">
        <f t="shared" si="38"/>
        <v>5929.3258342000572</v>
      </c>
      <c r="AH108" s="152">
        <f t="shared" si="36"/>
        <v>102.11525897739452</v>
      </c>
      <c r="AI108" s="152">
        <f t="shared" si="37"/>
        <v>448.39698111853448</v>
      </c>
    </row>
    <row r="109" spans="2:35" ht="11.1" customHeight="1" x14ac:dyDescent="0.15">
      <c r="B109" s="158">
        <v>47</v>
      </c>
      <c r="C109" s="159">
        <v>42375</v>
      </c>
      <c r="D109" s="160">
        <v>4515.71</v>
      </c>
      <c r="E109" s="161">
        <f t="shared" si="21"/>
        <v>5486.7901171873673</v>
      </c>
      <c r="F109" s="162">
        <f t="shared" si="24"/>
        <v>4220.7456740683892</v>
      </c>
      <c r="G109" s="163">
        <v>42370</v>
      </c>
      <c r="H109" s="158">
        <v>23</v>
      </c>
      <c r="I109" s="158">
        <v>110</v>
      </c>
      <c r="J109" s="164">
        <f t="shared" si="20"/>
        <v>133</v>
      </c>
      <c r="K109" s="177">
        <v>1.5680537768871574</v>
      </c>
      <c r="L109" s="167">
        <v>4.5885065185998704</v>
      </c>
      <c r="M109" s="167">
        <f t="shared" si="17"/>
        <v>6.1565602954870275</v>
      </c>
      <c r="N109" s="151"/>
      <c r="O109" s="152">
        <f t="shared" si="22"/>
        <v>10.984788320516241</v>
      </c>
      <c r="P109" s="167">
        <f t="shared" si="25"/>
        <v>20.488</v>
      </c>
      <c r="Q109" s="164">
        <f t="shared" si="26"/>
        <v>19.418011019320573</v>
      </c>
      <c r="R109" s="155">
        <f t="shared" si="23"/>
        <v>42.847418653986558</v>
      </c>
      <c r="S109" s="167">
        <f t="shared" si="27"/>
        <v>101.45307692307692</v>
      </c>
      <c r="T109" s="152">
        <f t="shared" si="28"/>
        <v>89.030199189001422</v>
      </c>
      <c r="U109" s="89"/>
      <c r="V109" s="138">
        <v>320</v>
      </c>
      <c r="W109" s="169">
        <f t="shared" si="29"/>
        <v>5.5850536063818543</v>
      </c>
      <c r="X109" s="170">
        <f t="shared" si="30"/>
        <v>0.76604444311897779</v>
      </c>
      <c r="Y109" s="139">
        <v>1430</v>
      </c>
      <c r="Z109" s="169">
        <f t="shared" si="31"/>
        <v>24.958208303518912</v>
      </c>
      <c r="AA109" s="169">
        <f t="shared" si="32"/>
        <v>0.98480775301220791</v>
      </c>
      <c r="AC109" s="172">
        <f t="shared" si="33"/>
        <v>8.1102832485906255E-67</v>
      </c>
      <c r="AD109" s="173">
        <f t="shared" si="34"/>
        <v>0.19775669545425045</v>
      </c>
      <c r="AE109" s="173">
        <f t="shared" si="35"/>
        <v>0.89481524179840877</v>
      </c>
      <c r="AF109" s="173">
        <f t="shared" si="18"/>
        <v>1.0925719372526592</v>
      </c>
      <c r="AG109" s="152">
        <f t="shared" si="38"/>
        <v>5876.2206523102377</v>
      </c>
      <c r="AH109" s="152">
        <f t="shared" si="36"/>
        <v>98.878347727125231</v>
      </c>
      <c r="AI109" s="152">
        <f t="shared" si="37"/>
        <v>447.4076208992044</v>
      </c>
    </row>
    <row r="110" spans="2:35" ht="11.1" customHeight="1" x14ac:dyDescent="0.15">
      <c r="B110" s="158">
        <v>48</v>
      </c>
      <c r="C110" s="159">
        <v>42403</v>
      </c>
      <c r="D110" s="160">
        <v>4193.24</v>
      </c>
      <c r="E110" s="161">
        <f t="shared" si="21"/>
        <v>5473.0763572936994</v>
      </c>
      <c r="F110" s="162">
        <f t="shared" si="24"/>
        <v>4107.0509535092606</v>
      </c>
      <c r="G110" s="163">
        <v>42401</v>
      </c>
      <c r="H110" s="158">
        <v>24</v>
      </c>
      <c r="I110" s="158">
        <v>120</v>
      </c>
      <c r="J110" s="164">
        <f t="shared" si="20"/>
        <v>144</v>
      </c>
      <c r="K110" s="177">
        <v>1.5281620098859308</v>
      </c>
      <c r="L110" s="167">
        <v>4.5804053251564492</v>
      </c>
      <c r="M110" s="167">
        <f t="shared" si="17"/>
        <v>6.1085673350423804</v>
      </c>
      <c r="N110" s="151"/>
      <c r="O110" s="152">
        <f t="shared" si="22"/>
        <v>10.11128741332371</v>
      </c>
      <c r="P110" s="167">
        <f t="shared" si="25"/>
        <v>20.487500000000001</v>
      </c>
      <c r="Q110" s="164">
        <f t="shared" si="26"/>
        <v>17.349123800854784</v>
      </c>
      <c r="R110" s="155">
        <f t="shared" si="23"/>
        <v>40.39942135174843</v>
      </c>
      <c r="S110" s="167">
        <f t="shared" si="27"/>
        <v>101.44538461538461</v>
      </c>
      <c r="T110" s="152">
        <f t="shared" si="28"/>
        <v>80.424203285927177</v>
      </c>
      <c r="U110" s="89"/>
      <c r="V110" s="138">
        <v>330</v>
      </c>
      <c r="W110" s="169">
        <f t="shared" si="29"/>
        <v>5.7595865315812871</v>
      </c>
      <c r="X110" s="170">
        <f t="shared" si="30"/>
        <v>0.86602540378443837</v>
      </c>
      <c r="Y110" s="139">
        <v>1460</v>
      </c>
      <c r="Z110" s="169">
        <f t="shared" si="31"/>
        <v>25.48180707911721</v>
      </c>
      <c r="AA110" s="169">
        <f t="shared" si="32"/>
        <v>0.93969262078590887</v>
      </c>
      <c r="AC110" s="172">
        <f t="shared" si="33"/>
        <v>7.2141628509389567E-68</v>
      </c>
      <c r="AD110" s="173">
        <f t="shared" si="34"/>
        <v>0.19272570472276279</v>
      </c>
      <c r="AE110" s="173">
        <f t="shared" si="35"/>
        <v>0.89323540937569212</v>
      </c>
      <c r="AF110" s="173">
        <f t="shared" si="18"/>
        <v>1.0859611140984549</v>
      </c>
      <c r="AG110" s="152">
        <f t="shared" si="38"/>
        <v>5834.7364017951095</v>
      </c>
      <c r="AH110" s="152">
        <f t="shared" si="36"/>
        <v>96.3628523613814</v>
      </c>
      <c r="AI110" s="152">
        <f t="shared" si="37"/>
        <v>446.61770468784607</v>
      </c>
    </row>
    <row r="111" spans="2:35" ht="11.1" customHeight="1" x14ac:dyDescent="0.15">
      <c r="B111" s="158">
        <v>49</v>
      </c>
      <c r="C111" s="159">
        <v>42431</v>
      </c>
      <c r="D111" s="160">
        <v>4900.29</v>
      </c>
      <c r="E111" s="161">
        <f t="shared" si="21"/>
        <v>5459.6523542979849</v>
      </c>
      <c r="F111" s="162">
        <f t="shared" si="24"/>
        <v>4019.9597335120761</v>
      </c>
      <c r="G111" s="163">
        <v>42430</v>
      </c>
      <c r="H111" s="158">
        <v>17</v>
      </c>
      <c r="I111" s="158">
        <v>75</v>
      </c>
      <c r="J111" s="164">
        <f t="shared" si="20"/>
        <v>92</v>
      </c>
      <c r="K111" s="177">
        <v>1.489285101621016</v>
      </c>
      <c r="L111" s="167">
        <v>4.5723184346970021</v>
      </c>
      <c r="M111" s="167">
        <f t="shared" si="17"/>
        <v>6.0616035363180183</v>
      </c>
      <c r="N111" s="151"/>
      <c r="O111" s="152">
        <f t="shared" si="22"/>
        <v>9.3571339502823587</v>
      </c>
      <c r="P111" s="167">
        <f t="shared" si="25"/>
        <v>20.491</v>
      </c>
      <c r="Q111" s="164">
        <f t="shared" si="26"/>
        <v>15.82409834162752</v>
      </c>
      <c r="R111" s="155">
        <f t="shared" si="23"/>
        <v>38.236134659234203</v>
      </c>
      <c r="S111" s="167">
        <f t="shared" si="27"/>
        <v>101.48</v>
      </c>
      <c r="T111" s="152">
        <f t="shared" si="28"/>
        <v>74.071024287227857</v>
      </c>
      <c r="U111" s="89"/>
      <c r="V111" s="138">
        <v>340</v>
      </c>
      <c r="W111" s="169">
        <f t="shared" si="29"/>
        <v>5.9341194567807207</v>
      </c>
      <c r="X111" s="170">
        <f t="shared" si="30"/>
        <v>0.93969262078590843</v>
      </c>
      <c r="Y111" s="139">
        <v>1490</v>
      </c>
      <c r="Z111" s="169">
        <f t="shared" si="31"/>
        <v>26.005405854715509</v>
      </c>
      <c r="AA111" s="169">
        <f t="shared" si="32"/>
        <v>0.64278760968654081</v>
      </c>
      <c r="AC111" s="172">
        <f t="shared" si="33"/>
        <v>6.417056475667874E-69</v>
      </c>
      <c r="AD111" s="173">
        <f t="shared" si="34"/>
        <v>0.18782270393205655</v>
      </c>
      <c r="AE111" s="173">
        <f t="shared" si="35"/>
        <v>0.89165836621087702</v>
      </c>
      <c r="AF111" s="173">
        <f t="shared" si="18"/>
        <v>1.0794810701429336</v>
      </c>
      <c r="AG111" s="152">
        <f t="shared" si="38"/>
        <v>5794.1168297451431</v>
      </c>
      <c r="AH111" s="152">
        <f t="shared" si="36"/>
        <v>93.911351966028278</v>
      </c>
      <c r="AI111" s="152">
        <f t="shared" si="37"/>
        <v>445.82918310543852</v>
      </c>
    </row>
    <row r="112" spans="2:35" ht="11.1" customHeight="1" x14ac:dyDescent="0.15">
      <c r="B112" s="158">
        <v>50</v>
      </c>
      <c r="C112" s="159">
        <v>42461</v>
      </c>
      <c r="D112" s="160">
        <v>4802.12</v>
      </c>
      <c r="E112" s="161">
        <f t="shared" si="21"/>
        <v>5445.5917327234056</v>
      </c>
      <c r="F112" s="162">
        <f t="shared" si="24"/>
        <v>4771.9435550564749</v>
      </c>
      <c r="G112" s="163">
        <v>42461</v>
      </c>
      <c r="H112" s="158">
        <v>22</v>
      </c>
      <c r="I112" s="158">
        <v>120</v>
      </c>
      <c r="J112" s="164">
        <f t="shared" si="20"/>
        <v>142</v>
      </c>
      <c r="K112" s="177">
        <v>1.44872813467199</v>
      </c>
      <c r="L112" s="167">
        <v>4.5636697524496483</v>
      </c>
      <c r="M112" s="167">
        <f t="shared" si="17"/>
        <v>6.0123978871216384</v>
      </c>
      <c r="N112" s="151"/>
      <c r="O112" s="152">
        <f t="shared" si="22"/>
        <v>8.6130627168815153</v>
      </c>
      <c r="P112" s="167">
        <f t="shared" si="25"/>
        <v>20.488499999999998</v>
      </c>
      <c r="Q112" s="164">
        <f t="shared" si="26"/>
        <v>26.574846050358332</v>
      </c>
      <c r="R112" s="155">
        <f t="shared" si="23"/>
        <v>36.051593386171731</v>
      </c>
      <c r="S112" s="167">
        <f t="shared" si="27"/>
        <v>101.44538461538461</v>
      </c>
      <c r="T112" s="152">
        <f t="shared" si="28"/>
        <v>125.55892816921619</v>
      </c>
      <c r="U112" s="89"/>
      <c r="V112" s="168">
        <v>80</v>
      </c>
      <c r="W112" s="169">
        <f t="shared" si="29"/>
        <v>1.3962634015954636</v>
      </c>
      <c r="X112" s="170">
        <f t="shared" si="30"/>
        <v>0.17364817766693041</v>
      </c>
      <c r="Y112" s="171">
        <v>1520</v>
      </c>
      <c r="Z112" s="169">
        <f t="shared" si="31"/>
        <v>26.529004630313811</v>
      </c>
      <c r="AA112" s="169">
        <f t="shared" si="32"/>
        <v>0.17364817766692942</v>
      </c>
      <c r="AC112" s="172">
        <f t="shared" si="33"/>
        <v>4.8020321257037284E-70</v>
      </c>
      <c r="AD112" s="173">
        <f t="shared" si="34"/>
        <v>0.18270782083320755</v>
      </c>
      <c r="AE112" s="173">
        <f t="shared" si="35"/>
        <v>0.88997176673345824</v>
      </c>
      <c r="AF112" s="173">
        <f t="shared" si="18"/>
        <v>1.0726795875666657</v>
      </c>
      <c r="AG112" s="152">
        <f t="shared" si="38"/>
        <v>5751.5307899128511</v>
      </c>
      <c r="AH112" s="152">
        <f t="shared" si="36"/>
        <v>91.353910416603782</v>
      </c>
      <c r="AI112" s="152">
        <f t="shared" si="37"/>
        <v>444.98588336672913</v>
      </c>
    </row>
    <row r="113" spans="2:35" ht="11.1" customHeight="1" x14ac:dyDescent="0.15">
      <c r="B113" s="158">
        <v>51</v>
      </c>
      <c r="C113" s="159">
        <v>42492</v>
      </c>
      <c r="D113" s="160">
        <v>5502.55</v>
      </c>
      <c r="E113" s="161">
        <f t="shared" si="21"/>
        <v>5431.4134112140746</v>
      </c>
      <c r="F113" s="162">
        <f t="shared" si="24"/>
        <v>5697.4578543330526</v>
      </c>
      <c r="G113" s="163">
        <v>42491</v>
      </c>
      <c r="H113" s="158">
        <v>33</v>
      </c>
      <c r="I113" s="158">
        <v>180</v>
      </c>
      <c r="J113" s="164">
        <f t="shared" si="20"/>
        <v>213</v>
      </c>
      <c r="K113" s="177">
        <v>1.4079792202737438</v>
      </c>
      <c r="L113" s="167">
        <v>4.5547499667346312</v>
      </c>
      <c r="M113" s="167">
        <f t="shared" si="17"/>
        <v>5.9627291870083745</v>
      </c>
      <c r="N113" s="151"/>
      <c r="O113" s="152">
        <f t="shared" si="22"/>
        <v>7.9493786978261127</v>
      </c>
      <c r="P113" s="167">
        <f t="shared" si="25"/>
        <v>20.483000000000001</v>
      </c>
      <c r="Q113" s="164">
        <f t="shared" si="26"/>
        <v>39.322611550888162</v>
      </c>
      <c r="R113" s="155">
        <f t="shared" si="23"/>
        <v>34.056430254982452</v>
      </c>
      <c r="S113" s="167">
        <f t="shared" si="27"/>
        <v>101.39923076923077</v>
      </c>
      <c r="T113" s="152">
        <f t="shared" si="28"/>
        <v>187.33818923251644</v>
      </c>
      <c r="U113" s="89"/>
      <c r="V113" s="168">
        <v>140</v>
      </c>
      <c r="W113" s="169">
        <f t="shared" si="29"/>
        <v>2.4434609527920612</v>
      </c>
      <c r="X113" s="170">
        <f t="shared" si="30"/>
        <v>-0.7660444431189779</v>
      </c>
      <c r="Y113" s="171">
        <v>1550</v>
      </c>
      <c r="Z113" s="169">
        <f t="shared" si="31"/>
        <v>27.052603405912109</v>
      </c>
      <c r="AA113" s="169">
        <f t="shared" si="32"/>
        <v>-0.34202014332566905</v>
      </c>
      <c r="AC113" s="172">
        <f t="shared" si="33"/>
        <v>3.2959749388654117E-71</v>
      </c>
      <c r="AD113" s="173">
        <f t="shared" si="34"/>
        <v>0.17756873008675209</v>
      </c>
      <c r="AE113" s="173">
        <f t="shared" si="35"/>
        <v>0.88823229874337928</v>
      </c>
      <c r="AF113" s="173">
        <f t="shared" si="18"/>
        <v>1.0658010288301314</v>
      </c>
      <c r="AG113" s="152">
        <f t="shared" si="38"/>
        <v>5708.5143488409121</v>
      </c>
      <c r="AH113" s="152">
        <f t="shared" si="36"/>
        <v>88.784365043376042</v>
      </c>
      <c r="AI113" s="152">
        <f t="shared" si="37"/>
        <v>444.11614937168963</v>
      </c>
    </row>
    <row r="114" spans="2:35" ht="11.1" customHeight="1" x14ac:dyDescent="0.15">
      <c r="B114" s="158">
        <v>52</v>
      </c>
      <c r="C114" s="159">
        <v>42522</v>
      </c>
      <c r="D114" s="160">
        <v>4991.43</v>
      </c>
      <c r="E114" s="161">
        <f t="shared" si="21"/>
        <v>5418.0328962195781</v>
      </c>
      <c r="F114" s="162">
        <f t="shared" si="24"/>
        <v>5918.0328962195781</v>
      </c>
      <c r="G114" s="163">
        <v>42522</v>
      </c>
      <c r="H114" s="158">
        <v>42</v>
      </c>
      <c r="I114" s="158">
        <v>210</v>
      </c>
      <c r="J114" s="164">
        <f t="shared" si="20"/>
        <v>252</v>
      </c>
      <c r="K114" s="177">
        <v>1.3696364163073285</v>
      </c>
      <c r="L114" s="158">
        <v>14</v>
      </c>
      <c r="M114" s="167">
        <f t="shared" si="17"/>
        <v>15.369636416307328</v>
      </c>
      <c r="N114" s="151"/>
      <c r="O114" s="152">
        <f t="shared" si="22"/>
        <v>7.3172509497475078</v>
      </c>
      <c r="P114" s="167">
        <f t="shared" si="25"/>
        <v>20.4785</v>
      </c>
      <c r="Q114" s="164">
        <f t="shared" si="26"/>
        <v>41.693626424621257</v>
      </c>
      <c r="R114" s="155">
        <f t="shared" si="23"/>
        <v>32.110687617338115</v>
      </c>
      <c r="S114" s="167">
        <f t="shared" si="27"/>
        <v>101.37615384615384</v>
      </c>
      <c r="T114" s="152">
        <f t="shared" si="28"/>
        <v>200.23026219523791</v>
      </c>
      <c r="U114" s="89"/>
      <c r="V114" s="168">
        <v>180</v>
      </c>
      <c r="W114" s="169">
        <f t="shared" si="29"/>
        <v>3.1415926535897931</v>
      </c>
      <c r="X114" s="170">
        <f t="shared" si="30"/>
        <v>-1</v>
      </c>
      <c r="Y114" s="171">
        <v>1580</v>
      </c>
      <c r="Z114" s="169">
        <f t="shared" si="31"/>
        <v>27.576202181510407</v>
      </c>
      <c r="AA114" s="169">
        <f t="shared" si="32"/>
        <v>-0.7660444431189779</v>
      </c>
      <c r="AC114" s="172">
        <f t="shared" si="33"/>
        <v>2.4664544564879116E-72</v>
      </c>
      <c r="AD114" s="173">
        <f t="shared" si="34"/>
        <v>0.17273308840238269</v>
      </c>
      <c r="AE114" s="173">
        <f t="shared" si="35"/>
        <v>0.88655217977892287</v>
      </c>
      <c r="AF114" s="173">
        <f t="shared" si="18"/>
        <v>1.0592852681813056</v>
      </c>
      <c r="AG114" s="152">
        <f t="shared" si="38"/>
        <v>5667.816831150657</v>
      </c>
      <c r="AH114" s="152">
        <f t="shared" si="36"/>
        <v>86.366544201191346</v>
      </c>
      <c r="AI114" s="152">
        <f t="shared" si="37"/>
        <v>443.27608988946145</v>
      </c>
    </row>
    <row r="115" spans="2:35" ht="11.1" customHeight="1" x14ac:dyDescent="0.15">
      <c r="B115" s="158">
        <v>53</v>
      </c>
      <c r="C115" s="159">
        <v>42552</v>
      </c>
      <c r="D115" s="160">
        <v>5226.55</v>
      </c>
      <c r="E115" s="161">
        <f t="shared" si="21"/>
        <v>5404.9880048331688</v>
      </c>
      <c r="F115" s="162">
        <f t="shared" si="24"/>
        <v>5771.0134086176076</v>
      </c>
      <c r="G115" s="163">
        <v>42552</v>
      </c>
      <c r="H115" s="158">
        <v>33</v>
      </c>
      <c r="I115" s="158">
        <v>180</v>
      </c>
      <c r="J115" s="164">
        <f t="shared" si="20"/>
        <v>213</v>
      </c>
      <c r="K115" s="177">
        <v>1.3323377830181777</v>
      </c>
      <c r="L115" s="158">
        <v>11</v>
      </c>
      <c r="M115" s="167">
        <f t="shared" si="17"/>
        <v>12.332337783018177</v>
      </c>
      <c r="N115" s="151"/>
      <c r="O115" s="152">
        <f t="shared" si="22"/>
        <v>6.7534163791194484</v>
      </c>
      <c r="P115" s="167">
        <f t="shared" si="25"/>
        <v>20.483000000000001</v>
      </c>
      <c r="Q115" s="164">
        <f t="shared" si="26"/>
        <v>39.03013062530345</v>
      </c>
      <c r="R115" s="155">
        <f t="shared" si="23"/>
        <v>30.333621639560175</v>
      </c>
      <c r="S115" s="167">
        <f t="shared" si="27"/>
        <v>101.39923076923077</v>
      </c>
      <c r="T115" s="152">
        <f t="shared" si="28"/>
        <v>188.77485075829043</v>
      </c>
      <c r="U115" s="89"/>
      <c r="V115" s="168">
        <v>210</v>
      </c>
      <c r="W115" s="169">
        <f t="shared" si="29"/>
        <v>3.6651914291880923</v>
      </c>
      <c r="X115" s="170">
        <f t="shared" si="30"/>
        <v>-0.8660254037844386</v>
      </c>
      <c r="Y115" s="171">
        <v>1610</v>
      </c>
      <c r="Z115" s="169">
        <f t="shared" si="31"/>
        <v>28.099800957108705</v>
      </c>
      <c r="AA115" s="169">
        <f t="shared" si="32"/>
        <v>-0.98480775301220791</v>
      </c>
      <c r="AC115" s="172">
        <f t="shared" si="33"/>
        <v>1.845705048965935E-73</v>
      </c>
      <c r="AD115" s="173">
        <f t="shared" si="34"/>
        <v>0.1680291333640134</v>
      </c>
      <c r="AE115" s="173">
        <f t="shared" si="35"/>
        <v>0.88487523881163987</v>
      </c>
      <c r="AF115" s="173">
        <f t="shared" si="18"/>
        <v>1.0529043721756532</v>
      </c>
      <c r="AG115" s="152">
        <f t="shared" si="38"/>
        <v>5628.0105374757559</v>
      </c>
      <c r="AH115" s="152">
        <f t="shared" si="36"/>
        <v>84.014566682006702</v>
      </c>
      <c r="AI115" s="152">
        <f t="shared" si="37"/>
        <v>442.43761940581993</v>
      </c>
    </row>
    <row r="116" spans="2:35" ht="11.1" customHeight="1" x14ac:dyDescent="0.15">
      <c r="B116" s="158">
        <v>54</v>
      </c>
      <c r="C116" s="159">
        <v>42585</v>
      </c>
      <c r="D116" s="160">
        <v>5805.25</v>
      </c>
      <c r="E116" s="161">
        <f t="shared" si="21"/>
        <v>5391.0271705724299</v>
      </c>
      <c r="F116" s="162">
        <f t="shared" si="24"/>
        <v>5391.0271705724299</v>
      </c>
      <c r="G116" s="163">
        <v>42583</v>
      </c>
      <c r="H116" s="158">
        <v>24</v>
      </c>
      <c r="I116" s="158">
        <v>150</v>
      </c>
      <c r="J116" s="164">
        <f t="shared" si="20"/>
        <v>174</v>
      </c>
      <c r="K116" s="177">
        <v>1.2924813891194442</v>
      </c>
      <c r="L116" s="158">
        <v>14</v>
      </c>
      <c r="M116" s="167">
        <f t="shared" si="17"/>
        <v>15.292481389119445</v>
      </c>
      <c r="N116" s="151"/>
      <c r="O116" s="152">
        <f t="shared" si="22"/>
        <v>6.2163905246665285</v>
      </c>
      <c r="P116" s="167">
        <f t="shared" si="25"/>
        <v>20.487500000000001</v>
      </c>
      <c r="Q116" s="164">
        <f t="shared" si="26"/>
        <v>33.379863155833171</v>
      </c>
      <c r="R116" s="155">
        <f t="shared" si="23"/>
        <v>28.600573855738844</v>
      </c>
      <c r="S116" s="167">
        <f t="shared" si="27"/>
        <v>101.4223076923077</v>
      </c>
      <c r="T116" s="152">
        <f t="shared" si="28"/>
        <v>162.52860193505822</v>
      </c>
      <c r="U116" s="89"/>
      <c r="V116" s="168">
        <v>240</v>
      </c>
      <c r="W116" s="169">
        <f t="shared" si="29"/>
        <v>4.1887902047863905</v>
      </c>
      <c r="X116" s="170">
        <f t="shared" si="30"/>
        <v>-0.50000000000000044</v>
      </c>
      <c r="Y116" s="171">
        <v>1640</v>
      </c>
      <c r="Z116" s="169">
        <f t="shared" si="31"/>
        <v>28.623399732707004</v>
      </c>
      <c r="AA116" s="169">
        <f t="shared" si="32"/>
        <v>-0.93969262078590887</v>
      </c>
      <c r="AC116" s="172">
        <f t="shared" si="33"/>
        <v>1.0657624628249565E-74</v>
      </c>
      <c r="AD116" s="173">
        <f t="shared" si="34"/>
        <v>0.16300260374729109</v>
      </c>
      <c r="AE116" s="173">
        <f t="shared" si="35"/>
        <v>0.88303426716024025</v>
      </c>
      <c r="AF116" s="173">
        <f t="shared" si="18"/>
        <v>1.0460368709075314</v>
      </c>
      <c r="AG116" s="152">
        <f t="shared" si="38"/>
        <v>5585.2245211183845</v>
      </c>
      <c r="AH116" s="152">
        <f t="shared" si="36"/>
        <v>81.501301873645545</v>
      </c>
      <c r="AI116" s="152">
        <f t="shared" si="37"/>
        <v>441.51713358012012</v>
      </c>
    </row>
    <row r="117" spans="2:35" ht="11.1" customHeight="1" x14ac:dyDescent="0.15">
      <c r="B117" s="158">
        <v>55</v>
      </c>
      <c r="C117" s="159">
        <v>42614</v>
      </c>
      <c r="D117" s="160">
        <v>5310.79</v>
      </c>
      <c r="E117" s="161">
        <f t="shared" si="21"/>
        <v>5379.0953593950253</v>
      </c>
      <c r="F117" s="162">
        <f t="shared" si="24"/>
        <v>5221.1155027206942</v>
      </c>
      <c r="G117" s="163">
        <v>42614</v>
      </c>
      <c r="H117" s="158">
        <v>19</v>
      </c>
      <c r="I117" s="158">
        <v>110</v>
      </c>
      <c r="J117" s="164">
        <f t="shared" si="20"/>
        <v>129</v>
      </c>
      <c r="K117" s="177">
        <v>1.2584415412727514</v>
      </c>
      <c r="L117" s="158">
        <v>12</v>
      </c>
      <c r="M117" s="167">
        <f t="shared" si="17"/>
        <v>13.258441541272752</v>
      </c>
      <c r="N117" s="151"/>
      <c r="O117" s="152">
        <f t="shared" si="22"/>
        <v>5.7220685036752235</v>
      </c>
      <c r="P117" s="167">
        <f t="shared" si="25"/>
        <v>20.49</v>
      </c>
      <c r="Q117" s="164">
        <f t="shared" si="26"/>
        <v>30.694596216919841</v>
      </c>
      <c r="R117" s="155">
        <f t="shared" si="23"/>
        <v>26.966540118334276</v>
      </c>
      <c r="S117" s="167">
        <f t="shared" si="27"/>
        <v>101.45307692307692</v>
      </c>
      <c r="T117" s="152">
        <f t="shared" si="28"/>
        <v>150.38066495457664</v>
      </c>
      <c r="U117" s="89"/>
      <c r="V117" s="168">
        <v>250</v>
      </c>
      <c r="W117" s="169">
        <f t="shared" si="29"/>
        <v>4.3633231299858242</v>
      </c>
      <c r="X117" s="170">
        <f t="shared" si="30"/>
        <v>-0.34202014332566855</v>
      </c>
      <c r="Y117" s="171">
        <v>1670</v>
      </c>
      <c r="Z117" s="169">
        <f t="shared" si="31"/>
        <v>29.146998508305302</v>
      </c>
      <c r="AA117" s="169">
        <f t="shared" si="32"/>
        <v>-0.64278760968654092</v>
      </c>
      <c r="AC117" s="172">
        <f t="shared" si="33"/>
        <v>8.6952080859565727E-76</v>
      </c>
      <c r="AD117" s="173">
        <f t="shared" si="34"/>
        <v>0.15870963374642111</v>
      </c>
      <c r="AE117" s="173">
        <f t="shared" si="35"/>
        <v>0.88141960572345923</v>
      </c>
      <c r="AF117" s="173">
        <f t="shared" si="18"/>
        <v>1.0401292394698802</v>
      </c>
      <c r="AG117" s="152">
        <f t="shared" si="38"/>
        <v>5548.4666385253004</v>
      </c>
      <c r="AH117" s="152">
        <f t="shared" si="36"/>
        <v>79.354816873210552</v>
      </c>
      <c r="AI117" s="152">
        <f t="shared" si="37"/>
        <v>440.7098028617296</v>
      </c>
    </row>
    <row r="118" spans="2:35" ht="11.1" customHeight="1" x14ac:dyDescent="0.15">
      <c r="B118" s="158">
        <v>56</v>
      </c>
      <c r="C118" s="159">
        <v>42647</v>
      </c>
      <c r="D118" s="160">
        <v>4948.62</v>
      </c>
      <c r="E118" s="161">
        <f t="shared" si="21"/>
        <v>5365.9019429471227</v>
      </c>
      <c r="F118" s="162">
        <f t="shared" si="24"/>
        <v>5039.5501206140534</v>
      </c>
      <c r="G118" s="163">
        <v>42644</v>
      </c>
      <c r="H118" s="158">
        <v>21</v>
      </c>
      <c r="I118" s="158">
        <v>120</v>
      </c>
      <c r="J118" s="164">
        <f t="shared" si="20"/>
        <v>141</v>
      </c>
      <c r="K118" s="177">
        <v>1.220795726219849</v>
      </c>
      <c r="L118" s="167">
        <v>4.5104118662090134</v>
      </c>
      <c r="M118" s="167">
        <f t="shared" si="17"/>
        <v>5.7312075924288628</v>
      </c>
      <c r="N118" s="151"/>
      <c r="O118" s="152">
        <f t="shared" si="22"/>
        <v>5.2811515445561223</v>
      </c>
      <c r="P118" s="167">
        <f t="shared" si="25"/>
        <v>20.489000000000001</v>
      </c>
      <c r="Q118" s="164">
        <f t="shared" si="26"/>
        <v>28.007621471512525</v>
      </c>
      <c r="R118" s="155">
        <f t="shared" si="23"/>
        <v>25.474160959290661</v>
      </c>
      <c r="S118" s="167">
        <f t="shared" si="27"/>
        <v>101.44538461538461</v>
      </c>
      <c r="T118" s="152">
        <f t="shared" si="28"/>
        <v>137.93921947435391</v>
      </c>
      <c r="U118" s="89"/>
      <c r="V118" s="168">
        <v>260</v>
      </c>
      <c r="W118" s="169">
        <f t="shared" si="29"/>
        <v>4.5378560551852569</v>
      </c>
      <c r="X118" s="170">
        <f t="shared" si="30"/>
        <v>-0.17364817766693033</v>
      </c>
      <c r="Y118" s="171">
        <v>1700</v>
      </c>
      <c r="Z118" s="169">
        <f t="shared" si="31"/>
        <v>29.670597283903604</v>
      </c>
      <c r="AA118" s="169">
        <f t="shared" si="32"/>
        <v>-0.17364817766692955</v>
      </c>
      <c r="AC118" s="172">
        <f t="shared" si="33"/>
        <v>5.0208598549678609E-77</v>
      </c>
      <c r="AD118" s="173">
        <f t="shared" si="34"/>
        <v>0.15396189352712658</v>
      </c>
      <c r="AE118" s="173">
        <f t="shared" si="35"/>
        <v>0.87958582347263714</v>
      </c>
      <c r="AF118" s="173">
        <f t="shared" si="18"/>
        <v>1.0335477169997638</v>
      </c>
      <c r="AG118" s="152">
        <f t="shared" si="38"/>
        <v>5507.5697550197656</v>
      </c>
      <c r="AH118" s="152">
        <f t="shared" si="36"/>
        <v>76.980946763563296</v>
      </c>
      <c r="AI118" s="152">
        <f t="shared" si="37"/>
        <v>439.79291173631856</v>
      </c>
    </row>
    <row r="119" spans="2:35" ht="11.1" customHeight="1" x14ac:dyDescent="0.15">
      <c r="B119" s="158">
        <v>57</v>
      </c>
      <c r="C119" s="159">
        <v>42678</v>
      </c>
      <c r="D119" s="160">
        <v>4702.2700000000004</v>
      </c>
      <c r="E119" s="161">
        <f t="shared" si="21"/>
        <v>5353.8815078441985</v>
      </c>
      <c r="F119" s="162">
        <f t="shared" si="24"/>
        <v>4680.2333301772687</v>
      </c>
      <c r="G119" s="163">
        <v>42675</v>
      </c>
      <c r="H119" s="158">
        <v>21</v>
      </c>
      <c r="I119" s="158">
        <v>110</v>
      </c>
      <c r="J119" s="164">
        <f t="shared" si="20"/>
        <v>131</v>
      </c>
      <c r="K119" s="177">
        <v>1.1864579513434461</v>
      </c>
      <c r="L119" s="158">
        <v>10</v>
      </c>
      <c r="M119" s="167">
        <f t="shared" si="17"/>
        <v>11.186457951343446</v>
      </c>
      <c r="N119" s="151"/>
      <c r="O119" s="152">
        <f t="shared" si="22"/>
        <v>4.8611989218391995</v>
      </c>
      <c r="P119" s="167">
        <f t="shared" si="25"/>
        <v>20.489000000000001</v>
      </c>
      <c r="Q119" s="164">
        <f t="shared" si="26"/>
        <v>23.149190998703425</v>
      </c>
      <c r="R119" s="155">
        <f t="shared" si="23"/>
        <v>24.018748258499592</v>
      </c>
      <c r="S119" s="167">
        <f t="shared" si="27"/>
        <v>101.45307692307692</v>
      </c>
      <c r="T119" s="152">
        <f t="shared" si="28"/>
        <v>114.57784828591433</v>
      </c>
      <c r="U119" s="89"/>
      <c r="V119" s="168">
        <v>280</v>
      </c>
      <c r="W119" s="169">
        <f t="shared" si="29"/>
        <v>4.8869219055841224</v>
      </c>
      <c r="X119" s="170">
        <f t="shared" si="30"/>
        <v>0.17364817766692997</v>
      </c>
      <c r="Y119" s="171">
        <v>1730</v>
      </c>
      <c r="Z119" s="169">
        <f t="shared" si="31"/>
        <v>30.194196059501902</v>
      </c>
      <c r="AA119" s="169">
        <f t="shared" si="32"/>
        <v>0.34202014332566893</v>
      </c>
      <c r="AC119" s="172">
        <f t="shared" si="33"/>
        <v>3.4461719164581379E-78</v>
      </c>
      <c r="AD119" s="173">
        <f t="shared" si="34"/>
        <v>0.14963135015616533</v>
      </c>
      <c r="AE119" s="173">
        <f t="shared" si="35"/>
        <v>0.87786665502072814</v>
      </c>
      <c r="AF119" s="173">
        <f t="shared" si="18"/>
        <v>1.0274980051768934</v>
      </c>
      <c r="AG119" s="152">
        <f t="shared" si="38"/>
        <v>5470.029382684027</v>
      </c>
      <c r="AH119" s="152">
        <f t="shared" si="36"/>
        <v>74.815675078082663</v>
      </c>
      <c r="AI119" s="152">
        <f t="shared" si="37"/>
        <v>438.93332751036405</v>
      </c>
    </row>
    <row r="120" spans="2:35" ht="11.1" customHeight="1" x14ac:dyDescent="0.15">
      <c r="B120" s="158">
        <v>58</v>
      </c>
      <c r="C120" s="159">
        <v>42705</v>
      </c>
      <c r="D120" s="160">
        <v>5076.05</v>
      </c>
      <c r="E120" s="161">
        <f t="shared" si="21"/>
        <v>5343.7074752324261</v>
      </c>
      <c r="F120" s="162">
        <f t="shared" si="24"/>
        <v>4200.9198655458868</v>
      </c>
      <c r="G120" s="163">
        <v>42705</v>
      </c>
      <c r="H120" s="158">
        <v>18</v>
      </c>
      <c r="I120" s="158">
        <v>120</v>
      </c>
      <c r="J120" s="164">
        <f t="shared" si="20"/>
        <v>138</v>
      </c>
      <c r="K120" s="177">
        <v>1.1573387532347019</v>
      </c>
      <c r="L120" s="167">
        <v>4.4939320308306936</v>
      </c>
      <c r="M120" s="167">
        <f t="shared" si="17"/>
        <v>5.651270784065396</v>
      </c>
      <c r="N120" s="151"/>
      <c r="O120" s="152">
        <f t="shared" si="22"/>
        <v>4.4866167152623699</v>
      </c>
      <c r="P120" s="167">
        <f t="shared" si="25"/>
        <v>20.490500000000001</v>
      </c>
      <c r="Q120" s="164">
        <f t="shared" si="26"/>
        <v>16.949626140129766</v>
      </c>
      <c r="R120" s="155">
        <f t="shared" si="23"/>
        <v>22.689505457235327</v>
      </c>
      <c r="S120" s="167">
        <f t="shared" si="27"/>
        <v>101.44538461538461</v>
      </c>
      <c r="T120" s="152">
        <f t="shared" si="28"/>
        <v>84.238705438379597</v>
      </c>
      <c r="U120" s="89"/>
      <c r="V120" s="168">
        <v>310</v>
      </c>
      <c r="W120" s="169">
        <f t="shared" si="29"/>
        <v>5.4105206811824216</v>
      </c>
      <c r="X120" s="170">
        <f t="shared" si="30"/>
        <v>0.64278760968653925</v>
      </c>
      <c r="Y120" s="171">
        <v>1760</v>
      </c>
      <c r="Z120" s="169">
        <f t="shared" si="31"/>
        <v>30.7177948351002</v>
      </c>
      <c r="AA120" s="169">
        <f t="shared" si="32"/>
        <v>0.76604444311897779</v>
      </c>
      <c r="AC120" s="172">
        <f t="shared" si="33"/>
        <v>3.3420829028102358E-79</v>
      </c>
      <c r="AD120" s="173">
        <f t="shared" si="34"/>
        <v>0.1459589528971284</v>
      </c>
      <c r="AE120" s="173">
        <f t="shared" si="35"/>
        <v>0.87637205275681196</v>
      </c>
      <c r="AF120" s="173">
        <f t="shared" si="18"/>
        <v>1.0223310056539403</v>
      </c>
      <c r="AG120" s="152">
        <f t="shared" si="38"/>
        <v>5438.0071505112937</v>
      </c>
      <c r="AH120" s="152">
        <f t="shared" si="36"/>
        <v>72.979476448564199</v>
      </c>
      <c r="AI120" s="152">
        <f t="shared" si="37"/>
        <v>438.18602637840598</v>
      </c>
    </row>
    <row r="121" spans="2:35" ht="11.1" customHeight="1" x14ac:dyDescent="0.15">
      <c r="B121" s="158">
        <v>59</v>
      </c>
      <c r="C121" s="159">
        <v>42741</v>
      </c>
      <c r="D121" s="160">
        <v>4597.87</v>
      </c>
      <c r="E121" s="161">
        <f t="shared" si="21"/>
        <v>5330.5708815978142</v>
      </c>
      <c r="F121" s="162">
        <f t="shared" si="24"/>
        <v>4064.5264384788361</v>
      </c>
      <c r="G121" s="163">
        <v>42736</v>
      </c>
      <c r="H121" s="158">
        <v>15</v>
      </c>
      <c r="I121" s="158">
        <v>93</v>
      </c>
      <c r="J121" s="164">
        <f t="shared" si="20"/>
        <v>108</v>
      </c>
      <c r="K121" s="177">
        <v>1.119621822861999</v>
      </c>
      <c r="L121" s="167">
        <v>4.4837334669423967</v>
      </c>
      <c r="M121" s="167">
        <f t="shared" si="17"/>
        <v>5.6033552898043961</v>
      </c>
      <c r="N121" s="151"/>
      <c r="O121" s="152">
        <f t="shared" si="22"/>
        <v>4.1298448179207341</v>
      </c>
      <c r="P121" s="167">
        <f t="shared" si="25"/>
        <v>20.492000000000001</v>
      </c>
      <c r="Q121" s="164">
        <f t="shared" si="26"/>
        <v>15.191131116867744</v>
      </c>
      <c r="R121" s="155">
        <f t="shared" si="23"/>
        <v>21.393188201883877</v>
      </c>
      <c r="S121" s="167">
        <f t="shared" si="27"/>
        <v>101.46615384615384</v>
      </c>
      <c r="T121" s="152">
        <f t="shared" si="28"/>
        <v>75.801483917461184</v>
      </c>
      <c r="U121" s="89"/>
      <c r="V121" s="168">
        <v>320</v>
      </c>
      <c r="W121" s="169">
        <f t="shared" si="29"/>
        <v>5.5850536063818543</v>
      </c>
      <c r="X121" s="170">
        <f t="shared" si="30"/>
        <v>0.76604444311897779</v>
      </c>
      <c r="Y121" s="171">
        <v>1790</v>
      </c>
      <c r="Z121" s="169">
        <f t="shared" si="31"/>
        <v>31.241393610698498</v>
      </c>
      <c r="AA121" s="169">
        <f t="shared" si="32"/>
        <v>0.98480775301220791</v>
      </c>
      <c r="AC121" s="172">
        <f t="shared" si="33"/>
        <v>1.4891013532974295E-80</v>
      </c>
      <c r="AD121" s="173">
        <f t="shared" si="34"/>
        <v>0.14120224389701319</v>
      </c>
      <c r="AE121" s="173">
        <f t="shared" si="35"/>
        <v>0.87438320728504237</v>
      </c>
      <c r="AF121" s="173">
        <f t="shared" si="18"/>
        <v>1.0155854511820555</v>
      </c>
      <c r="AG121" s="152">
        <f t="shared" si="38"/>
        <v>5396.2600878508174</v>
      </c>
      <c r="AH121" s="152">
        <f t="shared" si="36"/>
        <v>70.601121948506602</v>
      </c>
      <c r="AI121" s="152">
        <f t="shared" si="37"/>
        <v>437.19160364252116</v>
      </c>
    </row>
    <row r="122" spans="2:35" ht="11.1" customHeight="1" x14ac:dyDescent="0.15">
      <c r="B122" s="158">
        <v>60</v>
      </c>
      <c r="C122" s="159">
        <v>42767</v>
      </c>
      <c r="D122" s="160">
        <v>3936.52</v>
      </c>
      <c r="E122" s="161">
        <f t="shared" si="21"/>
        <v>5321.3887715495075</v>
      </c>
      <c r="F122" s="162">
        <f t="shared" si="24"/>
        <v>3955.3633677650687</v>
      </c>
      <c r="G122" s="163">
        <v>42767</v>
      </c>
      <c r="H122" s="158">
        <v>11</v>
      </c>
      <c r="I122" s="158">
        <v>70</v>
      </c>
      <c r="J122" s="164">
        <f t="shared" si="20"/>
        <v>81</v>
      </c>
      <c r="K122" s="177">
        <v>1.093148586611457</v>
      </c>
      <c r="L122" s="167">
        <v>4.4763822344971125</v>
      </c>
      <c r="M122" s="167">
        <f t="shared" si="17"/>
        <v>5.5695308211085699</v>
      </c>
      <c r="N122" s="151"/>
      <c r="O122" s="152">
        <f t="shared" si="22"/>
        <v>3.8014431146052017</v>
      </c>
      <c r="P122" s="167">
        <f t="shared" si="25"/>
        <v>20.494</v>
      </c>
      <c r="Q122" s="164">
        <f t="shared" si="26"/>
        <v>13.77520764788129</v>
      </c>
      <c r="R122" s="155">
        <f t="shared" si="23"/>
        <v>20.170933311165683</v>
      </c>
      <c r="S122" s="167">
        <f t="shared" si="27"/>
        <v>101.48384615384616</v>
      </c>
      <c r="T122" s="152">
        <f t="shared" si="28"/>
        <v>68.976714710764995</v>
      </c>
      <c r="U122" s="89"/>
      <c r="V122" s="168">
        <v>330</v>
      </c>
      <c r="W122" s="169">
        <f t="shared" si="29"/>
        <v>5.7595865315812871</v>
      </c>
      <c r="X122" s="170">
        <f t="shared" si="30"/>
        <v>0.86602540378443837</v>
      </c>
      <c r="Y122" s="171">
        <v>1820</v>
      </c>
      <c r="Z122" s="169">
        <f t="shared" si="31"/>
        <v>31.764992386296797</v>
      </c>
      <c r="AA122" s="169">
        <f t="shared" si="32"/>
        <v>0.93969262078590898</v>
      </c>
      <c r="AC122" s="172">
        <f t="shared" si="33"/>
        <v>1.5744718418976539E-81</v>
      </c>
      <c r="AD122" s="173">
        <f t="shared" si="34"/>
        <v>0.13786354480642476</v>
      </c>
      <c r="AE122" s="173">
        <f t="shared" si="35"/>
        <v>0.87294962648671959</v>
      </c>
      <c r="AF122" s="173">
        <f t="shared" si="18"/>
        <v>1.0108131712931443</v>
      </c>
      <c r="AG122" s="152">
        <f t="shared" si="38"/>
        <v>5366.7663028265906</v>
      </c>
      <c r="AH122" s="152">
        <f t="shared" si="36"/>
        <v>68.931772403212378</v>
      </c>
      <c r="AI122" s="152">
        <f t="shared" si="37"/>
        <v>436.47481324335979</v>
      </c>
    </row>
    <row r="123" spans="2:35" ht="11.1" customHeight="1" x14ac:dyDescent="0.15">
      <c r="B123" s="158">
        <v>61</v>
      </c>
      <c r="C123" s="159">
        <v>42797</v>
      </c>
      <c r="D123" s="160">
        <v>4818.8599999999997</v>
      </c>
      <c r="E123" s="161">
        <f t="shared" si="21"/>
        <v>5311.1130633700523</v>
      </c>
      <c r="F123" s="162">
        <f t="shared" si="24"/>
        <v>3871.4204425841435</v>
      </c>
      <c r="G123" s="163">
        <v>42795</v>
      </c>
      <c r="H123" s="158">
        <v>12</v>
      </c>
      <c r="I123" s="158">
        <v>72</v>
      </c>
      <c r="J123" s="164">
        <f t="shared" si="20"/>
        <v>84</v>
      </c>
      <c r="K123" s="177">
        <v>1.0633794100788247</v>
      </c>
      <c r="L123" s="167">
        <v>4.467915018550368</v>
      </c>
      <c r="M123" s="167">
        <f t="shared" si="17"/>
        <v>5.5312944286291925</v>
      </c>
      <c r="N123" s="151"/>
      <c r="O123" s="152">
        <f t="shared" si="22"/>
        <v>3.5273268263169122</v>
      </c>
      <c r="P123" s="167">
        <f t="shared" si="25"/>
        <v>20.493500000000001</v>
      </c>
      <c r="Q123" s="164">
        <f t="shared" si="26"/>
        <v>12.734729969383816</v>
      </c>
      <c r="R123" s="155">
        <f t="shared" si="23"/>
        <v>19.127094752086979</v>
      </c>
      <c r="S123" s="167">
        <f t="shared" si="27"/>
        <v>101.4823076923077</v>
      </c>
      <c r="T123" s="152">
        <f t="shared" si="28"/>
        <v>63.941519707196882</v>
      </c>
      <c r="U123" s="89"/>
      <c r="V123" s="168">
        <v>340</v>
      </c>
      <c r="W123" s="169">
        <f t="shared" si="29"/>
        <v>5.9341194567807207</v>
      </c>
      <c r="X123" s="170">
        <f t="shared" si="30"/>
        <v>0.93969262078590843</v>
      </c>
      <c r="Y123" s="171">
        <v>1850</v>
      </c>
      <c r="Z123" s="169">
        <f t="shared" si="31"/>
        <v>32.288591161895098</v>
      </c>
      <c r="AA123" s="169">
        <f t="shared" si="32"/>
        <v>0.64278760968653836</v>
      </c>
      <c r="AC123" s="172">
        <f t="shared" si="33"/>
        <v>1.1782137798656889E-82</v>
      </c>
      <c r="AD123" s="173">
        <f t="shared" si="34"/>
        <v>0.13410917485798191</v>
      </c>
      <c r="AE123" s="173">
        <f t="shared" si="35"/>
        <v>0.8712984151712222</v>
      </c>
      <c r="AF123" s="173">
        <f t="shared" si="18"/>
        <v>1.0054075900292041</v>
      </c>
      <c r="AG123" s="152">
        <f t="shared" si="38"/>
        <v>5333.4009194830305</v>
      </c>
      <c r="AH123" s="152">
        <f t="shared" si="36"/>
        <v>67.054587428990956</v>
      </c>
      <c r="AI123" s="152">
        <f t="shared" si="37"/>
        <v>435.64920758561112</v>
      </c>
    </row>
    <row r="124" spans="2:35" ht="11.1" customHeight="1" x14ac:dyDescent="0.15">
      <c r="B124" s="158">
        <v>62</v>
      </c>
      <c r="C124" s="159">
        <v>42828</v>
      </c>
      <c r="D124" s="160">
        <v>4574.25</v>
      </c>
      <c r="E124" s="161">
        <f t="shared" si="21"/>
        <v>5300.8547015922377</v>
      </c>
      <c r="F124" s="162">
        <f t="shared" si="24"/>
        <v>4627.206523925307</v>
      </c>
      <c r="G124" s="163">
        <v>42826</v>
      </c>
      <c r="H124" s="158">
        <v>17</v>
      </c>
      <c r="I124" s="158">
        <v>120</v>
      </c>
      <c r="J124" s="164">
        <f t="shared" si="20"/>
        <v>137</v>
      </c>
      <c r="K124" s="177">
        <v>1.0334693424014472</v>
      </c>
      <c r="L124" s="167">
        <v>4.4591823874179362</v>
      </c>
      <c r="M124" s="167">
        <f t="shared" si="17"/>
        <v>5.4926517298193831</v>
      </c>
      <c r="N124" s="151"/>
      <c r="O124" s="152">
        <f t="shared" si="22"/>
        <v>3.2468368348076768</v>
      </c>
      <c r="P124" s="167">
        <f t="shared" si="25"/>
        <v>20.491</v>
      </c>
      <c r="Q124" s="164">
        <f t="shared" si="26"/>
        <v>21.676820780748031</v>
      </c>
      <c r="R124" s="155">
        <f t="shared" si="23"/>
        <v>18.034308352726946</v>
      </c>
      <c r="S124" s="167">
        <f t="shared" si="27"/>
        <v>101.44538461538461</v>
      </c>
      <c r="T124" s="152">
        <f t="shared" si="28"/>
        <v>109.10597749205307</v>
      </c>
      <c r="U124" s="89"/>
      <c r="V124" s="138">
        <v>80</v>
      </c>
      <c r="W124" s="169">
        <f t="shared" si="29"/>
        <v>1.3962634015954636</v>
      </c>
      <c r="X124" s="170">
        <f t="shared" si="30"/>
        <v>0.17364817766693041</v>
      </c>
      <c r="Y124" s="139">
        <v>1880</v>
      </c>
      <c r="Z124" s="169">
        <f t="shared" si="31"/>
        <v>32.812189937493393</v>
      </c>
      <c r="AA124" s="169">
        <f t="shared" si="32"/>
        <v>0.17364817766693316</v>
      </c>
      <c r="AC124" s="172">
        <f t="shared" si="33"/>
        <v>8.0869161001168855E-84</v>
      </c>
      <c r="AD124" s="173">
        <f t="shared" si="34"/>
        <v>0.13033703627965243</v>
      </c>
      <c r="AE124" s="173">
        <f t="shared" si="35"/>
        <v>0.86959544462805571</v>
      </c>
      <c r="AF124" s="173">
        <f t="shared" si="18"/>
        <v>0.99993248090770814</v>
      </c>
      <c r="AG124" s="152">
        <f t="shared" si="38"/>
        <v>5299.6535760291335</v>
      </c>
      <c r="AH124" s="152">
        <f t="shared" si="36"/>
        <v>65.168518139826219</v>
      </c>
      <c r="AI124" s="152">
        <f t="shared" si="37"/>
        <v>434.79772231402785</v>
      </c>
    </row>
    <row r="125" spans="2:35" ht="11.1" customHeight="1" x14ac:dyDescent="0.15">
      <c r="B125" s="158">
        <v>63</v>
      </c>
      <c r="C125" s="159">
        <v>42857</v>
      </c>
      <c r="D125" s="160">
        <v>5535.09</v>
      </c>
      <c r="E125" s="161">
        <f t="shared" si="21"/>
        <v>5291.5900330552831</v>
      </c>
      <c r="F125" s="162">
        <f t="shared" si="24"/>
        <v>5557.6344761742612</v>
      </c>
      <c r="G125" s="163">
        <v>42856</v>
      </c>
      <c r="H125" s="158">
        <v>25</v>
      </c>
      <c r="I125" s="158">
        <v>170</v>
      </c>
      <c r="J125" s="164">
        <f t="shared" si="20"/>
        <v>195</v>
      </c>
      <c r="K125" s="177">
        <v>1.0062510478358797</v>
      </c>
      <c r="L125" s="158">
        <v>12</v>
      </c>
      <c r="M125" s="167">
        <f t="shared" si="17"/>
        <v>13.00625104783588</v>
      </c>
      <c r="N125" s="151"/>
      <c r="O125" s="152">
        <f t="shared" si="22"/>
        <v>2.9966501369308864</v>
      </c>
      <c r="P125" s="167">
        <f t="shared" si="25"/>
        <v>20.486999999999998</v>
      </c>
      <c r="Q125" s="164">
        <f t="shared" si="26"/>
        <v>32.478409982703944</v>
      </c>
      <c r="R125" s="155">
        <f t="shared" si="23"/>
        <v>17.036255735844243</v>
      </c>
      <c r="S125" s="167">
        <f t="shared" si="27"/>
        <v>101.40692307692308</v>
      </c>
      <c r="T125" s="152">
        <f t="shared" si="28"/>
        <v>163.80954829020123</v>
      </c>
      <c r="U125" s="89"/>
      <c r="V125" s="138">
        <v>140</v>
      </c>
      <c r="W125" s="169">
        <f t="shared" si="29"/>
        <v>2.4434609527920612</v>
      </c>
      <c r="X125" s="170">
        <f t="shared" si="30"/>
        <v>-0.7660444431189779</v>
      </c>
      <c r="Y125" s="139">
        <v>1910</v>
      </c>
      <c r="Z125" s="169">
        <f t="shared" si="31"/>
        <v>33.335788713091695</v>
      </c>
      <c r="AA125" s="169">
        <f t="shared" si="32"/>
        <v>-0.34202014332566882</v>
      </c>
      <c r="AC125" s="172">
        <f t="shared" si="33"/>
        <v>6.5978509017668276E-85</v>
      </c>
      <c r="AD125" s="173">
        <f t="shared" si="34"/>
        <v>0.12690437340257157</v>
      </c>
      <c r="AE125" s="173">
        <f t="shared" si="35"/>
        <v>0.86800535658474931</v>
      </c>
      <c r="AF125" s="173">
        <f t="shared" si="18"/>
        <v>0.99490972998732086</v>
      </c>
      <c r="AG125" s="152">
        <f t="shared" si="38"/>
        <v>5268.7374813882489</v>
      </c>
      <c r="AH125" s="152">
        <f t="shared" si="36"/>
        <v>63.45218670128579</v>
      </c>
      <c r="AI125" s="152">
        <f t="shared" si="37"/>
        <v>434.00267829237464</v>
      </c>
    </row>
    <row r="126" spans="2:35" ht="11.1" customHeight="1" x14ac:dyDescent="0.15">
      <c r="B126" s="158">
        <v>64</v>
      </c>
      <c r="C126" s="159">
        <v>42887</v>
      </c>
      <c r="D126" s="160">
        <v>5442.01</v>
      </c>
      <c r="E126" s="161">
        <f t="shared" si="21"/>
        <v>5282.3442207599292</v>
      </c>
      <c r="F126" s="162">
        <f t="shared" si="24"/>
        <v>5782.3442207599292</v>
      </c>
      <c r="G126" s="163">
        <v>42887</v>
      </c>
      <c r="H126" s="158">
        <v>22</v>
      </c>
      <c r="I126" s="158">
        <v>150</v>
      </c>
      <c r="J126" s="164">
        <f t="shared" si="20"/>
        <v>172</v>
      </c>
      <c r="K126" s="177">
        <v>0.97884830913589449</v>
      </c>
      <c r="L126" s="167">
        <v>4.442609345599128</v>
      </c>
      <c r="M126" s="167">
        <f t="shared" si="17"/>
        <v>5.4214576547350228</v>
      </c>
      <c r="N126" s="151"/>
      <c r="O126" s="152">
        <f t="shared" si="22"/>
        <v>2.7583590987450242</v>
      </c>
      <c r="P126" s="167">
        <f t="shared" si="25"/>
        <v>20.488499999999998</v>
      </c>
      <c r="Q126" s="164">
        <f t="shared" si="26"/>
        <v>34.870288648117537</v>
      </c>
      <c r="R126" s="155">
        <f t="shared" si="23"/>
        <v>16.062925033745909</v>
      </c>
      <c r="S126" s="167">
        <f t="shared" si="27"/>
        <v>101.4223076923077</v>
      </c>
      <c r="T126" s="152">
        <f t="shared" si="28"/>
        <v>176.22784908908042</v>
      </c>
      <c r="U126" s="89"/>
      <c r="V126" s="138">
        <v>180</v>
      </c>
      <c r="W126" s="169">
        <f t="shared" si="29"/>
        <v>3.1415926535897931</v>
      </c>
      <c r="X126" s="170">
        <f t="shared" si="30"/>
        <v>-1</v>
      </c>
      <c r="Y126" s="139">
        <v>1940</v>
      </c>
      <c r="Z126" s="169">
        <f t="shared" si="31"/>
        <v>33.85938748868999</v>
      </c>
      <c r="AA126" s="169">
        <f t="shared" si="32"/>
        <v>-0.76604444311897546</v>
      </c>
      <c r="AC126" s="172">
        <f t="shared" si="33"/>
        <v>4.9373247860637389E-86</v>
      </c>
      <c r="AD126" s="173">
        <f t="shared" si="34"/>
        <v>0.12344844916605523</v>
      </c>
      <c r="AE126" s="173">
        <f t="shared" si="35"/>
        <v>0.86636349750924513</v>
      </c>
      <c r="AF126" s="173">
        <f t="shared" si="18"/>
        <v>0.98981194667530037</v>
      </c>
      <c r="AG126" s="152">
        <f t="shared" si="38"/>
        <v>5237.4028687928485</v>
      </c>
      <c r="AH126" s="152">
        <f t="shared" si="36"/>
        <v>61.724224583027613</v>
      </c>
      <c r="AI126" s="152">
        <f t="shared" si="37"/>
        <v>433.18174875462256</v>
      </c>
    </row>
    <row r="127" spans="2:35" ht="11.1" customHeight="1" x14ac:dyDescent="0.15">
      <c r="B127" s="158">
        <v>65</v>
      </c>
      <c r="C127" s="159">
        <v>42919</v>
      </c>
      <c r="D127" s="160">
        <v>5365.97</v>
      </c>
      <c r="E127" s="161">
        <f t="shared" si="21"/>
        <v>5272.8620950248442</v>
      </c>
      <c r="F127" s="162">
        <f t="shared" si="24"/>
        <v>5638.887498809283</v>
      </c>
      <c r="G127" s="163">
        <v>42917</v>
      </c>
      <c r="H127" s="158">
        <v>20</v>
      </c>
      <c r="I127" s="158">
        <v>140</v>
      </c>
      <c r="J127" s="164">
        <f t="shared" si="20"/>
        <v>160</v>
      </c>
      <c r="K127" s="177">
        <v>0.95044074834934622</v>
      </c>
      <c r="L127" s="167">
        <v>4.4336463553824812</v>
      </c>
      <c r="M127" s="167">
        <f t="shared" si="17"/>
        <v>5.3840871037318276</v>
      </c>
      <c r="N127" s="151"/>
      <c r="O127" s="152">
        <f t="shared" ref="O127:O147" si="39">事故日の濃度1*2.71828^(-0.69315/半1*(G127-事故日)/365.25)</f>
        <v>2.5458123064100464</v>
      </c>
      <c r="P127" s="167">
        <f t="shared" si="25"/>
        <v>20.4895</v>
      </c>
      <c r="Q127" s="164">
        <f t="shared" si="26"/>
        <v>33.009895127139742</v>
      </c>
      <c r="R127" s="155">
        <f t="shared" ref="R127:R147" si="40">事故日の濃度2*2.71828^(-0.69315/半2*(G127-事故日)/365.25)</f>
        <v>15.173972485571428</v>
      </c>
      <c r="S127" s="167">
        <f t="shared" si="27"/>
        <v>101.43</v>
      </c>
      <c r="T127" s="152">
        <f t="shared" si="28"/>
        <v>167.0949736629147</v>
      </c>
      <c r="U127" s="89"/>
      <c r="V127" s="138">
        <v>210</v>
      </c>
      <c r="W127" s="169">
        <f t="shared" si="29"/>
        <v>3.6651914291880923</v>
      </c>
      <c r="X127" s="170">
        <f t="shared" si="30"/>
        <v>-0.8660254037844386</v>
      </c>
      <c r="Y127" s="139">
        <v>1970</v>
      </c>
      <c r="Z127" s="169">
        <f t="shared" si="31"/>
        <v>34.382986264288292</v>
      </c>
      <c r="AA127" s="169">
        <f t="shared" si="32"/>
        <v>-0.98480775301220791</v>
      </c>
      <c r="AC127" s="172">
        <f t="shared" si="33"/>
        <v>3.1082803042185513E-87</v>
      </c>
      <c r="AD127" s="173">
        <f t="shared" si="34"/>
        <v>0.11986580077103916</v>
      </c>
      <c r="AE127" s="173">
        <f t="shared" si="35"/>
        <v>0.86461560410963134</v>
      </c>
      <c r="AF127" s="173">
        <f t="shared" si="18"/>
        <v>0.98448140488067049</v>
      </c>
      <c r="AG127" s="152">
        <f t="shared" si="38"/>
        <v>5204.6855973481361</v>
      </c>
      <c r="AH127" s="152">
        <f t="shared" si="36"/>
        <v>59.932900385519581</v>
      </c>
      <c r="AI127" s="152">
        <f t="shared" si="37"/>
        <v>432.30780205481568</v>
      </c>
    </row>
    <row r="128" spans="2:35" ht="11.1" customHeight="1" x14ac:dyDescent="0.15">
      <c r="B128" s="158">
        <v>66</v>
      </c>
      <c r="C128" s="179">
        <v>42948</v>
      </c>
      <c r="D128" s="180">
        <v>5947.22</v>
      </c>
      <c r="E128" s="161">
        <f t="shared" si="21"/>
        <v>5264.6085553266457</v>
      </c>
      <c r="F128" s="162">
        <f t="shared" ref="F128:F147" si="41">E128-X128*1000-500</f>
        <v>5264.6085553266457</v>
      </c>
      <c r="G128" s="163">
        <v>42948</v>
      </c>
      <c r="H128" s="158">
        <v>14</v>
      </c>
      <c r="I128" s="158">
        <v>120</v>
      </c>
      <c r="J128" s="164">
        <f t="shared" si="20"/>
        <v>134</v>
      </c>
      <c r="K128" s="177">
        <v>0.92540916280121643</v>
      </c>
      <c r="L128" s="167">
        <v>4.4255392659289967</v>
      </c>
      <c r="M128" s="167">
        <f t="shared" si="17"/>
        <v>5.3509484287302129</v>
      </c>
      <c r="N128" s="151"/>
      <c r="O128" s="152">
        <f t="shared" si="39"/>
        <v>2.3433715042474987</v>
      </c>
      <c r="P128" s="167">
        <f t="shared" ref="P128:P147" si="42">下駄1-(H128-40999)/除数11</f>
        <v>20.4925</v>
      </c>
      <c r="Q128" s="164">
        <f t="shared" ref="Q128:Q147" si="43">(O128+P128)*(1-X128/除数12)</f>
        <v>28.54483938030938</v>
      </c>
      <c r="R128" s="155">
        <f t="shared" si="40"/>
        <v>14.307039426922424</v>
      </c>
      <c r="S128" s="167">
        <f t="shared" ref="S128:S147" si="44">下駄2-(I128-40999)/除数21</f>
        <v>101.44538461538461</v>
      </c>
      <c r="T128" s="152">
        <f t="shared" ref="T128:T147" si="45">(R128+S128)*(1-X128/除数22)</f>
        <v>144.69053005288382</v>
      </c>
      <c r="U128" s="89"/>
      <c r="V128" s="138">
        <v>240</v>
      </c>
      <c r="W128" s="169">
        <f t="shared" ref="W128:W147" si="46">PI()/180*V128</f>
        <v>4.1887902047863905</v>
      </c>
      <c r="X128" s="170">
        <f t="shared" ref="X128:X147" si="47">COS(W128)</f>
        <v>-0.50000000000000044</v>
      </c>
      <c r="Y128" s="139">
        <v>2000</v>
      </c>
      <c r="Z128" s="169">
        <f t="shared" ref="Z128:Z147" si="48">PI()/180*Y128</f>
        <v>34.906585039886593</v>
      </c>
      <c r="AA128" s="169">
        <f t="shared" ref="AA128:AA147" si="49">COS(Z128)</f>
        <v>-0.93969262078590776</v>
      </c>
      <c r="AC128" s="172">
        <f t="shared" ref="AC128:AC147" si="50">1*2.71828^(-0.69315/半I131*(C128-事故日)/365.25)</f>
        <v>2.5359444507945399E-88</v>
      </c>
      <c r="AD128" s="173">
        <f t="shared" ref="AD128:AD147" si="51">1*2.71828^(-0.69315/半Cs134*(C128-事故日)/365.25)</f>
        <v>0.11670891692372283</v>
      </c>
      <c r="AE128" s="173">
        <f t="shared" ref="AE128:AE147" si="52">1*2.71828^(-0.69315/半Cs137*(C128-事故日)/365.25)</f>
        <v>0.86303462189239022</v>
      </c>
      <c r="AF128" s="173">
        <f t="shared" si="18"/>
        <v>0.97974353881611309</v>
      </c>
      <c r="AG128" s="152">
        <f t="shared" si="38"/>
        <v>5175.6484033282904</v>
      </c>
      <c r="AH128" s="152">
        <f t="shared" ref="AH128:AH147" si="53">500*2.71828^(-0.69315/半Cs134*(C128-事故日)/365.25)</f>
        <v>58.354458461861412</v>
      </c>
      <c r="AI128" s="152">
        <f t="shared" ref="AI128:AI147" si="54">500*2.71828^(-0.69315/半Cs137*(C128-事故日)/365.25)</f>
        <v>431.5173109461951</v>
      </c>
    </row>
    <row r="129" spans="2:35" ht="11.1" customHeight="1" x14ac:dyDescent="0.15">
      <c r="B129" s="158">
        <v>67</v>
      </c>
      <c r="C129" s="159">
        <v>42979</v>
      </c>
      <c r="D129" s="160">
        <v>5135.9799999999996</v>
      </c>
      <c r="E129" s="161">
        <f t="shared" si="21"/>
        <v>5256.1437115836889</v>
      </c>
      <c r="F129" s="162">
        <f t="shared" si="41"/>
        <v>5098.1638549093577</v>
      </c>
      <c r="G129" s="163">
        <v>42979</v>
      </c>
      <c r="H129" s="158">
        <v>15</v>
      </c>
      <c r="I129" s="158">
        <v>130</v>
      </c>
      <c r="J129" s="164">
        <f t="shared" si="20"/>
        <v>145</v>
      </c>
      <c r="K129" s="177">
        <v>0.8993798355203757</v>
      </c>
      <c r="L129" s="167">
        <v>4.416889459070318</v>
      </c>
      <c r="M129" s="167">
        <f t="shared" ref="M129:M147" si="55">L129+K129</f>
        <v>5.3162692945906933</v>
      </c>
      <c r="N129" s="151"/>
      <c r="O129" s="152">
        <f t="shared" si="39"/>
        <v>2.1570286203317237</v>
      </c>
      <c r="P129" s="167">
        <f t="shared" si="42"/>
        <v>20.492000000000001</v>
      </c>
      <c r="Q129" s="164">
        <f t="shared" si="43"/>
        <v>26.522240627788236</v>
      </c>
      <c r="R129" s="155">
        <f t="shared" si="40"/>
        <v>13.489636768364312</v>
      </c>
      <c r="S129" s="167">
        <f t="shared" si="44"/>
        <v>101.43769230769232</v>
      </c>
      <c r="T129" s="152">
        <f t="shared" si="45"/>
        <v>134.5810598573712</v>
      </c>
      <c r="U129" s="89"/>
      <c r="V129" s="138">
        <v>250</v>
      </c>
      <c r="W129" s="169">
        <f t="shared" si="46"/>
        <v>4.3633231299858242</v>
      </c>
      <c r="X129" s="170">
        <f t="shared" si="47"/>
        <v>-0.34202014332566855</v>
      </c>
      <c r="Y129" s="139">
        <v>2030</v>
      </c>
      <c r="Z129" s="169">
        <f t="shared" si="48"/>
        <v>35.430183815484888</v>
      </c>
      <c r="AA129" s="169">
        <f t="shared" si="49"/>
        <v>-0.64278760968654114</v>
      </c>
      <c r="AC129" s="172">
        <f t="shared" si="50"/>
        <v>1.7405983836371574E-89</v>
      </c>
      <c r="AD129" s="173">
        <f t="shared" si="51"/>
        <v>0.11342620186392756</v>
      </c>
      <c r="AE129" s="173">
        <f t="shared" si="52"/>
        <v>0.8613478031019226</v>
      </c>
      <c r="AF129" s="173">
        <f t="shared" ref="AF129:AF147" si="56">AD129+AE129</f>
        <v>0.9747740049658502</v>
      </c>
      <c r="AG129" s="152">
        <f t="shared" ref="AG129:AG147" si="57">5000*2.71828^(-0.69315/半Cs134*(C129-調査初日)/365.25)+5000*2.71828^(-0.69315/半Cs137*(C129-調査初日)/365.25)</f>
        <v>5145.2354920625012</v>
      </c>
      <c r="AH129" s="152">
        <f t="shared" si="53"/>
        <v>56.71310093196378</v>
      </c>
      <c r="AI129" s="152">
        <f t="shared" si="54"/>
        <v>430.67390155096132</v>
      </c>
    </row>
    <row r="130" spans="2:35" ht="11.1" customHeight="1" x14ac:dyDescent="0.15">
      <c r="B130" s="158">
        <v>68</v>
      </c>
      <c r="C130" s="159">
        <v>43010</v>
      </c>
      <c r="D130" s="160">
        <v>5397.84</v>
      </c>
      <c r="E130" s="161">
        <f t="shared" si="21"/>
        <v>5248.0495186599437</v>
      </c>
      <c r="F130" s="162">
        <f t="shared" si="41"/>
        <v>4921.6976963268744</v>
      </c>
      <c r="G130" s="163">
        <v>43009</v>
      </c>
      <c r="H130" s="158">
        <v>15</v>
      </c>
      <c r="I130" s="158">
        <v>120</v>
      </c>
      <c r="J130" s="164">
        <f t="shared" si="20"/>
        <v>135</v>
      </c>
      <c r="K130" s="177">
        <v>0.8740826447969916</v>
      </c>
      <c r="L130" s="167">
        <v>4.4082565584357623</v>
      </c>
      <c r="M130" s="167">
        <f t="shared" si="55"/>
        <v>5.2823392032327536</v>
      </c>
      <c r="N130" s="151"/>
      <c r="O130" s="152">
        <f t="shared" si="39"/>
        <v>1.9908176601870362</v>
      </c>
      <c r="P130" s="167">
        <f t="shared" si="42"/>
        <v>20.492000000000001</v>
      </c>
      <c r="Q130" s="164">
        <f t="shared" si="43"/>
        <v>24.434867817941718</v>
      </c>
      <c r="R130" s="155">
        <f t="shared" si="40"/>
        <v>12.743094843155014</v>
      </c>
      <c r="S130" s="167">
        <f t="shared" si="44"/>
        <v>101.44538461538461</v>
      </c>
      <c r="T130" s="152">
        <f t="shared" si="45"/>
        <v>124.1027901428062</v>
      </c>
      <c r="U130" s="89"/>
      <c r="V130" s="138">
        <v>260</v>
      </c>
      <c r="W130" s="169">
        <f t="shared" si="46"/>
        <v>4.5378560551852569</v>
      </c>
      <c r="X130" s="170">
        <f t="shared" si="47"/>
        <v>-0.17364817766693033</v>
      </c>
      <c r="Y130" s="139">
        <v>2060</v>
      </c>
      <c r="Z130" s="169">
        <f t="shared" si="48"/>
        <v>35.95378259108319</v>
      </c>
      <c r="AA130" s="169">
        <f t="shared" si="49"/>
        <v>-0.17364817766692978</v>
      </c>
      <c r="AC130" s="172">
        <f t="shared" si="50"/>
        <v>1.1946960163780945E-90</v>
      </c>
      <c r="AD130" s="173">
        <f t="shared" si="51"/>
        <v>0.11023582095003863</v>
      </c>
      <c r="AE130" s="173">
        <f t="shared" si="52"/>
        <v>0.85966428123322347</v>
      </c>
      <c r="AF130" s="173">
        <f t="shared" si="56"/>
        <v>0.96990010218326206</v>
      </c>
      <c r="AG130" s="152">
        <f t="shared" si="57"/>
        <v>5115.4529247334231</v>
      </c>
      <c r="AH130" s="152">
        <f t="shared" si="53"/>
        <v>55.117910475019315</v>
      </c>
      <c r="AI130" s="152">
        <f t="shared" si="54"/>
        <v>429.83214061661175</v>
      </c>
    </row>
    <row r="131" spans="2:35" ht="11.1" customHeight="1" x14ac:dyDescent="0.15">
      <c r="B131" s="158">
        <v>69</v>
      </c>
      <c r="C131" s="159">
        <v>43055</v>
      </c>
      <c r="D131" s="160">
        <v>4808.5200000000004</v>
      </c>
      <c r="E131" s="161">
        <f t="shared" si="21"/>
        <v>5236.9611238073558</v>
      </c>
      <c r="F131" s="162">
        <f t="shared" si="41"/>
        <v>4563.312946140426</v>
      </c>
      <c r="G131" s="163">
        <v>43040</v>
      </c>
      <c r="H131" s="158">
        <v>14</v>
      </c>
      <c r="I131" s="158">
        <v>120</v>
      </c>
      <c r="J131" s="164">
        <f t="shared" si="20"/>
        <v>134</v>
      </c>
      <c r="K131" s="177">
        <v>0.83862165239206243</v>
      </c>
      <c r="L131" s="167">
        <v>4.3957549437238512</v>
      </c>
      <c r="M131" s="167">
        <f t="shared" si="55"/>
        <v>5.2343765961159132</v>
      </c>
      <c r="N131" s="151"/>
      <c r="O131" s="152">
        <f t="shared" si="39"/>
        <v>1.8325095543330157</v>
      </c>
      <c r="P131" s="167">
        <f t="shared" si="42"/>
        <v>20.4925</v>
      </c>
      <c r="Q131" s="164">
        <f t="shared" si="43"/>
        <v>20.386660941579649</v>
      </c>
      <c r="R131" s="155">
        <f t="shared" si="40"/>
        <v>12.015044874728128</v>
      </c>
      <c r="S131" s="167">
        <f t="shared" si="44"/>
        <v>101.44538461538461</v>
      </c>
      <c r="T131" s="152">
        <f t="shared" si="45"/>
        <v>103.6093310809801</v>
      </c>
      <c r="U131" s="89"/>
      <c r="V131" s="138">
        <v>280</v>
      </c>
      <c r="W131" s="169">
        <f t="shared" si="46"/>
        <v>4.8869219055841224</v>
      </c>
      <c r="X131" s="170">
        <f t="shared" si="47"/>
        <v>0.17364817766692997</v>
      </c>
      <c r="Y131" s="139">
        <v>2090</v>
      </c>
      <c r="Z131" s="169">
        <f t="shared" si="48"/>
        <v>36.477381366681485</v>
      </c>
      <c r="AA131" s="169">
        <f t="shared" si="49"/>
        <v>0.34202014332566538</v>
      </c>
      <c r="AC131" s="172">
        <f t="shared" si="50"/>
        <v>2.445632601482224E-92</v>
      </c>
      <c r="AD131" s="173">
        <f t="shared" si="51"/>
        <v>0.10576362185910672</v>
      </c>
      <c r="AE131" s="173">
        <f t="shared" si="52"/>
        <v>0.85722631250724179</v>
      </c>
      <c r="AF131" s="173">
        <f t="shared" si="56"/>
        <v>0.9629899343663485</v>
      </c>
      <c r="AG131" s="152">
        <f t="shared" si="57"/>
        <v>5073.3065129237129</v>
      </c>
      <c r="AH131" s="152">
        <f t="shared" si="53"/>
        <v>52.88181092955336</v>
      </c>
      <c r="AI131" s="152">
        <f t="shared" si="54"/>
        <v>428.6131562536209</v>
      </c>
    </row>
    <row r="132" spans="2:35" ht="11.1" customHeight="1" x14ac:dyDescent="0.15">
      <c r="B132" s="158">
        <v>70</v>
      </c>
      <c r="C132" s="159">
        <v>43070</v>
      </c>
      <c r="D132" s="160">
        <v>4770.28</v>
      </c>
      <c r="E132" s="161">
        <f t="shared" si="21"/>
        <v>5233.439384379948</v>
      </c>
      <c r="F132" s="162">
        <f t="shared" si="41"/>
        <v>4090.6517746934087</v>
      </c>
      <c r="G132" s="163">
        <v>43070</v>
      </c>
      <c r="H132" s="158">
        <v>13</v>
      </c>
      <c r="I132" s="158">
        <v>120</v>
      </c>
      <c r="J132" s="164">
        <f t="shared" ref="J132:J147" si="58">I132+H132</f>
        <v>133</v>
      </c>
      <c r="K132" s="177">
        <v>0.82712394925620403</v>
      </c>
      <c r="L132" s="167">
        <v>4.3915956224597927</v>
      </c>
      <c r="M132" s="167">
        <f t="shared" si="55"/>
        <v>5.2187195717159964</v>
      </c>
      <c r="N132" s="151"/>
      <c r="O132" s="152">
        <f t="shared" si="39"/>
        <v>1.6913045792904673</v>
      </c>
      <c r="P132" s="167">
        <f t="shared" si="42"/>
        <v>20.492999999999999</v>
      </c>
      <c r="Q132" s="164">
        <f t="shared" si="43"/>
        <v>15.054406522750332</v>
      </c>
      <c r="R132" s="155">
        <f t="shared" si="40"/>
        <v>11.350109644352496</v>
      </c>
      <c r="S132" s="167">
        <f t="shared" si="44"/>
        <v>101.44538461538461</v>
      </c>
      <c r="T132" s="152">
        <f t="shared" si="45"/>
        <v>76.543721190423028</v>
      </c>
      <c r="U132" s="89"/>
      <c r="V132" s="138">
        <v>310</v>
      </c>
      <c r="W132" s="169">
        <f t="shared" si="46"/>
        <v>5.4105206811824216</v>
      </c>
      <c r="X132" s="170">
        <f t="shared" si="47"/>
        <v>0.64278760968653925</v>
      </c>
      <c r="Y132" s="139">
        <v>2120</v>
      </c>
      <c r="Z132" s="169">
        <f t="shared" si="48"/>
        <v>37.000980142279786</v>
      </c>
      <c r="AA132" s="169">
        <f t="shared" si="49"/>
        <v>0.76604444311897757</v>
      </c>
      <c r="AC132" s="172">
        <f t="shared" si="50"/>
        <v>6.6901493801027867E-93</v>
      </c>
      <c r="AD132" s="173">
        <f t="shared" si="51"/>
        <v>0.1043135773447055</v>
      </c>
      <c r="AE132" s="173">
        <f t="shared" si="52"/>
        <v>0.85641519367205443</v>
      </c>
      <c r="AF132" s="173">
        <f t="shared" si="56"/>
        <v>0.96072877101675991</v>
      </c>
      <c r="AG132" s="152">
        <f t="shared" si="57"/>
        <v>5059.5359112635178</v>
      </c>
      <c r="AH132" s="152">
        <f t="shared" si="53"/>
        <v>52.156788672352754</v>
      </c>
      <c r="AI132" s="152">
        <f t="shared" si="54"/>
        <v>428.20759683602722</v>
      </c>
    </row>
    <row r="133" spans="2:35" ht="11.1" customHeight="1" x14ac:dyDescent="0.15">
      <c r="B133" s="158">
        <v>71</v>
      </c>
      <c r="C133" s="159">
        <v>43105</v>
      </c>
      <c r="D133" s="160">
        <v>4593.75</v>
      </c>
      <c r="E133" s="161">
        <f t="shared" si="21"/>
        <v>5225.5618630324025</v>
      </c>
      <c r="F133" s="162">
        <f t="shared" si="41"/>
        <v>3959.5174199134244</v>
      </c>
      <c r="G133" s="163">
        <v>43101</v>
      </c>
      <c r="H133" s="158">
        <v>11</v>
      </c>
      <c r="I133" s="158">
        <v>81</v>
      </c>
      <c r="J133" s="164">
        <f t="shared" si="58"/>
        <v>92</v>
      </c>
      <c r="K133" s="177">
        <v>0.80090527397176614</v>
      </c>
      <c r="L133" s="167">
        <v>4.3819058382034246</v>
      </c>
      <c r="M133" s="167">
        <f t="shared" si="55"/>
        <v>5.182811112175191</v>
      </c>
      <c r="N133" s="151"/>
      <c r="O133" s="152">
        <f t="shared" si="39"/>
        <v>1.556813495689898</v>
      </c>
      <c r="P133" s="167">
        <f t="shared" si="42"/>
        <v>20.494</v>
      </c>
      <c r="Q133" s="164">
        <f t="shared" si="43"/>
        <v>13.604861923376793</v>
      </c>
      <c r="R133" s="155">
        <f t="shared" si="40"/>
        <v>10.701644960543659</v>
      </c>
      <c r="S133" s="167">
        <f t="shared" si="44"/>
        <v>101.47538461538461</v>
      </c>
      <c r="T133" s="152">
        <f t="shared" si="45"/>
        <v>69.210734499811736</v>
      </c>
      <c r="U133" s="89"/>
      <c r="V133" s="138">
        <v>320</v>
      </c>
      <c r="W133" s="169">
        <f t="shared" si="46"/>
        <v>5.5850536063818543</v>
      </c>
      <c r="X133" s="170">
        <f t="shared" si="47"/>
        <v>0.76604444311897779</v>
      </c>
      <c r="Y133" s="139">
        <v>2150</v>
      </c>
      <c r="Z133" s="169">
        <f t="shared" si="48"/>
        <v>37.524578917878088</v>
      </c>
      <c r="AA133" s="169">
        <f t="shared" si="49"/>
        <v>0.98480775301220846</v>
      </c>
      <c r="AC133" s="172">
        <f t="shared" si="50"/>
        <v>3.249924071499541E-94</v>
      </c>
      <c r="AD133" s="173">
        <f t="shared" si="51"/>
        <v>0.10100698246903017</v>
      </c>
      <c r="AE133" s="173">
        <f t="shared" si="52"/>
        <v>0.85452556649005296</v>
      </c>
      <c r="AF133" s="173">
        <f t="shared" si="56"/>
        <v>0.95553254895908313</v>
      </c>
      <c r="AG133" s="152">
        <f t="shared" si="57"/>
        <v>5027.9303141765213</v>
      </c>
      <c r="AH133" s="152">
        <f t="shared" si="53"/>
        <v>50.503491234515089</v>
      </c>
      <c r="AI133" s="152">
        <f t="shared" si="54"/>
        <v>427.26278324502647</v>
      </c>
    </row>
    <row r="134" spans="2:35" ht="11.1" customHeight="1" x14ac:dyDescent="0.15">
      <c r="B134" s="158">
        <v>72</v>
      </c>
      <c r="C134" s="159">
        <v>43132</v>
      </c>
      <c r="D134" s="160">
        <v>3827.41</v>
      </c>
      <c r="E134" s="161">
        <f t="shared" si="21"/>
        <v>5219.8106292107841</v>
      </c>
      <c r="F134" s="162">
        <f t="shared" si="41"/>
        <v>3853.7852254263453</v>
      </c>
      <c r="G134" s="163">
        <v>43132</v>
      </c>
      <c r="H134" s="176">
        <v>5.5</v>
      </c>
      <c r="I134" s="158">
        <v>48</v>
      </c>
      <c r="J134" s="164">
        <f t="shared" si="58"/>
        <v>53.5</v>
      </c>
      <c r="K134" s="177">
        <v>0.78124868242318757</v>
      </c>
      <c r="L134" s="167">
        <v>4.3744454723852337</v>
      </c>
      <c r="M134" s="167">
        <f t="shared" si="55"/>
        <v>5.1556941548084216</v>
      </c>
      <c r="N134" s="151"/>
      <c r="O134" s="152">
        <f t="shared" si="39"/>
        <v>1.433017027234073</v>
      </c>
      <c r="P134" s="167">
        <f t="shared" si="42"/>
        <v>20.496749999999999</v>
      </c>
      <c r="Q134" s="164">
        <f t="shared" si="43"/>
        <v>12.433899354904547</v>
      </c>
      <c r="R134" s="155">
        <f t="shared" si="40"/>
        <v>10.09022894492602</v>
      </c>
      <c r="S134" s="167">
        <f t="shared" si="44"/>
        <v>101.50076923076924</v>
      </c>
      <c r="T134" s="152">
        <f t="shared" si="45"/>
        <v>63.270678548787757</v>
      </c>
      <c r="U134" s="89"/>
      <c r="V134" s="138">
        <v>330</v>
      </c>
      <c r="W134" s="169">
        <f t="shared" si="46"/>
        <v>5.7595865315812871</v>
      </c>
      <c r="X134" s="170">
        <f t="shared" si="47"/>
        <v>0.86602540378443837</v>
      </c>
      <c r="Y134" s="139">
        <v>2180</v>
      </c>
      <c r="Z134" s="169">
        <f t="shared" si="48"/>
        <v>38.048177693476383</v>
      </c>
      <c r="AA134" s="169">
        <f t="shared" si="49"/>
        <v>0.93969262078590898</v>
      </c>
      <c r="AC134" s="172">
        <f t="shared" si="50"/>
        <v>3.1517625754299171E-95</v>
      </c>
      <c r="AD134" s="173">
        <f t="shared" si="51"/>
        <v>9.8527971451781993E-2</v>
      </c>
      <c r="AE134" s="173">
        <f t="shared" si="52"/>
        <v>0.85307070334091117</v>
      </c>
      <c r="AF134" s="173">
        <f t="shared" si="56"/>
        <v>0.95159867479269322</v>
      </c>
      <c r="AG134" s="152">
        <f t="shared" si="57"/>
        <v>5004.040409868634</v>
      </c>
      <c r="AH134" s="152">
        <f t="shared" si="53"/>
        <v>49.263985725890997</v>
      </c>
      <c r="AI134" s="152">
        <f t="shared" si="54"/>
        <v>426.53535167045561</v>
      </c>
    </row>
    <row r="135" spans="2:35" ht="11.1" customHeight="1" x14ac:dyDescent="0.15">
      <c r="B135" s="158">
        <v>73</v>
      </c>
      <c r="C135" s="159">
        <v>43160</v>
      </c>
      <c r="D135" s="160">
        <v>4817.8999999999996</v>
      </c>
      <c r="E135" s="161">
        <f t="shared" si="21"/>
        <v>5214.1466713598929</v>
      </c>
      <c r="F135" s="162">
        <f t="shared" si="41"/>
        <v>3774.4540505739842</v>
      </c>
      <c r="G135" s="163">
        <v>43160</v>
      </c>
      <c r="H135" s="167">
        <v>5.383998161135243</v>
      </c>
      <c r="I135" s="158">
        <v>51</v>
      </c>
      <c r="J135" s="164">
        <f t="shared" si="58"/>
        <v>56.383998161135246</v>
      </c>
      <c r="K135" s="177">
        <v>0.76137347733225669</v>
      </c>
      <c r="L135" s="167">
        <v>4.3667222123580673</v>
      </c>
      <c r="M135" s="167">
        <f t="shared" si="55"/>
        <v>5.1280956896903245</v>
      </c>
      <c r="N135" s="151"/>
      <c r="O135" s="152">
        <f t="shared" si="39"/>
        <v>1.3296843462713819</v>
      </c>
      <c r="P135" s="167">
        <f t="shared" si="42"/>
        <v>20.49680800091943</v>
      </c>
      <c r="Q135" s="164">
        <f t="shared" si="43"/>
        <v>11.571395449043157</v>
      </c>
      <c r="R135" s="155">
        <f t="shared" si="40"/>
        <v>9.5680632186224521</v>
      </c>
      <c r="S135" s="167">
        <f t="shared" si="44"/>
        <v>101.49846153846154</v>
      </c>
      <c r="T135" s="152">
        <f t="shared" si="45"/>
        <v>58.882327891800372</v>
      </c>
      <c r="U135" s="89"/>
      <c r="V135" s="138">
        <v>340</v>
      </c>
      <c r="W135" s="169">
        <f t="shared" si="46"/>
        <v>5.9341194567807207</v>
      </c>
      <c r="X135" s="170">
        <f t="shared" si="47"/>
        <v>0.93969262078590843</v>
      </c>
      <c r="Y135" s="139">
        <v>2210</v>
      </c>
      <c r="Z135" s="169">
        <f t="shared" si="48"/>
        <v>38.571776469074685</v>
      </c>
      <c r="AA135" s="169">
        <f t="shared" si="49"/>
        <v>0.64278760968653847</v>
      </c>
      <c r="AC135" s="172">
        <f t="shared" si="50"/>
        <v>2.803518420962351E-96</v>
      </c>
      <c r="AD135" s="173">
        <f t="shared" si="51"/>
        <v>9.6021389765495305E-2</v>
      </c>
      <c r="AE135" s="173">
        <f t="shared" si="52"/>
        <v>0.85156457258558427</v>
      </c>
      <c r="AF135" s="173">
        <f t="shared" si="56"/>
        <v>0.94758596235107961</v>
      </c>
      <c r="AG135" s="152">
        <f t="shared" si="57"/>
        <v>4979.7059201421289</v>
      </c>
      <c r="AH135" s="152">
        <f t="shared" si="53"/>
        <v>48.01069488274765</v>
      </c>
      <c r="AI135" s="152">
        <f t="shared" si="54"/>
        <v>425.78228629279215</v>
      </c>
    </row>
    <row r="136" spans="2:35" ht="11.1" customHeight="1" x14ac:dyDescent="0.15">
      <c r="B136" s="158">
        <v>74</v>
      </c>
      <c r="C136" s="179">
        <v>43192</v>
      </c>
      <c r="D136" s="180">
        <v>4824.92</v>
      </c>
      <c r="E136" s="161">
        <f t="shared" si="21"/>
        <v>5208.0487359180697</v>
      </c>
      <c r="F136" s="162">
        <f t="shared" si="41"/>
        <v>4534.400558251139</v>
      </c>
      <c r="G136" s="163">
        <v>43191</v>
      </c>
      <c r="H136" s="181">
        <v>11</v>
      </c>
      <c r="I136" s="181">
        <v>100</v>
      </c>
      <c r="J136" s="164">
        <f t="shared" si="58"/>
        <v>111</v>
      </c>
      <c r="K136" s="177">
        <v>0.73927734339943607</v>
      </c>
      <c r="L136" s="167">
        <v>4.3579123248744986</v>
      </c>
      <c r="M136" s="167">
        <f t="shared" si="55"/>
        <v>5.097189668273935</v>
      </c>
      <c r="N136" s="151"/>
      <c r="O136" s="152">
        <f t="shared" si="39"/>
        <v>1.2239489921746196</v>
      </c>
      <c r="P136" s="167">
        <f t="shared" si="42"/>
        <v>20.494</v>
      </c>
      <c r="Q136" s="164">
        <f t="shared" si="43"/>
        <v>19.832307859597382</v>
      </c>
      <c r="R136" s="155">
        <f t="shared" si="40"/>
        <v>9.0214120157581537</v>
      </c>
      <c r="S136" s="167">
        <f t="shared" si="44"/>
        <v>101.46076923076923</v>
      </c>
      <c r="T136" s="152">
        <f t="shared" si="45"/>
        <v>100.88966652746389</v>
      </c>
      <c r="U136" s="89"/>
      <c r="V136" s="168">
        <v>80</v>
      </c>
      <c r="W136" s="169">
        <f t="shared" si="46"/>
        <v>1.3962634015954636</v>
      </c>
      <c r="X136" s="170">
        <f t="shared" si="47"/>
        <v>0.17364817766693041</v>
      </c>
      <c r="Y136" s="171">
        <v>2240</v>
      </c>
      <c r="Z136" s="169">
        <f t="shared" si="48"/>
        <v>39.095375244672979</v>
      </c>
      <c r="AA136" s="169">
        <f t="shared" si="49"/>
        <v>0.17364817766693341</v>
      </c>
      <c r="AC136" s="172">
        <f t="shared" si="50"/>
        <v>1.7649479157190437E-97</v>
      </c>
      <c r="AD136" s="173">
        <f t="shared" si="51"/>
        <v>9.323471338151082E-2</v>
      </c>
      <c r="AE136" s="173">
        <f t="shared" si="52"/>
        <v>0.84984653610315353</v>
      </c>
      <c r="AF136" s="173">
        <f t="shared" si="56"/>
        <v>0.94308124948466432</v>
      </c>
      <c r="AG136" s="152">
        <f t="shared" si="57"/>
        <v>4952.4298855802444</v>
      </c>
      <c r="AH136" s="152">
        <f t="shared" si="53"/>
        <v>46.617356690755408</v>
      </c>
      <c r="AI136" s="152">
        <f t="shared" si="54"/>
        <v>424.92326805157677</v>
      </c>
    </row>
    <row r="137" spans="2:35" ht="11.1" customHeight="1" x14ac:dyDescent="0.15">
      <c r="B137" s="158">
        <v>75</v>
      </c>
      <c r="C137" s="179">
        <v>43221</v>
      </c>
      <c r="D137" s="180">
        <v>5632.88</v>
      </c>
      <c r="E137" s="161">
        <f t="shared" si="21"/>
        <v>5202.8688701322535</v>
      </c>
      <c r="F137" s="162">
        <f t="shared" si="41"/>
        <v>5468.9133132512316</v>
      </c>
      <c r="G137" s="163">
        <v>43221</v>
      </c>
      <c r="H137" s="181">
        <v>14</v>
      </c>
      <c r="I137" s="181">
        <v>130</v>
      </c>
      <c r="J137" s="164">
        <f t="shared" si="58"/>
        <v>144</v>
      </c>
      <c r="K137" s="177">
        <v>0.7198071301354998</v>
      </c>
      <c r="L137" s="167">
        <v>4.3499437179500173</v>
      </c>
      <c r="M137" s="167">
        <f t="shared" si="55"/>
        <v>5.0697508480855173</v>
      </c>
      <c r="N137" s="151"/>
      <c r="O137" s="152">
        <f t="shared" si="39"/>
        <v>1.1296369671787794</v>
      </c>
      <c r="P137" s="167">
        <f t="shared" si="42"/>
        <v>20.4925</v>
      </c>
      <c r="Q137" s="164">
        <f t="shared" si="43"/>
        <v>29.903895903211147</v>
      </c>
      <c r="R137" s="155">
        <f t="shared" si="40"/>
        <v>8.5221500704591477</v>
      </c>
      <c r="S137" s="167">
        <f t="shared" si="44"/>
        <v>101.43769230769232</v>
      </c>
      <c r="T137" s="152">
        <f t="shared" si="45"/>
        <v>152.07690548816228</v>
      </c>
      <c r="U137" s="89"/>
      <c r="V137" s="168">
        <v>140</v>
      </c>
      <c r="W137" s="169">
        <f t="shared" si="46"/>
        <v>2.4434609527920612</v>
      </c>
      <c r="X137" s="170">
        <f t="shared" si="47"/>
        <v>-0.7660444431189779</v>
      </c>
      <c r="Y137" s="171">
        <v>2270</v>
      </c>
      <c r="Z137" s="169">
        <f t="shared" si="48"/>
        <v>39.618974020271281</v>
      </c>
      <c r="AA137" s="169">
        <f t="shared" si="49"/>
        <v>-0.3420201433256686</v>
      </c>
      <c r="AC137" s="172">
        <f t="shared" si="50"/>
        <v>1.4399633992900869E-98</v>
      </c>
      <c r="AD137" s="173">
        <f t="shared" si="51"/>
        <v>9.0779207651019156E-2</v>
      </c>
      <c r="AE137" s="173">
        <f t="shared" si="52"/>
        <v>0.84829255968337014</v>
      </c>
      <c r="AF137" s="173">
        <f t="shared" si="56"/>
        <v>0.93907176733438935</v>
      </c>
      <c r="AG137" s="152">
        <f t="shared" si="57"/>
        <v>4928.1908420131949</v>
      </c>
      <c r="AH137" s="152">
        <f t="shared" si="53"/>
        <v>45.389603825509575</v>
      </c>
      <c r="AI137" s="152">
        <f t="shared" si="54"/>
        <v>424.14627984168504</v>
      </c>
    </row>
    <row r="138" spans="2:35" ht="11.1" customHeight="1" x14ac:dyDescent="0.15">
      <c r="B138" s="158">
        <v>76</v>
      </c>
      <c r="C138" s="179">
        <v>43252</v>
      </c>
      <c r="D138" s="180">
        <v>5064.37</v>
      </c>
      <c r="E138" s="161">
        <f t="shared" si="21"/>
        <v>5197.6967765772133</v>
      </c>
      <c r="F138" s="162">
        <f t="shared" si="41"/>
        <v>5697.6967765772133</v>
      </c>
      <c r="G138" s="163">
        <v>43252</v>
      </c>
      <c r="H138" s="181">
        <v>16</v>
      </c>
      <c r="I138" s="181">
        <v>170</v>
      </c>
      <c r="J138" s="164">
        <f t="shared" si="58"/>
        <v>186</v>
      </c>
      <c r="K138" s="177">
        <v>0.69956084760176518</v>
      </c>
      <c r="L138" s="167">
        <v>4.3414416641334208</v>
      </c>
      <c r="M138" s="167">
        <f t="shared" si="55"/>
        <v>5.0410025117351864</v>
      </c>
      <c r="N138" s="151"/>
      <c r="O138" s="152">
        <f t="shared" si="39"/>
        <v>1.0398092083874737</v>
      </c>
      <c r="P138" s="167">
        <f t="shared" si="42"/>
        <v>20.491499999999998</v>
      </c>
      <c r="Q138" s="164">
        <f t="shared" si="43"/>
        <v>32.296963812581211</v>
      </c>
      <c r="R138" s="155">
        <f t="shared" si="40"/>
        <v>8.0352549193130525</v>
      </c>
      <c r="S138" s="167">
        <f t="shared" si="44"/>
        <v>101.40692307692308</v>
      </c>
      <c r="T138" s="152">
        <f t="shared" si="45"/>
        <v>164.16326699435419</v>
      </c>
      <c r="U138" s="89"/>
      <c r="V138" s="168">
        <v>180</v>
      </c>
      <c r="W138" s="169">
        <f t="shared" si="46"/>
        <v>3.1415926535897931</v>
      </c>
      <c r="X138" s="170">
        <f t="shared" si="47"/>
        <v>-1</v>
      </c>
      <c r="Y138" s="171">
        <v>2300</v>
      </c>
      <c r="Z138" s="169">
        <f t="shared" si="48"/>
        <v>40.142572795869583</v>
      </c>
      <c r="AA138" s="169">
        <f t="shared" si="49"/>
        <v>-0.76604444311897979</v>
      </c>
      <c r="AC138" s="172">
        <f t="shared" si="50"/>
        <v>9.8834892243628632E-100</v>
      </c>
      <c r="AD138" s="173">
        <f t="shared" si="51"/>
        <v>8.8225827155961931E-2</v>
      </c>
      <c r="AE138" s="173">
        <f t="shared" si="52"/>
        <v>0.84663455455450265</v>
      </c>
      <c r="AF138" s="173">
        <f t="shared" si="56"/>
        <v>0.93486038171046459</v>
      </c>
      <c r="AG138" s="152">
        <f t="shared" si="57"/>
        <v>4902.7710613448189</v>
      </c>
      <c r="AH138" s="152">
        <f t="shared" si="53"/>
        <v>44.112913577980969</v>
      </c>
      <c r="AI138" s="152">
        <f t="shared" si="54"/>
        <v>423.31727727725132</v>
      </c>
    </row>
    <row r="139" spans="2:35" ht="11.1" customHeight="1" x14ac:dyDescent="0.15">
      <c r="B139" s="158">
        <v>77</v>
      </c>
      <c r="C139" s="179">
        <v>43283</v>
      </c>
      <c r="D139" s="180">
        <v>5485.96</v>
      </c>
      <c r="E139" s="161">
        <f t="shared" si="21"/>
        <v>5192.9026692313491</v>
      </c>
      <c r="F139" s="162">
        <f t="shared" si="41"/>
        <v>5558.928073015788</v>
      </c>
      <c r="G139" s="163">
        <v>43282</v>
      </c>
      <c r="H139" s="181">
        <v>12</v>
      </c>
      <c r="I139" s="181">
        <v>130</v>
      </c>
      <c r="J139" s="164">
        <f t="shared" si="58"/>
        <v>142</v>
      </c>
      <c r="K139" s="177">
        <v>0.6798840397776782</v>
      </c>
      <c r="L139" s="167">
        <v>4.3329562277546092</v>
      </c>
      <c r="M139" s="167">
        <f t="shared" si="55"/>
        <v>5.0128402675322876</v>
      </c>
      <c r="N139" s="151"/>
      <c r="O139" s="152">
        <f t="shared" si="39"/>
        <v>0.95968617002612333</v>
      </c>
      <c r="P139" s="167">
        <f t="shared" si="42"/>
        <v>20.493500000000001</v>
      </c>
      <c r="Q139" s="164">
        <f t="shared" si="43"/>
        <v>30.742688277705927</v>
      </c>
      <c r="R139" s="155">
        <f t="shared" si="40"/>
        <v>7.5905687665265305</v>
      </c>
      <c r="S139" s="167">
        <f t="shared" si="44"/>
        <v>101.43769230769232</v>
      </c>
      <c r="T139" s="152">
        <f t="shared" si="45"/>
        <v>156.23888298457661</v>
      </c>
      <c r="U139" s="89"/>
      <c r="V139" s="168">
        <v>210</v>
      </c>
      <c r="W139" s="169">
        <f t="shared" si="46"/>
        <v>3.6651914291880923</v>
      </c>
      <c r="X139" s="170">
        <f t="shared" si="47"/>
        <v>-0.8660254037844386</v>
      </c>
      <c r="Y139" s="171">
        <v>2330</v>
      </c>
      <c r="Z139" s="169">
        <f t="shared" si="48"/>
        <v>40.666171571467878</v>
      </c>
      <c r="AA139" s="169">
        <f t="shared" si="49"/>
        <v>-0.9848077530122078</v>
      </c>
      <c r="AC139" s="172">
        <f t="shared" si="50"/>
        <v>6.7837390378292048E-101</v>
      </c>
      <c r="AD139" s="173">
        <f t="shared" si="51"/>
        <v>8.5744266542585199E-2</v>
      </c>
      <c r="AE139" s="173">
        <f t="shared" si="52"/>
        <v>0.84497979003051371</v>
      </c>
      <c r="AF139" s="173">
        <f t="shared" si="56"/>
        <v>0.93072405657309887</v>
      </c>
      <c r="AG139" s="152">
        <f t="shared" si="57"/>
        <v>4877.8450259069232</v>
      </c>
      <c r="AH139" s="152">
        <f t="shared" si="53"/>
        <v>42.872133271292597</v>
      </c>
      <c r="AI139" s="152">
        <f t="shared" si="54"/>
        <v>422.48989501525688</v>
      </c>
    </row>
    <row r="140" spans="2:35" ht="11.1" customHeight="1" x14ac:dyDescent="0.15">
      <c r="B140" s="158">
        <v>78</v>
      </c>
      <c r="C140" s="179">
        <v>43313</v>
      </c>
      <c r="D140" s="180">
        <v>5456.73</v>
      </c>
      <c r="E140" s="161">
        <f t="shared" si="21"/>
        <v>5188.6238882838516</v>
      </c>
      <c r="F140" s="162">
        <f t="shared" si="41"/>
        <v>5188.6238882838516</v>
      </c>
      <c r="G140" s="163">
        <v>43313</v>
      </c>
      <c r="H140" s="181">
        <v>10</v>
      </c>
      <c r="I140" s="181">
        <v>120</v>
      </c>
      <c r="J140" s="164">
        <f t="shared" si="58"/>
        <v>130</v>
      </c>
      <c r="K140" s="177">
        <v>0.66136909290792134</v>
      </c>
      <c r="L140" s="167">
        <v>4.3247603065516662</v>
      </c>
      <c r="M140" s="167">
        <f t="shared" si="55"/>
        <v>4.9861293994595872</v>
      </c>
      <c r="N140" s="151"/>
      <c r="O140" s="152">
        <f t="shared" si="39"/>
        <v>0.88337275226346323</v>
      </c>
      <c r="P140" s="167">
        <f t="shared" si="42"/>
        <v>20.494499999999999</v>
      </c>
      <c r="Q140" s="164">
        <f t="shared" si="43"/>
        <v>26.722340940329332</v>
      </c>
      <c r="R140" s="155">
        <f t="shared" si="40"/>
        <v>7.156897557229974</v>
      </c>
      <c r="S140" s="167">
        <f t="shared" si="44"/>
        <v>101.44538461538461</v>
      </c>
      <c r="T140" s="152">
        <f t="shared" si="45"/>
        <v>135.75285271576826</v>
      </c>
      <c r="U140" s="89"/>
      <c r="V140" s="168">
        <v>240</v>
      </c>
      <c r="W140" s="169">
        <f t="shared" si="46"/>
        <v>4.1887902047863905</v>
      </c>
      <c r="X140" s="170">
        <f t="shared" si="47"/>
        <v>-0.50000000000000044</v>
      </c>
      <c r="Y140" s="171">
        <v>2360</v>
      </c>
      <c r="Z140" s="169">
        <f t="shared" si="48"/>
        <v>41.18977034706618</v>
      </c>
      <c r="AA140" s="169">
        <f t="shared" si="49"/>
        <v>-0.93969262078590787</v>
      </c>
      <c r="AC140" s="172">
        <f t="shared" si="50"/>
        <v>5.0764291876759592E-102</v>
      </c>
      <c r="AD140" s="173">
        <f t="shared" si="51"/>
        <v>8.3409235204091992E-2</v>
      </c>
      <c r="AE140" s="173">
        <f t="shared" si="52"/>
        <v>0.8433814845288774</v>
      </c>
      <c r="AF140" s="173">
        <f t="shared" si="56"/>
        <v>0.92679071973296945</v>
      </c>
      <c r="AG140" s="152">
        <f t="shared" si="57"/>
        <v>4854.1804909607372</v>
      </c>
      <c r="AH140" s="152">
        <f t="shared" si="53"/>
        <v>41.704617602045992</v>
      </c>
      <c r="AI140" s="152">
        <f t="shared" si="54"/>
        <v>421.69074226443871</v>
      </c>
    </row>
    <row r="141" spans="2:35" ht="11.1" customHeight="1" x14ac:dyDescent="0.15">
      <c r="B141" s="158">
        <v>79</v>
      </c>
      <c r="C141" s="182">
        <v>43346</v>
      </c>
      <c r="D141" s="183">
        <v>4753.95</v>
      </c>
      <c r="E141" s="161">
        <f t="shared" si="21"/>
        <v>5184.3278935297276</v>
      </c>
      <c r="F141" s="162">
        <f t="shared" si="41"/>
        <v>5026.3480368553965</v>
      </c>
      <c r="G141" s="163">
        <v>43344</v>
      </c>
      <c r="H141" s="158">
        <v>10</v>
      </c>
      <c r="I141" s="158">
        <v>110</v>
      </c>
      <c r="J141" s="164">
        <f t="shared" si="58"/>
        <v>120</v>
      </c>
      <c r="K141" s="177">
        <v>0.64158448016529346</v>
      </c>
      <c r="L141" s="167">
        <v>4.3157626978784345</v>
      </c>
      <c r="M141" s="167">
        <f t="shared" si="55"/>
        <v>4.9573471780437277</v>
      </c>
      <c r="N141" s="151"/>
      <c r="O141" s="152">
        <f t="shared" si="39"/>
        <v>0.81312771176048626</v>
      </c>
      <c r="P141" s="167">
        <f t="shared" si="42"/>
        <v>20.494499999999999</v>
      </c>
      <c r="Q141" s="164">
        <f t="shared" si="43"/>
        <v>24.951446653713639</v>
      </c>
      <c r="R141" s="155">
        <f t="shared" si="40"/>
        <v>6.7480032419393199</v>
      </c>
      <c r="S141" s="167">
        <f t="shared" si="44"/>
        <v>101.45307692307692</v>
      </c>
      <c r="T141" s="152">
        <f t="shared" si="45"/>
        <v>126.70455463803174</v>
      </c>
      <c r="U141" s="89"/>
      <c r="V141" s="168">
        <v>250</v>
      </c>
      <c r="W141" s="169">
        <f t="shared" si="46"/>
        <v>4.3633231299858242</v>
      </c>
      <c r="X141" s="170">
        <f t="shared" si="47"/>
        <v>-0.34202014332566855</v>
      </c>
      <c r="Y141" s="171">
        <v>2390</v>
      </c>
      <c r="Z141" s="169">
        <f t="shared" si="48"/>
        <v>41.713369122664474</v>
      </c>
      <c r="AA141" s="169">
        <f t="shared" si="49"/>
        <v>-0.64278760968654136</v>
      </c>
      <c r="AC141" s="172">
        <f t="shared" si="50"/>
        <v>2.9312742447366145E-103</v>
      </c>
      <c r="AD141" s="173">
        <f t="shared" si="51"/>
        <v>8.0914078663867225E-2</v>
      </c>
      <c r="AE141" s="173">
        <f t="shared" si="52"/>
        <v>0.84162684010418065</v>
      </c>
      <c r="AF141" s="173">
        <f t="shared" si="56"/>
        <v>0.92254091876804789</v>
      </c>
      <c r="AG141" s="152">
        <f t="shared" si="57"/>
        <v>4828.6548803895012</v>
      </c>
      <c r="AH141" s="152">
        <f t="shared" si="53"/>
        <v>40.457039331933615</v>
      </c>
      <c r="AI141" s="152">
        <f t="shared" si="54"/>
        <v>420.81342005209035</v>
      </c>
    </row>
    <row r="142" spans="2:35" ht="11.1" customHeight="1" x14ac:dyDescent="0.15">
      <c r="B142" s="184">
        <v>80</v>
      </c>
      <c r="C142" s="185">
        <v>43374</v>
      </c>
      <c r="D142" s="186">
        <v>5340.29</v>
      </c>
      <c r="E142" s="161">
        <f t="shared" si="21"/>
        <v>5181.0209121277439</v>
      </c>
      <c r="F142" s="162">
        <f t="shared" si="41"/>
        <v>4854.6690897946746</v>
      </c>
      <c r="G142" s="163">
        <v>43374</v>
      </c>
      <c r="H142" s="184">
        <v>10</v>
      </c>
      <c r="I142" s="184">
        <v>100</v>
      </c>
      <c r="J142" s="164">
        <f t="shared" si="58"/>
        <v>110</v>
      </c>
      <c r="K142" s="177">
        <v>0.62526237503624293</v>
      </c>
      <c r="L142" s="181">
        <v>10</v>
      </c>
      <c r="M142" s="167">
        <f t="shared" si="55"/>
        <v>10.625262375036243</v>
      </c>
      <c r="N142" s="151"/>
      <c r="O142" s="152">
        <f t="shared" si="39"/>
        <v>0.75047173380170507</v>
      </c>
      <c r="P142" s="167">
        <f t="shared" si="42"/>
        <v>20.494499999999999</v>
      </c>
      <c r="Q142" s="164">
        <f t="shared" si="43"/>
        <v>23.089547046881762</v>
      </c>
      <c r="R142" s="155">
        <f t="shared" si="40"/>
        <v>6.3745560233032865</v>
      </c>
      <c r="S142" s="167">
        <f t="shared" si="44"/>
        <v>101.46076923076923</v>
      </c>
      <c r="T142" s="152">
        <f t="shared" si="45"/>
        <v>117.19802911331773</v>
      </c>
      <c r="U142" s="89"/>
      <c r="V142" s="168">
        <v>260</v>
      </c>
      <c r="W142" s="169">
        <f t="shared" si="46"/>
        <v>4.5378560551852569</v>
      </c>
      <c r="X142" s="170">
        <f t="shared" si="47"/>
        <v>-0.17364817766693033</v>
      </c>
      <c r="Y142" s="171">
        <v>2420</v>
      </c>
      <c r="Z142" s="169">
        <f t="shared" si="48"/>
        <v>42.236967898262776</v>
      </c>
      <c r="AA142" s="169">
        <f t="shared" si="49"/>
        <v>-0.17364817766693003</v>
      </c>
      <c r="AC142" s="172">
        <f t="shared" si="50"/>
        <v>2.6073922591998772E-104</v>
      </c>
      <c r="AD142" s="173">
        <f t="shared" si="51"/>
        <v>7.8855599789765293E-2</v>
      </c>
      <c r="AE142" s="173">
        <f t="shared" si="52"/>
        <v>0.84014091395125434</v>
      </c>
      <c r="AF142" s="173">
        <f t="shared" si="56"/>
        <v>0.91899651374101965</v>
      </c>
      <c r="AG142" s="152">
        <f t="shared" si="57"/>
        <v>4807.4009215614442</v>
      </c>
      <c r="AH142" s="152">
        <f t="shared" si="53"/>
        <v>39.427799894882646</v>
      </c>
      <c r="AI142" s="152">
        <f t="shared" si="54"/>
        <v>420.07045697562717</v>
      </c>
    </row>
    <row r="143" spans="2:35" ht="11.1" customHeight="1" x14ac:dyDescent="0.15">
      <c r="B143" s="184">
        <v>81</v>
      </c>
      <c r="C143" s="185">
        <v>43405</v>
      </c>
      <c r="D143" s="186">
        <v>4995.25</v>
      </c>
      <c r="E143" s="161">
        <f t="shared" si="21"/>
        <v>5177.7224528825027</v>
      </c>
      <c r="F143" s="162">
        <f t="shared" si="41"/>
        <v>4504.0742752155729</v>
      </c>
      <c r="G143" s="163">
        <v>43405</v>
      </c>
      <c r="H143" s="167">
        <v>4.2971331004994537</v>
      </c>
      <c r="I143" s="184">
        <v>80</v>
      </c>
      <c r="J143" s="164">
        <f t="shared" si="58"/>
        <v>84.297133100499451</v>
      </c>
      <c r="K143" s="177">
        <v>0.60767538794941778</v>
      </c>
      <c r="L143" s="167">
        <v>4.2997226911108672</v>
      </c>
      <c r="M143" s="167">
        <f t="shared" si="55"/>
        <v>4.9073980790602851</v>
      </c>
      <c r="N143" s="151"/>
      <c r="O143" s="152">
        <f t="shared" si="39"/>
        <v>0.69079486783299171</v>
      </c>
      <c r="P143" s="167">
        <f t="shared" si="42"/>
        <v>20.497351433449747</v>
      </c>
      <c r="Q143" s="164">
        <f t="shared" si="43"/>
        <v>19.348504804603714</v>
      </c>
      <c r="R143" s="155">
        <f t="shared" si="40"/>
        <v>6.0103591489471091</v>
      </c>
      <c r="S143" s="167">
        <f t="shared" si="44"/>
        <v>101.47615384615385</v>
      </c>
      <c r="T143" s="152">
        <f t="shared" si="45"/>
        <v>98.154094442414916</v>
      </c>
      <c r="U143" s="89"/>
      <c r="V143" s="168">
        <v>280</v>
      </c>
      <c r="W143" s="169">
        <f t="shared" si="46"/>
        <v>4.8869219055841224</v>
      </c>
      <c r="X143" s="170">
        <f t="shared" si="47"/>
        <v>0.17364817766692997</v>
      </c>
      <c r="Y143" s="171">
        <v>2450</v>
      </c>
      <c r="Z143" s="169">
        <f t="shared" si="48"/>
        <v>42.760566673861071</v>
      </c>
      <c r="AA143" s="169">
        <f t="shared" si="49"/>
        <v>0.3420201433256651</v>
      </c>
      <c r="AC143" s="172">
        <f t="shared" si="50"/>
        <v>1.7896380776200657E-105</v>
      </c>
      <c r="AD143" s="173">
        <f t="shared" si="51"/>
        <v>7.6637599042245416E-2</v>
      </c>
      <c r="AE143" s="173">
        <f t="shared" si="52"/>
        <v>0.83849884138041575</v>
      </c>
      <c r="AF143" s="173">
        <f t="shared" si="56"/>
        <v>0.91513644042266118</v>
      </c>
      <c r="AG143" s="152">
        <f t="shared" si="57"/>
        <v>4784.2908775374572</v>
      </c>
      <c r="AH143" s="152">
        <f t="shared" si="53"/>
        <v>38.318799521122706</v>
      </c>
      <c r="AI143" s="152">
        <f t="shared" si="54"/>
        <v>419.2494206902079</v>
      </c>
    </row>
    <row r="144" spans="2:35" ht="11.1" customHeight="1" x14ac:dyDescent="0.15">
      <c r="B144" s="184">
        <v>82</v>
      </c>
      <c r="C144" s="185">
        <v>43437</v>
      </c>
      <c r="D144" s="186">
        <v>4635.78</v>
      </c>
      <c r="E144" s="161">
        <f t="shared" si="21"/>
        <v>5174.7183857509517</v>
      </c>
      <c r="F144" s="162">
        <f t="shared" si="41"/>
        <v>4031.9307760644124</v>
      </c>
      <c r="G144" s="163">
        <v>43435</v>
      </c>
      <c r="H144" s="184">
        <v>20</v>
      </c>
      <c r="I144" s="184">
        <v>180</v>
      </c>
      <c r="J144" s="164">
        <f t="shared" si="58"/>
        <v>200</v>
      </c>
      <c r="K144" s="177">
        <v>0.59003978970549642</v>
      </c>
      <c r="L144" s="181">
        <v>10</v>
      </c>
      <c r="M144" s="167">
        <f t="shared" si="55"/>
        <v>10.590039789705497</v>
      </c>
      <c r="N144" s="151"/>
      <c r="O144" s="152">
        <f t="shared" si="39"/>
        <v>0.63756531067121125</v>
      </c>
      <c r="P144" s="167">
        <f t="shared" si="42"/>
        <v>20.4895</v>
      </c>
      <c r="Q144" s="164">
        <f t="shared" si="43"/>
        <v>14.336957405302336</v>
      </c>
      <c r="R144" s="155">
        <f t="shared" si="40"/>
        <v>5.6777345447934104</v>
      </c>
      <c r="S144" s="167">
        <f t="shared" si="44"/>
        <v>101.39923076923077</v>
      </c>
      <c r="T144" s="152">
        <f t="shared" si="45"/>
        <v>72.663092020679144</v>
      </c>
      <c r="U144" s="89"/>
      <c r="V144" s="168">
        <v>310</v>
      </c>
      <c r="W144" s="169">
        <f t="shared" si="46"/>
        <v>5.4105206811824216</v>
      </c>
      <c r="X144" s="170">
        <f t="shared" si="47"/>
        <v>0.64278760968653925</v>
      </c>
      <c r="Y144" s="171">
        <v>2480</v>
      </c>
      <c r="Z144" s="169">
        <f t="shared" si="48"/>
        <v>43.284165449459373</v>
      </c>
      <c r="AA144" s="169">
        <f t="shared" si="49"/>
        <v>0.76604444311897746</v>
      </c>
      <c r="AC144" s="172">
        <f t="shared" si="50"/>
        <v>1.1266621154937216E-106</v>
      </c>
      <c r="AD144" s="173">
        <f t="shared" si="51"/>
        <v>7.4413467649251983E-2</v>
      </c>
      <c r="AE144" s="173">
        <f t="shared" si="52"/>
        <v>0.83680716508675124</v>
      </c>
      <c r="AF144" s="173">
        <f t="shared" si="56"/>
        <v>0.91122063273600318</v>
      </c>
      <c r="AG144" s="152">
        <f t="shared" si="57"/>
        <v>4760.8871943324939</v>
      </c>
      <c r="AH144" s="152">
        <f t="shared" si="53"/>
        <v>37.206733824625992</v>
      </c>
      <c r="AI144" s="152">
        <f t="shared" si="54"/>
        <v>418.40358254337559</v>
      </c>
    </row>
    <row r="145" spans="2:35" ht="11.1" customHeight="1" x14ac:dyDescent="0.15">
      <c r="B145" s="184">
        <v>83</v>
      </c>
      <c r="C145" s="185">
        <v>43472</v>
      </c>
      <c r="D145" s="186">
        <v>4784.4399999999996</v>
      </c>
      <c r="E145" s="161">
        <f t="shared" si="21"/>
        <v>5171.8999596235808</v>
      </c>
      <c r="F145" s="162">
        <f t="shared" si="41"/>
        <v>3905.8555165046027</v>
      </c>
      <c r="G145" s="163">
        <v>43466</v>
      </c>
      <c r="H145" s="184">
        <v>20</v>
      </c>
      <c r="I145" s="184">
        <v>200</v>
      </c>
      <c r="J145" s="164">
        <f t="shared" si="58"/>
        <v>220</v>
      </c>
      <c r="K145" s="177">
        <v>0.57133635152661433</v>
      </c>
      <c r="L145" s="167">
        <v>4.2815800434622098</v>
      </c>
      <c r="M145" s="167">
        <f t="shared" si="55"/>
        <v>4.8529163949888243</v>
      </c>
      <c r="N145" s="151"/>
      <c r="O145" s="152">
        <f t="shared" si="39"/>
        <v>0.58686666623528294</v>
      </c>
      <c r="P145" s="167">
        <f t="shared" si="42"/>
        <v>20.4895</v>
      </c>
      <c r="Q145" s="164">
        <f t="shared" si="43"/>
        <v>13.003649883331486</v>
      </c>
      <c r="R145" s="155">
        <f t="shared" si="40"/>
        <v>5.3533491025636142</v>
      </c>
      <c r="S145" s="167">
        <f t="shared" si="44"/>
        <v>101.38384615384615</v>
      </c>
      <c r="T145" s="152">
        <f t="shared" si="45"/>
        <v>65.854477606270748</v>
      </c>
      <c r="U145" s="89"/>
      <c r="V145" s="168">
        <v>320</v>
      </c>
      <c r="W145" s="169">
        <f t="shared" si="46"/>
        <v>5.5850536063818543</v>
      </c>
      <c r="X145" s="170">
        <f t="shared" si="47"/>
        <v>0.76604444311897779</v>
      </c>
      <c r="Y145" s="171">
        <v>2510</v>
      </c>
      <c r="Z145" s="169">
        <f t="shared" si="48"/>
        <v>43.807764225057674</v>
      </c>
      <c r="AA145" s="169">
        <f t="shared" si="49"/>
        <v>0.98480775301220846</v>
      </c>
      <c r="AC145" s="172">
        <f t="shared" si="50"/>
        <v>5.473071110309782E-108</v>
      </c>
      <c r="AD145" s="173">
        <f t="shared" si="51"/>
        <v>7.2054664537772484E-2</v>
      </c>
      <c r="AE145" s="173">
        <f t="shared" si="52"/>
        <v>0.83496080180767218</v>
      </c>
      <c r="AF145" s="173">
        <f t="shared" si="56"/>
        <v>0.90701546634544461</v>
      </c>
      <c r="AG145" s="152">
        <f t="shared" si="57"/>
        <v>4735.799989157972</v>
      </c>
      <c r="AH145" s="152">
        <f t="shared" si="53"/>
        <v>36.027332268886241</v>
      </c>
      <c r="AI145" s="152">
        <f t="shared" si="54"/>
        <v>417.48040090383608</v>
      </c>
    </row>
    <row r="146" spans="2:35" ht="11.1" customHeight="1" x14ac:dyDescent="0.15">
      <c r="B146" s="184">
        <v>84</v>
      </c>
      <c r="C146" s="185">
        <v>43504</v>
      </c>
      <c r="D146" s="186">
        <v>3914.93</v>
      </c>
      <c r="E146" s="161">
        <f t="shared" si="21"/>
        <v>5169.7513223782298</v>
      </c>
      <c r="F146" s="162">
        <f t="shared" si="41"/>
        <v>3803.725918593791</v>
      </c>
      <c r="G146" s="163">
        <v>43497</v>
      </c>
      <c r="H146" s="184">
        <v>20</v>
      </c>
      <c r="I146" s="184">
        <v>200</v>
      </c>
      <c r="J146" s="164">
        <f t="shared" si="58"/>
        <v>220</v>
      </c>
      <c r="K146" s="177">
        <v>0.55475536345719156</v>
      </c>
      <c r="L146" s="167">
        <v>4.2729419308000285</v>
      </c>
      <c r="M146" s="167">
        <f t="shared" si="55"/>
        <v>4.8276972942572201</v>
      </c>
      <c r="N146" s="151"/>
      <c r="O146" s="152">
        <f t="shared" si="39"/>
        <v>0.5401995343434336</v>
      </c>
      <c r="P146" s="167">
        <f t="shared" si="42"/>
        <v>20.4895</v>
      </c>
      <c r="Q146" s="164">
        <f t="shared" si="43"/>
        <v>11.923572518995838</v>
      </c>
      <c r="R146" s="155">
        <f t="shared" si="40"/>
        <v>5.0474967414950562</v>
      </c>
      <c r="S146" s="167">
        <f t="shared" si="44"/>
        <v>101.38384615384615</v>
      </c>
      <c r="T146" s="152">
        <f t="shared" si="45"/>
        <v>60.345219542212263</v>
      </c>
      <c r="U146" s="89"/>
      <c r="V146" s="168">
        <v>330</v>
      </c>
      <c r="W146" s="169">
        <f t="shared" si="46"/>
        <v>5.7595865315812871</v>
      </c>
      <c r="X146" s="170">
        <f t="shared" si="47"/>
        <v>0.86602540378443837</v>
      </c>
      <c r="Y146" s="171">
        <v>2540</v>
      </c>
      <c r="Z146" s="169">
        <f t="shared" si="48"/>
        <v>44.331363000655969</v>
      </c>
      <c r="AA146" s="169">
        <f t="shared" si="49"/>
        <v>0.93969262078590909</v>
      </c>
      <c r="AC146" s="172">
        <f t="shared" si="50"/>
        <v>3.4455580446685724E-109</v>
      </c>
      <c r="AD146" s="173">
        <f t="shared" si="51"/>
        <v>6.9963536378580937E-2</v>
      </c>
      <c r="AE146" s="173">
        <f t="shared" si="52"/>
        <v>0.83327626352944184</v>
      </c>
      <c r="AF146" s="173">
        <f t="shared" si="56"/>
        <v>0.90323979990802283</v>
      </c>
      <c r="AG146" s="152">
        <f t="shared" si="57"/>
        <v>4713.3164683346777</v>
      </c>
      <c r="AH146" s="152">
        <f t="shared" si="53"/>
        <v>34.98176818929047</v>
      </c>
      <c r="AI146" s="152">
        <f t="shared" si="54"/>
        <v>416.63813176472092</v>
      </c>
    </row>
    <row r="147" spans="2:35" ht="11.1" customHeight="1" x14ac:dyDescent="0.15">
      <c r="B147" s="184">
        <v>85</v>
      </c>
      <c r="C147" s="185">
        <v>43525</v>
      </c>
      <c r="D147" s="186">
        <v>4555.8599999999997</v>
      </c>
      <c r="E147" s="161">
        <f t="shared" si="21"/>
        <v>5168.5640290623414</v>
      </c>
      <c r="F147" s="162">
        <f t="shared" si="41"/>
        <v>3728.8714082764327</v>
      </c>
      <c r="G147" s="163">
        <v>43525</v>
      </c>
      <c r="H147" s="184">
        <v>10</v>
      </c>
      <c r="I147" s="184">
        <v>190</v>
      </c>
      <c r="J147" s="164">
        <f t="shared" si="58"/>
        <v>200</v>
      </c>
      <c r="K147" s="177">
        <v>0.54413648179486407</v>
      </c>
      <c r="L147" s="167">
        <v>4.2672826426226171</v>
      </c>
      <c r="M147" s="167">
        <f t="shared" si="55"/>
        <v>4.8114191244174815</v>
      </c>
      <c r="N147" s="151"/>
      <c r="O147" s="152">
        <f t="shared" si="39"/>
        <v>0.50124656652961386</v>
      </c>
      <c r="P147" s="167">
        <f t="shared" si="42"/>
        <v>20.494499999999999</v>
      </c>
      <c r="Q147" s="164">
        <f t="shared" si="43"/>
        <v>11.130972508300136</v>
      </c>
      <c r="R147" s="155">
        <f t="shared" si="40"/>
        <v>4.7862905967759062</v>
      </c>
      <c r="S147" s="167">
        <f t="shared" si="44"/>
        <v>101.39153846153846</v>
      </c>
      <c r="T147" s="152">
        <f t="shared" si="45"/>
        <v>56.290567829731557</v>
      </c>
      <c r="U147" s="89"/>
      <c r="V147" s="168">
        <v>340</v>
      </c>
      <c r="W147" s="169">
        <f t="shared" si="46"/>
        <v>5.9341194567807207</v>
      </c>
      <c r="X147" s="170">
        <f t="shared" si="47"/>
        <v>0.93969262078590843</v>
      </c>
      <c r="Y147" s="171">
        <v>2570</v>
      </c>
      <c r="Z147" s="169">
        <f t="shared" si="48"/>
        <v>44.854961776254271</v>
      </c>
      <c r="AA147" s="169">
        <f t="shared" si="49"/>
        <v>0.6427876096865387</v>
      </c>
      <c r="AC147" s="172">
        <f t="shared" si="50"/>
        <v>5.6120561851825648E-110</v>
      </c>
      <c r="AD147" s="173">
        <f t="shared" si="51"/>
        <v>6.8624325327330912E-2</v>
      </c>
      <c r="AE147" s="173">
        <f t="shared" si="52"/>
        <v>0.83217263268608332</v>
      </c>
      <c r="AF147" s="173">
        <f t="shared" si="56"/>
        <v>0.9007969580134142</v>
      </c>
      <c r="AG147" s="152">
        <f t="shared" si="57"/>
        <v>4698.7909625267757</v>
      </c>
      <c r="AH147" s="152">
        <f t="shared" si="53"/>
        <v>34.312162663665454</v>
      </c>
      <c r="AI147" s="152">
        <f t="shared" si="54"/>
        <v>416.08631634304169</v>
      </c>
    </row>
    <row r="148" spans="2:35" ht="11.1" customHeight="1" x14ac:dyDescent="0.15">
      <c r="B148" s="187">
        <v>86</v>
      </c>
      <c r="C148" s="188">
        <v>43556</v>
      </c>
      <c r="D148" s="188"/>
      <c r="E148" s="145"/>
      <c r="F148" s="146"/>
      <c r="G148" s="189"/>
      <c r="H148" s="187"/>
      <c r="I148" s="187"/>
      <c r="J148" s="190"/>
      <c r="K148" s="191"/>
      <c r="L148" s="192"/>
      <c r="M148" s="193"/>
      <c r="N148" s="151"/>
      <c r="O148" s="194"/>
      <c r="P148" s="113"/>
      <c r="Q148" s="114"/>
      <c r="R148" s="195"/>
      <c r="S148" s="113"/>
      <c r="T148" s="113"/>
      <c r="U148" s="89"/>
      <c r="V148" s="113"/>
      <c r="W148" s="123"/>
      <c r="X148" s="146"/>
      <c r="Y148" s="125"/>
      <c r="Z148" s="123"/>
      <c r="AA148" s="145"/>
      <c r="AC148" s="192"/>
      <c r="AD148" s="194"/>
      <c r="AE148" s="194"/>
      <c r="AF148" s="194"/>
      <c r="AG148" s="196"/>
      <c r="AH148" s="196"/>
      <c r="AI148" s="196"/>
    </row>
    <row r="149" spans="2:35" ht="11.1" customHeight="1" x14ac:dyDescent="0.15">
      <c r="B149" s="82"/>
      <c r="C149" s="82"/>
      <c r="D149" s="82"/>
      <c r="G149" s="82"/>
      <c r="H149" s="82"/>
      <c r="I149" s="82"/>
      <c r="J149" s="82"/>
      <c r="K149" s="82"/>
      <c r="L149" s="82"/>
      <c r="M149" s="82"/>
      <c r="O149" s="82"/>
      <c r="P149" s="82"/>
      <c r="Q149" s="82"/>
      <c r="R149" s="82"/>
      <c r="S149" s="82"/>
      <c r="T149" s="82"/>
      <c r="U149" s="82"/>
      <c r="Z149" s="82"/>
      <c r="AA149" s="82"/>
      <c r="AB149" s="82"/>
      <c r="AC149" s="82"/>
      <c r="AD149" s="82"/>
      <c r="AE149" s="82"/>
      <c r="AF149" s="82"/>
    </row>
    <row r="150" spans="2:35" ht="11.1" customHeight="1" x14ac:dyDescent="0.15">
      <c r="H150" s="81"/>
      <c r="I150" s="81"/>
      <c r="J150" s="81"/>
      <c r="K150" s="81"/>
      <c r="O150" s="81"/>
      <c r="P150" s="82"/>
      <c r="Q150" s="82"/>
      <c r="R150" s="81"/>
      <c r="S150" s="82"/>
      <c r="T150" s="82"/>
      <c r="U150" s="89"/>
      <c r="Y150" s="81"/>
      <c r="AA150" s="197"/>
      <c r="AC150" s="81"/>
      <c r="AD150" s="81"/>
    </row>
    <row r="151" spans="2:35" ht="11.1" customHeight="1" x14ac:dyDescent="0.15">
      <c r="O151" s="89"/>
      <c r="P151" s="89"/>
      <c r="Q151" s="89"/>
      <c r="R151" s="89"/>
      <c r="S151" s="89"/>
      <c r="T151" s="89"/>
      <c r="U151" s="89"/>
      <c r="Y151" s="81"/>
      <c r="AB151" s="81"/>
      <c r="AC151" s="81"/>
      <c r="AD151" s="81"/>
    </row>
    <row r="152" spans="2:35" ht="11.1" customHeight="1" x14ac:dyDescent="0.15">
      <c r="O152" s="89"/>
      <c r="P152" s="89"/>
      <c r="Q152" s="89"/>
      <c r="R152" s="89"/>
      <c r="S152" s="89"/>
      <c r="T152" s="89"/>
      <c r="U152" s="89"/>
      <c r="AB152" s="81"/>
      <c r="AC152" s="81"/>
      <c r="AD152" s="81"/>
    </row>
    <row r="153" spans="2:35" ht="11.1" customHeight="1" x14ac:dyDescent="0.15">
      <c r="O153" s="89"/>
      <c r="P153" s="89"/>
      <c r="Q153" s="89"/>
      <c r="R153" s="89"/>
      <c r="S153" s="89"/>
      <c r="T153" s="89"/>
      <c r="U153" s="89"/>
      <c r="AB153" s="81"/>
      <c r="AC153" s="81"/>
      <c r="AD153" s="81"/>
    </row>
    <row r="154" spans="2:35" ht="11.1" customHeight="1" x14ac:dyDescent="0.15">
      <c r="O154" s="89"/>
      <c r="P154" s="89"/>
      <c r="Q154" s="89"/>
      <c r="R154" s="89"/>
      <c r="S154" s="89"/>
      <c r="T154" s="89"/>
      <c r="U154" s="89"/>
      <c r="AB154" s="81"/>
      <c r="AC154" s="81"/>
      <c r="AD154" s="81"/>
    </row>
    <row r="155" spans="2:35" ht="11.1" customHeight="1" x14ac:dyDescent="0.15">
      <c r="O155" s="89"/>
      <c r="P155" s="89"/>
      <c r="Q155" s="89"/>
      <c r="R155" s="89"/>
      <c r="S155" s="89"/>
      <c r="T155" s="89"/>
      <c r="U155" s="89"/>
      <c r="AB155" s="81"/>
      <c r="AC155" s="81"/>
      <c r="AD155" s="81"/>
    </row>
    <row r="156" spans="2:35" ht="11.1" customHeight="1" x14ac:dyDescent="0.15">
      <c r="O156" s="89"/>
      <c r="P156" s="89"/>
      <c r="Q156" s="89"/>
      <c r="R156" s="89"/>
      <c r="S156" s="89"/>
      <c r="T156" s="89"/>
      <c r="U156" s="89"/>
      <c r="AB156" s="81"/>
      <c r="AC156" s="81"/>
      <c r="AD156" s="81"/>
    </row>
    <row r="157" spans="2:35" ht="11.1" customHeight="1" x14ac:dyDescent="0.15">
      <c r="O157" s="89"/>
      <c r="P157" s="89"/>
      <c r="Q157" s="89"/>
      <c r="R157" s="89"/>
      <c r="S157" s="89"/>
      <c r="T157" s="89"/>
      <c r="U157" s="89"/>
      <c r="AB157" s="81"/>
      <c r="AC157" s="81"/>
      <c r="AD157" s="81"/>
    </row>
    <row r="158" spans="2:35" ht="11.1" customHeight="1" x14ac:dyDescent="0.15">
      <c r="O158" s="89"/>
      <c r="P158" s="89"/>
      <c r="Q158" s="89"/>
      <c r="R158" s="89"/>
      <c r="S158" s="89"/>
      <c r="T158" s="89"/>
      <c r="U158" s="89"/>
      <c r="AB158" s="81"/>
      <c r="AC158" s="81"/>
      <c r="AD158" s="81"/>
    </row>
    <row r="159" spans="2:35" ht="11.1" customHeight="1" x14ac:dyDescent="0.15">
      <c r="O159" s="89"/>
      <c r="P159" s="89"/>
      <c r="Q159" s="89"/>
      <c r="R159" s="89"/>
      <c r="S159" s="89"/>
      <c r="T159" s="89"/>
      <c r="U159" s="89"/>
      <c r="AB159" s="81"/>
      <c r="AC159" s="81"/>
      <c r="AD159" s="81"/>
    </row>
    <row r="160" spans="2:35" ht="11.1" customHeight="1" x14ac:dyDescent="0.15">
      <c r="O160" s="89"/>
      <c r="P160" s="89"/>
      <c r="Q160" s="89"/>
      <c r="R160" s="89"/>
      <c r="S160" s="89"/>
      <c r="T160" s="89"/>
      <c r="U160" s="89"/>
      <c r="AB160" s="81"/>
      <c r="AC160" s="81"/>
      <c r="AD160" s="81"/>
    </row>
    <row r="161" spans="8:30" ht="11.1" customHeight="1" x14ac:dyDescent="0.15">
      <c r="O161" s="89"/>
      <c r="P161" s="89"/>
      <c r="Q161" s="89"/>
      <c r="R161" s="89"/>
      <c r="S161" s="89"/>
      <c r="T161" s="89"/>
      <c r="U161" s="89"/>
      <c r="AB161" s="81"/>
      <c r="AC161" s="81"/>
      <c r="AD161" s="81"/>
    </row>
    <row r="162" spans="8:30" ht="11.1" customHeight="1" x14ac:dyDescent="0.15">
      <c r="O162" s="89"/>
      <c r="P162" s="89"/>
      <c r="Q162" s="89"/>
      <c r="R162" s="89"/>
      <c r="S162" s="89"/>
      <c r="T162" s="89"/>
      <c r="U162" s="89"/>
      <c r="AB162" s="81"/>
      <c r="AC162" s="81"/>
      <c r="AD162" s="81"/>
    </row>
    <row r="163" spans="8:30" ht="11.1" customHeight="1" x14ac:dyDescent="0.15">
      <c r="O163" s="89"/>
      <c r="P163" s="89"/>
      <c r="Q163" s="89"/>
      <c r="R163" s="89"/>
      <c r="S163" s="89"/>
      <c r="T163" s="89"/>
      <c r="U163" s="89"/>
      <c r="AB163" s="81"/>
      <c r="AC163" s="81"/>
      <c r="AD163" s="81"/>
    </row>
    <row r="164" spans="8:30" ht="11.1" customHeight="1" x14ac:dyDescent="0.15">
      <c r="O164" s="89"/>
      <c r="P164" s="89"/>
      <c r="Q164" s="89"/>
      <c r="R164" s="89"/>
      <c r="S164" s="89"/>
      <c r="T164" s="89"/>
      <c r="U164" s="89"/>
      <c r="AB164" s="81"/>
      <c r="AC164" s="81"/>
      <c r="AD164" s="81"/>
    </row>
    <row r="165" spans="8:30" ht="11.1" customHeight="1" x14ac:dyDescent="0.15">
      <c r="O165" s="89"/>
      <c r="P165" s="89"/>
      <c r="Q165" s="89"/>
      <c r="R165" s="89"/>
      <c r="S165" s="89"/>
      <c r="T165" s="89"/>
      <c r="U165" s="89"/>
      <c r="AB165" s="81"/>
      <c r="AC165" s="81"/>
      <c r="AD165" s="81"/>
    </row>
    <row r="166" spans="8:30" ht="11.1" customHeight="1" x14ac:dyDescent="0.15">
      <c r="O166" s="89"/>
      <c r="P166" s="89"/>
      <c r="Q166" s="89"/>
      <c r="R166" s="89"/>
      <c r="S166" s="89"/>
      <c r="T166" s="89"/>
      <c r="U166" s="89"/>
      <c r="AB166" s="81"/>
      <c r="AC166" s="81"/>
      <c r="AD166" s="81"/>
    </row>
    <row r="167" spans="8:30" ht="11.1" customHeight="1" x14ac:dyDescent="0.15">
      <c r="O167" s="89"/>
      <c r="P167" s="89"/>
      <c r="Q167" s="89"/>
      <c r="R167" s="89"/>
      <c r="S167" s="89"/>
      <c r="T167" s="89"/>
      <c r="U167" s="89"/>
      <c r="AB167" s="81"/>
      <c r="AC167" s="81"/>
      <c r="AD167" s="81"/>
    </row>
    <row r="168" spans="8:30" ht="11.1" customHeight="1" x14ac:dyDescent="0.15">
      <c r="H168" s="81"/>
      <c r="I168" s="81"/>
      <c r="J168" s="81"/>
      <c r="K168" s="81"/>
      <c r="O168" s="89"/>
      <c r="P168" s="89"/>
      <c r="Q168" s="89"/>
      <c r="R168" s="89"/>
      <c r="S168" s="89"/>
      <c r="T168" s="89"/>
      <c r="U168" s="89"/>
      <c r="AB168" s="81"/>
      <c r="AC168" s="81"/>
      <c r="AD168" s="81"/>
    </row>
    <row r="169" spans="8:30" ht="11.1" customHeight="1" x14ac:dyDescent="0.15">
      <c r="H169" s="81"/>
      <c r="I169" s="81"/>
      <c r="J169" s="81"/>
      <c r="K169" s="81"/>
      <c r="O169" s="89"/>
      <c r="P169" s="89"/>
      <c r="Q169" s="89"/>
      <c r="R169" s="89"/>
      <c r="S169" s="89"/>
      <c r="T169" s="89"/>
      <c r="U169" s="89"/>
      <c r="AB169" s="81"/>
      <c r="AC169" s="81"/>
      <c r="AD169" s="81"/>
    </row>
    <row r="170" spans="8:30" ht="11.1" customHeight="1" x14ac:dyDescent="0.15">
      <c r="H170" s="81"/>
      <c r="I170" s="81"/>
      <c r="J170" s="81"/>
      <c r="K170" s="81"/>
      <c r="O170" s="89"/>
      <c r="P170" s="89"/>
      <c r="Q170" s="89"/>
      <c r="R170" s="89"/>
      <c r="S170" s="89"/>
      <c r="T170" s="89"/>
      <c r="U170" s="89"/>
      <c r="AB170" s="81"/>
      <c r="AC170" s="81"/>
      <c r="AD170" s="81"/>
    </row>
    <row r="171" spans="8:30" ht="11.1" customHeight="1" x14ac:dyDescent="0.15">
      <c r="H171" s="81"/>
      <c r="I171" s="81"/>
      <c r="J171" s="81"/>
      <c r="K171" s="81"/>
      <c r="O171" s="91"/>
      <c r="P171" s="91"/>
      <c r="Q171" s="91"/>
      <c r="R171" s="91"/>
      <c r="S171" s="91"/>
      <c r="T171" s="91"/>
      <c r="U171" s="91"/>
      <c r="AB171" s="81"/>
      <c r="AC171" s="81"/>
      <c r="AD171" s="81"/>
    </row>
    <row r="172" spans="8:30" ht="11.1" customHeight="1" x14ac:dyDescent="0.15">
      <c r="H172" s="81"/>
      <c r="I172" s="81"/>
      <c r="J172" s="81"/>
      <c r="K172" s="81"/>
      <c r="O172" s="91"/>
      <c r="P172" s="91"/>
      <c r="Q172" s="91"/>
      <c r="R172" s="91"/>
      <c r="S172" s="91"/>
      <c r="T172" s="91"/>
      <c r="U172" s="91"/>
      <c r="AB172" s="81"/>
      <c r="AC172" s="81"/>
      <c r="AD172" s="81"/>
    </row>
    <row r="173" spans="8:30" ht="11.1" customHeight="1" x14ac:dyDescent="0.15">
      <c r="H173" s="81"/>
      <c r="I173" s="81"/>
      <c r="J173" s="81"/>
      <c r="K173" s="81"/>
      <c r="O173" s="91"/>
      <c r="P173" s="91"/>
      <c r="Q173" s="91"/>
      <c r="R173" s="91"/>
      <c r="S173" s="91"/>
      <c r="T173" s="91"/>
      <c r="U173" s="91"/>
      <c r="AB173" s="81"/>
      <c r="AC173" s="81"/>
      <c r="AD173" s="81"/>
    </row>
    <row r="185" spans="3:33" ht="11.1" customHeight="1" x14ac:dyDescent="0.15">
      <c r="C185" s="91"/>
      <c r="D185" s="91"/>
      <c r="G185" s="91"/>
      <c r="H185" s="91"/>
      <c r="I185" s="91"/>
      <c r="J185" s="91"/>
      <c r="K185" s="91"/>
      <c r="L185" s="91"/>
      <c r="M185" s="91"/>
      <c r="O185" s="91"/>
      <c r="P185" s="91"/>
      <c r="Q185" s="91"/>
      <c r="R185" s="91"/>
      <c r="S185" s="91"/>
      <c r="T185" s="91"/>
      <c r="U185" s="91"/>
      <c r="Z185" s="91"/>
      <c r="AA185" s="91"/>
      <c r="AE185" s="91"/>
      <c r="AF185" s="91"/>
      <c r="AG185" s="91"/>
    </row>
    <row r="186" spans="3:33" ht="11.1" customHeight="1" x14ac:dyDescent="0.15">
      <c r="C186" s="91"/>
      <c r="D186" s="91"/>
      <c r="G186" s="91"/>
      <c r="H186" s="91"/>
      <c r="I186" s="91"/>
      <c r="J186" s="91"/>
      <c r="K186" s="91"/>
      <c r="L186" s="91"/>
      <c r="M186" s="91"/>
      <c r="O186" s="91"/>
      <c r="P186" s="91"/>
      <c r="Q186" s="91"/>
      <c r="R186" s="91"/>
      <c r="S186" s="91"/>
      <c r="T186" s="91"/>
      <c r="U186" s="91"/>
      <c r="Z186" s="91"/>
      <c r="AA186" s="91"/>
      <c r="AE186" s="91"/>
      <c r="AF186" s="91"/>
      <c r="AG186" s="91"/>
    </row>
    <row r="187" spans="3:33" ht="11.1" customHeight="1" x14ac:dyDescent="0.15">
      <c r="C187" s="91"/>
      <c r="D187" s="91"/>
      <c r="G187" s="91"/>
      <c r="H187" s="91"/>
      <c r="I187" s="91"/>
      <c r="J187" s="91"/>
      <c r="K187" s="91"/>
      <c r="L187" s="91"/>
      <c r="M187" s="91"/>
      <c r="O187" s="91"/>
      <c r="P187" s="91"/>
      <c r="Q187" s="91"/>
      <c r="R187" s="91"/>
      <c r="S187" s="91"/>
      <c r="T187" s="91"/>
      <c r="U187" s="91"/>
      <c r="Z187" s="91"/>
      <c r="AA187" s="91"/>
      <c r="AE187" s="91"/>
      <c r="AF187" s="91"/>
      <c r="AG187" s="91"/>
    </row>
    <row r="188" spans="3:33" ht="11.1" customHeight="1" x14ac:dyDescent="0.15">
      <c r="C188" s="91"/>
      <c r="D188" s="91"/>
      <c r="G188" s="91"/>
      <c r="H188" s="91"/>
      <c r="I188" s="91"/>
      <c r="J188" s="91"/>
      <c r="K188" s="91"/>
      <c r="L188" s="91"/>
      <c r="M188" s="91"/>
      <c r="O188" s="91"/>
      <c r="P188" s="91"/>
      <c r="Q188" s="91"/>
      <c r="R188" s="91"/>
      <c r="S188" s="91"/>
      <c r="T188" s="91"/>
      <c r="U188" s="91"/>
      <c r="Z188" s="91"/>
      <c r="AA188" s="91"/>
      <c r="AE188" s="91"/>
      <c r="AF188" s="91"/>
      <c r="AG188" s="91"/>
    </row>
    <row r="189" spans="3:33" ht="11.1" customHeight="1" x14ac:dyDescent="0.15">
      <c r="C189" s="91"/>
      <c r="D189" s="91"/>
      <c r="G189" s="91"/>
      <c r="H189" s="91"/>
      <c r="I189" s="91"/>
      <c r="J189" s="91"/>
      <c r="K189" s="91"/>
      <c r="L189" s="91"/>
      <c r="M189" s="91"/>
      <c r="O189" s="91"/>
      <c r="P189" s="91"/>
      <c r="Q189" s="91"/>
      <c r="R189" s="91"/>
      <c r="S189" s="91"/>
      <c r="T189" s="91"/>
      <c r="U189" s="91"/>
      <c r="Z189" s="91"/>
      <c r="AA189" s="91"/>
      <c r="AE189" s="91"/>
      <c r="AF189" s="91"/>
      <c r="AG189" s="91"/>
    </row>
    <row r="190" spans="3:33" ht="11.1" customHeight="1" x14ac:dyDescent="0.15">
      <c r="C190" s="91"/>
      <c r="D190" s="91"/>
      <c r="G190" s="91"/>
      <c r="H190" s="91"/>
      <c r="I190" s="91"/>
      <c r="J190" s="91"/>
      <c r="K190" s="91"/>
      <c r="L190" s="91"/>
      <c r="M190" s="91"/>
      <c r="O190" s="91"/>
      <c r="P190" s="91"/>
      <c r="Q190" s="91"/>
      <c r="R190" s="91"/>
      <c r="S190" s="91"/>
      <c r="T190" s="91"/>
      <c r="U190" s="91"/>
      <c r="Z190" s="91"/>
      <c r="AA190" s="91"/>
      <c r="AE190" s="91"/>
      <c r="AF190" s="91"/>
      <c r="AG190" s="91"/>
    </row>
    <row r="191" spans="3:33" ht="11.1" customHeight="1" x14ac:dyDescent="0.15">
      <c r="C191" s="91"/>
      <c r="D191" s="91"/>
      <c r="G191" s="91"/>
      <c r="H191" s="91"/>
      <c r="I191" s="91"/>
      <c r="J191" s="91"/>
      <c r="K191" s="91"/>
      <c r="L191" s="91"/>
      <c r="M191" s="91"/>
      <c r="O191" s="91"/>
      <c r="P191" s="91"/>
      <c r="Q191" s="91"/>
      <c r="R191" s="91"/>
      <c r="S191" s="91"/>
      <c r="T191" s="91"/>
      <c r="U191" s="91"/>
      <c r="Z191" s="91"/>
      <c r="AA191" s="91"/>
      <c r="AE191" s="91"/>
      <c r="AF191" s="91"/>
      <c r="AG191" s="91"/>
    </row>
    <row r="192" spans="3:33" ht="11.1" customHeight="1" x14ac:dyDescent="0.15">
      <c r="C192" s="91"/>
      <c r="D192" s="91"/>
      <c r="G192" s="91"/>
      <c r="H192" s="91"/>
      <c r="I192" s="91"/>
      <c r="J192" s="91"/>
      <c r="K192" s="91"/>
      <c r="L192" s="91"/>
      <c r="M192" s="91"/>
      <c r="O192" s="91"/>
      <c r="P192" s="91"/>
      <c r="Q192" s="91"/>
      <c r="R192" s="91"/>
      <c r="S192" s="91"/>
      <c r="T192" s="91"/>
      <c r="U192" s="91"/>
      <c r="Z192" s="91"/>
      <c r="AA192" s="91"/>
      <c r="AE192" s="91"/>
      <c r="AF192" s="91"/>
      <c r="AG192" s="91"/>
    </row>
    <row r="193" spans="3:33" ht="11.1" customHeight="1" x14ac:dyDescent="0.15">
      <c r="C193" s="91"/>
      <c r="D193" s="91"/>
      <c r="G193" s="91"/>
      <c r="H193" s="91"/>
      <c r="I193" s="91"/>
      <c r="J193" s="91"/>
      <c r="K193" s="91"/>
      <c r="L193" s="91"/>
      <c r="M193" s="91"/>
      <c r="O193" s="91"/>
      <c r="P193" s="91"/>
      <c r="Q193" s="91"/>
      <c r="R193" s="91"/>
      <c r="S193" s="91"/>
      <c r="T193" s="91"/>
      <c r="U193" s="91"/>
      <c r="Z193" s="91"/>
      <c r="AA193" s="91"/>
      <c r="AE193" s="91"/>
      <c r="AF193" s="91"/>
      <c r="AG193" s="91"/>
    </row>
    <row r="194" spans="3:33" ht="11.1" customHeight="1" x14ac:dyDescent="0.15">
      <c r="C194" s="91"/>
      <c r="D194" s="91"/>
      <c r="G194" s="91"/>
      <c r="H194" s="91"/>
      <c r="I194" s="91"/>
      <c r="J194" s="91"/>
      <c r="K194" s="91"/>
      <c r="L194" s="91"/>
      <c r="M194" s="91"/>
      <c r="O194" s="91"/>
      <c r="P194" s="91"/>
      <c r="Q194" s="91"/>
      <c r="R194" s="91"/>
      <c r="S194" s="91"/>
      <c r="T194" s="91"/>
      <c r="U194" s="91"/>
      <c r="Z194" s="91"/>
      <c r="AA194" s="91"/>
      <c r="AE194" s="91"/>
      <c r="AF194" s="91"/>
      <c r="AG194" s="91"/>
    </row>
    <row r="195" spans="3:33" ht="11.1" customHeight="1" x14ac:dyDescent="0.15">
      <c r="C195" s="91"/>
      <c r="D195" s="91"/>
      <c r="G195" s="91"/>
      <c r="H195" s="91"/>
      <c r="I195" s="91"/>
      <c r="J195" s="91"/>
      <c r="K195" s="91"/>
      <c r="L195" s="91"/>
      <c r="M195" s="91"/>
      <c r="O195" s="91"/>
      <c r="P195" s="91"/>
      <c r="Q195" s="91"/>
      <c r="R195" s="91"/>
      <c r="S195" s="91"/>
      <c r="T195" s="91"/>
      <c r="U195" s="91"/>
      <c r="Z195" s="91"/>
      <c r="AA195" s="91"/>
      <c r="AE195" s="91"/>
      <c r="AF195" s="91"/>
      <c r="AG195" s="91"/>
    </row>
    <row r="196" spans="3:33" ht="11.1" customHeight="1" x14ac:dyDescent="0.15">
      <c r="C196" s="91"/>
      <c r="D196" s="91"/>
      <c r="G196" s="91"/>
      <c r="H196" s="91"/>
      <c r="I196" s="91"/>
      <c r="J196" s="91"/>
      <c r="K196" s="91"/>
      <c r="L196" s="91"/>
      <c r="M196" s="91"/>
      <c r="O196" s="91"/>
      <c r="P196" s="91"/>
      <c r="Q196" s="91"/>
      <c r="R196" s="91"/>
      <c r="S196" s="91"/>
      <c r="T196" s="91"/>
      <c r="U196" s="91"/>
      <c r="Z196" s="91"/>
      <c r="AA196" s="91"/>
      <c r="AE196" s="91"/>
      <c r="AF196" s="91"/>
      <c r="AG196" s="91"/>
    </row>
    <row r="197" spans="3:33" ht="11.1" customHeight="1" x14ac:dyDescent="0.15">
      <c r="C197" s="91"/>
      <c r="D197" s="91"/>
      <c r="G197" s="91"/>
      <c r="H197" s="91"/>
      <c r="I197" s="91"/>
      <c r="J197" s="91"/>
      <c r="K197" s="91"/>
      <c r="L197" s="91"/>
      <c r="M197" s="91"/>
      <c r="O197" s="91"/>
      <c r="P197" s="91"/>
      <c r="Q197" s="91"/>
      <c r="R197" s="91"/>
      <c r="S197" s="91"/>
      <c r="T197" s="91"/>
      <c r="U197" s="91"/>
      <c r="Z197" s="91"/>
      <c r="AA197" s="91"/>
      <c r="AE197" s="91"/>
      <c r="AF197" s="91"/>
      <c r="AG197" s="91"/>
    </row>
    <row r="198" spans="3:33" ht="11.1" customHeight="1" x14ac:dyDescent="0.15">
      <c r="C198" s="91"/>
      <c r="D198" s="91"/>
      <c r="G198" s="91"/>
      <c r="H198" s="91"/>
      <c r="I198" s="91"/>
      <c r="J198" s="91"/>
      <c r="K198" s="91"/>
      <c r="L198" s="91"/>
      <c r="M198" s="91"/>
      <c r="O198" s="91"/>
      <c r="P198" s="91"/>
      <c r="Q198" s="91"/>
      <c r="R198" s="91"/>
      <c r="S198" s="91"/>
      <c r="T198" s="91"/>
      <c r="U198" s="91"/>
      <c r="Z198" s="91"/>
      <c r="AA198" s="91"/>
      <c r="AE198" s="91"/>
      <c r="AF198" s="91"/>
      <c r="AG198" s="91"/>
    </row>
    <row r="199" spans="3:33" ht="11.1" customHeight="1" x14ac:dyDescent="0.15">
      <c r="C199" s="91"/>
      <c r="D199" s="91"/>
      <c r="G199" s="91"/>
      <c r="H199" s="91"/>
      <c r="I199" s="91"/>
      <c r="J199" s="91"/>
      <c r="K199" s="91"/>
      <c r="L199" s="91"/>
      <c r="M199" s="91"/>
      <c r="O199" s="91"/>
      <c r="P199" s="91"/>
      <c r="Q199" s="91"/>
      <c r="R199" s="91"/>
      <c r="S199" s="91"/>
      <c r="T199" s="91"/>
      <c r="U199" s="91"/>
      <c r="Z199" s="91"/>
      <c r="AA199" s="91"/>
      <c r="AE199" s="91"/>
      <c r="AF199" s="91"/>
      <c r="AG199" s="91"/>
    </row>
    <row r="200" spans="3:33" ht="11.1" customHeight="1" x14ac:dyDescent="0.15">
      <c r="C200" s="91"/>
      <c r="D200" s="91"/>
      <c r="G200" s="91"/>
      <c r="H200" s="91"/>
      <c r="I200" s="91"/>
      <c r="J200" s="91"/>
      <c r="K200" s="91"/>
      <c r="L200" s="91"/>
      <c r="M200" s="91"/>
      <c r="O200" s="91"/>
      <c r="P200" s="91"/>
      <c r="Q200" s="91"/>
      <c r="R200" s="91"/>
      <c r="S200" s="91"/>
      <c r="T200" s="91"/>
      <c r="U200" s="91"/>
      <c r="Z200" s="91"/>
      <c r="AA200" s="91"/>
      <c r="AE200" s="91"/>
      <c r="AF200" s="91"/>
      <c r="AG200" s="91"/>
    </row>
    <row r="218" spans="3:33" ht="11.1" customHeight="1" x14ac:dyDescent="0.15">
      <c r="C218" s="91"/>
      <c r="D218" s="91"/>
      <c r="G218" s="91"/>
      <c r="H218" s="91"/>
      <c r="I218" s="91"/>
      <c r="J218" s="91"/>
      <c r="K218" s="91"/>
      <c r="L218" s="91"/>
      <c r="M218" s="91"/>
      <c r="O218" s="91"/>
      <c r="P218" s="91"/>
      <c r="Q218" s="91"/>
      <c r="R218" s="91"/>
      <c r="S218" s="91"/>
      <c r="T218" s="91"/>
      <c r="U218" s="91"/>
      <c r="Z218" s="91"/>
      <c r="AA218" s="91"/>
      <c r="AE218" s="91"/>
      <c r="AF218" s="91"/>
      <c r="AG218" s="91"/>
    </row>
    <row r="219" spans="3:33" ht="11.1" customHeight="1" x14ac:dyDescent="0.15">
      <c r="C219" s="91"/>
      <c r="D219" s="91"/>
      <c r="G219" s="91"/>
      <c r="H219" s="91"/>
      <c r="I219" s="91"/>
      <c r="J219" s="91"/>
      <c r="K219" s="91"/>
      <c r="L219" s="91"/>
      <c r="M219" s="91"/>
      <c r="O219" s="91"/>
      <c r="P219" s="91"/>
      <c r="Q219" s="91"/>
      <c r="R219" s="91"/>
      <c r="S219" s="91"/>
      <c r="T219" s="91"/>
      <c r="U219" s="91"/>
      <c r="Z219" s="91"/>
      <c r="AA219" s="91"/>
      <c r="AE219" s="91"/>
      <c r="AF219" s="91"/>
      <c r="AG219" s="91"/>
    </row>
    <row r="220" spans="3:33" ht="11.1" customHeight="1" x14ac:dyDescent="0.15">
      <c r="C220" s="91"/>
      <c r="D220" s="91"/>
      <c r="G220" s="91"/>
      <c r="H220" s="91"/>
      <c r="I220" s="91"/>
      <c r="J220" s="91"/>
      <c r="K220" s="91"/>
      <c r="L220" s="91"/>
      <c r="M220" s="91"/>
      <c r="O220" s="91"/>
      <c r="P220" s="91"/>
      <c r="Q220" s="91"/>
      <c r="R220" s="91"/>
      <c r="S220" s="91"/>
      <c r="T220" s="91"/>
      <c r="U220" s="91"/>
      <c r="Z220" s="91"/>
      <c r="AA220" s="91"/>
      <c r="AE220" s="91"/>
      <c r="AF220" s="91"/>
      <c r="AG220" s="91"/>
    </row>
    <row r="283" spans="3:33" ht="11.1" customHeight="1" x14ac:dyDescent="0.15">
      <c r="C283" s="91"/>
      <c r="D283" s="91"/>
      <c r="G283" s="91"/>
      <c r="H283" s="91"/>
      <c r="I283" s="91"/>
      <c r="J283" s="91"/>
      <c r="K283" s="91"/>
      <c r="L283" s="91"/>
      <c r="M283" s="91"/>
      <c r="O283" s="91"/>
      <c r="P283" s="91"/>
      <c r="Q283" s="91"/>
      <c r="R283" s="91"/>
      <c r="S283" s="91"/>
      <c r="T283" s="91"/>
      <c r="U283" s="91"/>
      <c r="Z283" s="91"/>
      <c r="AA283" s="91"/>
      <c r="AE283" s="91"/>
      <c r="AF283" s="91"/>
      <c r="AG283" s="91"/>
    </row>
    <row r="284" spans="3:33" ht="11.1" customHeight="1" x14ac:dyDescent="0.15">
      <c r="C284" s="91"/>
      <c r="D284" s="91"/>
      <c r="G284" s="91"/>
      <c r="H284" s="91"/>
      <c r="I284" s="91"/>
      <c r="J284" s="91"/>
      <c r="K284" s="91"/>
      <c r="L284" s="91"/>
      <c r="M284" s="91"/>
      <c r="O284" s="91"/>
      <c r="P284" s="91"/>
      <c r="Q284" s="91"/>
      <c r="R284" s="91"/>
      <c r="S284" s="91"/>
      <c r="T284" s="91"/>
      <c r="U284" s="91"/>
      <c r="Z284" s="91"/>
      <c r="AA284" s="91"/>
      <c r="AE284" s="91"/>
      <c r="AF284" s="91"/>
      <c r="AG284" s="91"/>
    </row>
    <row r="285" spans="3:33" ht="11.1" customHeight="1" x14ac:dyDescent="0.15">
      <c r="C285" s="91"/>
      <c r="D285" s="91"/>
      <c r="G285" s="91"/>
      <c r="H285" s="91"/>
      <c r="I285" s="91"/>
      <c r="J285" s="91"/>
      <c r="K285" s="91"/>
      <c r="L285" s="91"/>
      <c r="M285" s="91"/>
      <c r="O285" s="91"/>
      <c r="P285" s="91"/>
      <c r="Q285" s="91"/>
      <c r="R285" s="91"/>
      <c r="S285" s="91"/>
      <c r="T285" s="91"/>
      <c r="U285" s="91"/>
      <c r="Z285" s="91"/>
      <c r="AA285" s="91"/>
      <c r="AE285" s="91"/>
      <c r="AF285" s="91"/>
      <c r="AG285" s="91"/>
    </row>
    <row r="286" spans="3:33" ht="11.1" customHeight="1" x14ac:dyDescent="0.15">
      <c r="C286" s="91"/>
      <c r="D286" s="91"/>
      <c r="G286" s="91"/>
      <c r="H286" s="91"/>
      <c r="I286" s="91"/>
      <c r="J286" s="91"/>
      <c r="K286" s="91"/>
      <c r="L286" s="91"/>
      <c r="M286" s="91"/>
      <c r="O286" s="91"/>
      <c r="P286" s="91"/>
      <c r="Q286" s="91"/>
      <c r="R286" s="91"/>
      <c r="S286" s="91"/>
      <c r="T286" s="91"/>
      <c r="U286" s="91"/>
      <c r="Z286" s="91"/>
      <c r="AA286" s="91"/>
      <c r="AE286" s="91"/>
      <c r="AF286" s="91"/>
      <c r="AG286" s="91"/>
    </row>
    <row r="287" spans="3:33" ht="11.1" customHeight="1" x14ac:dyDescent="0.15">
      <c r="C287" s="91"/>
      <c r="D287" s="91"/>
      <c r="G287" s="91"/>
      <c r="H287" s="91"/>
      <c r="I287" s="91"/>
      <c r="J287" s="91"/>
      <c r="K287" s="91"/>
      <c r="L287" s="91"/>
      <c r="M287" s="91"/>
      <c r="O287" s="91"/>
      <c r="P287" s="91"/>
      <c r="Q287" s="91"/>
      <c r="R287" s="91"/>
      <c r="S287" s="91"/>
      <c r="T287" s="91"/>
      <c r="U287" s="91"/>
      <c r="Z287" s="91"/>
      <c r="AA287" s="91"/>
      <c r="AE287" s="91"/>
      <c r="AF287" s="91"/>
      <c r="AG287" s="91"/>
    </row>
    <row r="288" spans="3:33" ht="11.1" customHeight="1" x14ac:dyDescent="0.15">
      <c r="C288" s="91"/>
      <c r="D288" s="91"/>
      <c r="G288" s="91"/>
      <c r="H288" s="91"/>
      <c r="I288" s="91"/>
      <c r="J288" s="91"/>
      <c r="K288" s="91"/>
      <c r="L288" s="91"/>
      <c r="M288" s="91"/>
      <c r="O288" s="91"/>
      <c r="P288" s="91"/>
      <c r="Q288" s="91"/>
      <c r="R288" s="91"/>
      <c r="S288" s="91"/>
      <c r="T288" s="91"/>
      <c r="U288" s="91"/>
      <c r="Z288" s="91"/>
      <c r="AA288" s="91"/>
      <c r="AE288" s="91"/>
      <c r="AF288" s="91"/>
      <c r="AG288" s="91"/>
    </row>
    <row r="289" spans="3:33" ht="11.1" customHeight="1" x14ac:dyDescent="0.15">
      <c r="C289" s="91"/>
      <c r="D289" s="91"/>
      <c r="G289" s="91"/>
      <c r="H289" s="91"/>
      <c r="I289" s="91"/>
      <c r="J289" s="91"/>
      <c r="K289" s="91"/>
      <c r="L289" s="91"/>
      <c r="M289" s="91"/>
      <c r="O289" s="91"/>
      <c r="P289" s="91"/>
      <c r="Q289" s="91"/>
      <c r="R289" s="91"/>
      <c r="S289" s="91"/>
      <c r="T289" s="91"/>
      <c r="U289" s="91"/>
      <c r="Z289" s="91"/>
      <c r="AA289" s="91"/>
      <c r="AE289" s="91"/>
      <c r="AF289" s="91"/>
      <c r="AG289" s="91"/>
    </row>
    <row r="290" spans="3:33" ht="11.1" customHeight="1" x14ac:dyDescent="0.15">
      <c r="C290" s="91"/>
      <c r="D290" s="91"/>
      <c r="G290" s="91"/>
      <c r="H290" s="91"/>
      <c r="I290" s="91"/>
      <c r="J290" s="91"/>
      <c r="K290" s="91"/>
      <c r="L290" s="91"/>
      <c r="M290" s="91"/>
      <c r="O290" s="91"/>
      <c r="P290" s="91"/>
      <c r="Q290" s="91"/>
      <c r="R290" s="91"/>
      <c r="S290" s="91"/>
      <c r="T290" s="91"/>
      <c r="U290" s="91"/>
      <c r="Z290" s="91"/>
      <c r="AA290" s="91"/>
      <c r="AE290" s="91"/>
      <c r="AF290" s="91"/>
      <c r="AG290" s="91"/>
    </row>
    <row r="291" spans="3:33" ht="11.1" customHeight="1" x14ac:dyDescent="0.15">
      <c r="C291" s="91"/>
      <c r="D291" s="91"/>
      <c r="G291" s="91"/>
      <c r="H291" s="91"/>
      <c r="I291" s="91"/>
      <c r="J291" s="91"/>
      <c r="K291" s="91"/>
      <c r="L291" s="91"/>
      <c r="M291" s="91"/>
      <c r="O291" s="91"/>
      <c r="P291" s="91"/>
      <c r="Q291" s="91"/>
      <c r="R291" s="91"/>
      <c r="S291" s="91"/>
      <c r="T291" s="91"/>
      <c r="U291" s="91"/>
      <c r="Z291" s="91"/>
      <c r="AA291" s="91"/>
      <c r="AE291" s="91"/>
      <c r="AF291" s="91"/>
      <c r="AG291" s="91"/>
    </row>
    <row r="292" spans="3:33" ht="11.1" customHeight="1" x14ac:dyDescent="0.15">
      <c r="C292" s="91"/>
      <c r="D292" s="91"/>
      <c r="G292" s="91"/>
      <c r="H292" s="91"/>
      <c r="I292" s="91"/>
      <c r="J292" s="91"/>
      <c r="K292" s="91"/>
      <c r="L292" s="91"/>
      <c r="M292" s="91"/>
      <c r="O292" s="91"/>
      <c r="P292" s="91"/>
      <c r="Q292" s="91"/>
      <c r="R292" s="91"/>
      <c r="S292" s="91"/>
      <c r="T292" s="91"/>
      <c r="U292" s="91"/>
      <c r="Z292" s="91"/>
      <c r="AA292" s="91"/>
      <c r="AE292" s="91"/>
      <c r="AF292" s="91"/>
      <c r="AG292" s="91"/>
    </row>
    <row r="293" spans="3:33" ht="11.1" customHeight="1" x14ac:dyDescent="0.15">
      <c r="C293" s="91"/>
      <c r="D293" s="91"/>
      <c r="G293" s="91"/>
      <c r="H293" s="91"/>
      <c r="I293" s="91"/>
      <c r="J293" s="91"/>
      <c r="K293" s="91"/>
      <c r="L293" s="91"/>
      <c r="M293" s="91"/>
      <c r="O293" s="91"/>
      <c r="P293" s="91"/>
      <c r="Q293" s="91"/>
      <c r="R293" s="91"/>
      <c r="S293" s="91"/>
      <c r="T293" s="91"/>
      <c r="U293" s="91"/>
      <c r="Z293" s="91"/>
      <c r="AA293" s="91"/>
      <c r="AE293" s="91"/>
      <c r="AF293" s="91"/>
      <c r="AG293" s="91"/>
    </row>
    <row r="294" spans="3:33" ht="11.1" customHeight="1" x14ac:dyDescent="0.15">
      <c r="C294" s="91"/>
      <c r="D294" s="91"/>
      <c r="G294" s="91"/>
      <c r="H294" s="91"/>
      <c r="I294" s="91"/>
      <c r="J294" s="91"/>
      <c r="K294" s="91"/>
      <c r="L294" s="91"/>
      <c r="M294" s="91"/>
      <c r="O294" s="91"/>
      <c r="P294" s="91"/>
      <c r="Q294" s="91"/>
      <c r="R294" s="91"/>
      <c r="S294" s="91"/>
      <c r="T294" s="91"/>
      <c r="U294" s="91"/>
      <c r="Z294" s="91"/>
      <c r="AA294" s="91"/>
      <c r="AE294" s="91"/>
      <c r="AF294" s="91"/>
      <c r="AG294" s="91"/>
    </row>
    <row r="295" spans="3:33" ht="11.1" customHeight="1" x14ac:dyDescent="0.15">
      <c r="C295" s="91"/>
      <c r="D295" s="91"/>
      <c r="G295" s="91"/>
      <c r="H295" s="91"/>
      <c r="I295" s="91"/>
      <c r="J295" s="91"/>
      <c r="K295" s="91"/>
      <c r="L295" s="91"/>
      <c r="M295" s="91"/>
      <c r="O295" s="91"/>
      <c r="P295" s="91"/>
      <c r="Q295" s="91"/>
      <c r="R295" s="91"/>
      <c r="S295" s="91"/>
      <c r="T295" s="91"/>
      <c r="U295" s="91"/>
      <c r="Z295" s="91"/>
      <c r="AA295" s="91"/>
      <c r="AE295" s="91"/>
      <c r="AF295" s="91"/>
      <c r="AG295" s="91"/>
    </row>
    <row r="296" spans="3:33" ht="11.1" customHeight="1" x14ac:dyDescent="0.15">
      <c r="C296" s="91"/>
      <c r="D296" s="91"/>
      <c r="G296" s="91"/>
      <c r="H296" s="91"/>
      <c r="I296" s="91"/>
      <c r="J296" s="91"/>
      <c r="K296" s="91"/>
      <c r="L296" s="91"/>
      <c r="M296" s="91"/>
      <c r="O296" s="91"/>
      <c r="P296" s="91"/>
      <c r="Q296" s="91"/>
      <c r="R296" s="91"/>
      <c r="S296" s="91"/>
      <c r="T296" s="91"/>
      <c r="U296" s="91"/>
      <c r="Z296" s="91"/>
      <c r="AA296" s="91"/>
      <c r="AE296" s="91"/>
      <c r="AF296" s="91"/>
      <c r="AG296" s="91"/>
    </row>
    <row r="297" spans="3:33" ht="11.1" customHeight="1" x14ac:dyDescent="0.15">
      <c r="C297" s="91"/>
      <c r="D297" s="91"/>
      <c r="G297" s="91"/>
      <c r="H297" s="91"/>
      <c r="I297" s="91"/>
      <c r="J297" s="91"/>
      <c r="K297" s="91"/>
      <c r="L297" s="91"/>
      <c r="M297" s="91"/>
      <c r="O297" s="91"/>
      <c r="P297" s="91"/>
      <c r="Q297" s="91"/>
      <c r="R297" s="91"/>
      <c r="S297" s="91"/>
      <c r="T297" s="91"/>
      <c r="U297" s="91"/>
      <c r="Z297" s="91"/>
      <c r="AA297" s="91"/>
      <c r="AE297" s="91"/>
      <c r="AF297" s="91"/>
      <c r="AG297" s="91"/>
    </row>
    <row r="298" spans="3:33" ht="11.1" customHeight="1" x14ac:dyDescent="0.15">
      <c r="C298" s="91"/>
      <c r="D298" s="91"/>
      <c r="G298" s="91"/>
      <c r="H298" s="91"/>
      <c r="I298" s="91"/>
      <c r="J298" s="91"/>
      <c r="K298" s="91"/>
      <c r="L298" s="91"/>
      <c r="M298" s="91"/>
      <c r="O298" s="91"/>
      <c r="P298" s="91"/>
      <c r="Q298" s="91"/>
      <c r="R298" s="91"/>
      <c r="S298" s="91"/>
      <c r="T298" s="91"/>
      <c r="U298" s="91"/>
      <c r="Z298" s="91"/>
      <c r="AA298" s="91"/>
      <c r="AE298" s="91"/>
      <c r="AF298" s="91"/>
      <c r="AG298" s="91"/>
    </row>
    <row r="300" spans="3:33" ht="11.1" customHeight="1" x14ac:dyDescent="0.15">
      <c r="C300" s="91"/>
      <c r="D300" s="91"/>
      <c r="G300" s="91"/>
      <c r="H300" s="91"/>
      <c r="I300" s="91"/>
      <c r="J300" s="91"/>
      <c r="K300" s="91"/>
      <c r="L300" s="91"/>
      <c r="M300" s="91"/>
      <c r="O300" s="91"/>
      <c r="P300" s="91"/>
      <c r="Q300" s="91"/>
      <c r="R300" s="91"/>
      <c r="S300" s="91"/>
      <c r="T300" s="91"/>
      <c r="U300" s="91"/>
      <c r="Z300" s="91"/>
      <c r="AA300" s="91"/>
      <c r="AE300" s="91"/>
      <c r="AF300" s="91"/>
      <c r="AG300" s="91"/>
    </row>
    <row r="301" spans="3:33" ht="11.1" customHeight="1" x14ac:dyDescent="0.15">
      <c r="C301" s="91"/>
      <c r="D301" s="91"/>
      <c r="G301" s="91"/>
      <c r="H301" s="91"/>
      <c r="I301" s="91"/>
      <c r="J301" s="91"/>
      <c r="K301" s="91"/>
      <c r="L301" s="91"/>
      <c r="M301" s="91"/>
      <c r="O301" s="91"/>
      <c r="P301" s="91"/>
      <c r="Q301" s="91"/>
      <c r="R301" s="91"/>
      <c r="S301" s="91"/>
      <c r="T301" s="91"/>
      <c r="U301" s="91"/>
      <c r="Z301" s="91"/>
      <c r="AA301" s="91"/>
      <c r="AE301" s="91"/>
      <c r="AF301" s="91"/>
      <c r="AG301" s="91"/>
    </row>
    <row r="302" spans="3:33" ht="11.1" customHeight="1" x14ac:dyDescent="0.15">
      <c r="C302" s="91"/>
      <c r="D302" s="91"/>
      <c r="G302" s="91"/>
      <c r="H302" s="91"/>
      <c r="I302" s="91"/>
      <c r="J302" s="91"/>
      <c r="K302" s="91"/>
      <c r="L302" s="91"/>
      <c r="M302" s="91"/>
      <c r="O302" s="91"/>
      <c r="P302" s="91"/>
      <c r="Q302" s="91"/>
      <c r="R302" s="91"/>
      <c r="S302" s="91"/>
      <c r="T302" s="91"/>
      <c r="U302" s="91"/>
      <c r="Z302" s="91"/>
      <c r="AA302" s="91"/>
      <c r="AE302" s="91"/>
      <c r="AF302" s="91"/>
      <c r="AG302" s="91"/>
    </row>
    <row r="303" spans="3:33" ht="11.1" customHeight="1" x14ac:dyDescent="0.15">
      <c r="C303" s="91"/>
      <c r="D303" s="91"/>
      <c r="G303" s="91"/>
      <c r="H303" s="91"/>
      <c r="I303" s="91"/>
      <c r="J303" s="91"/>
      <c r="K303" s="91"/>
      <c r="L303" s="91"/>
      <c r="M303" s="91"/>
      <c r="O303" s="91"/>
      <c r="P303" s="91"/>
      <c r="Q303" s="91"/>
      <c r="R303" s="91"/>
      <c r="S303" s="91"/>
      <c r="T303" s="91"/>
      <c r="U303" s="91"/>
      <c r="Z303" s="91"/>
      <c r="AA303" s="91"/>
      <c r="AE303" s="91"/>
      <c r="AF303" s="91"/>
      <c r="AG303" s="91"/>
    </row>
    <row r="304" spans="3:33" ht="11.1" customHeight="1" x14ac:dyDescent="0.15">
      <c r="C304" s="91"/>
      <c r="D304" s="91"/>
      <c r="G304" s="91"/>
      <c r="H304" s="91"/>
      <c r="I304" s="91"/>
      <c r="J304" s="91"/>
      <c r="K304" s="91"/>
      <c r="L304" s="91"/>
      <c r="M304" s="91"/>
      <c r="O304" s="91"/>
      <c r="P304" s="91"/>
      <c r="Q304" s="91"/>
      <c r="R304" s="91"/>
      <c r="S304" s="91"/>
      <c r="T304" s="91"/>
      <c r="U304" s="91"/>
      <c r="Z304" s="91"/>
      <c r="AA304" s="91"/>
      <c r="AE304" s="91"/>
      <c r="AF304" s="91"/>
      <c r="AG304" s="91"/>
    </row>
    <row r="305" spans="3:33" ht="11.1" customHeight="1" x14ac:dyDescent="0.15">
      <c r="C305" s="91"/>
      <c r="D305" s="91"/>
      <c r="G305" s="91"/>
      <c r="H305" s="91"/>
      <c r="I305" s="91"/>
      <c r="J305" s="91"/>
      <c r="K305" s="91"/>
      <c r="L305" s="91"/>
      <c r="M305" s="91"/>
      <c r="O305" s="91"/>
      <c r="P305" s="91"/>
      <c r="Q305" s="91"/>
      <c r="R305" s="91"/>
      <c r="S305" s="91"/>
      <c r="T305" s="91"/>
      <c r="U305" s="91"/>
      <c r="Z305" s="91"/>
      <c r="AA305" s="91"/>
      <c r="AE305" s="91"/>
      <c r="AF305" s="91"/>
      <c r="AG305" s="91"/>
    </row>
    <row r="306" spans="3:33" ht="11.1" customHeight="1" x14ac:dyDescent="0.15">
      <c r="C306" s="91"/>
      <c r="D306" s="91"/>
      <c r="G306" s="91"/>
      <c r="H306" s="91"/>
      <c r="I306" s="91"/>
      <c r="J306" s="91"/>
      <c r="K306" s="91"/>
      <c r="L306" s="91"/>
      <c r="M306" s="91"/>
      <c r="O306" s="91"/>
      <c r="P306" s="91"/>
      <c r="Q306" s="91"/>
      <c r="R306" s="91"/>
      <c r="S306" s="91"/>
      <c r="T306" s="91"/>
      <c r="U306" s="91"/>
      <c r="Z306" s="91"/>
      <c r="AA306" s="91"/>
      <c r="AE306" s="91"/>
      <c r="AF306" s="91"/>
      <c r="AG306" s="91"/>
    </row>
    <row r="307" spans="3:33" ht="11.1" customHeight="1" x14ac:dyDescent="0.15">
      <c r="C307" s="91"/>
      <c r="D307" s="91"/>
      <c r="G307" s="91"/>
      <c r="H307" s="91"/>
      <c r="I307" s="91"/>
      <c r="J307" s="91"/>
      <c r="K307" s="91"/>
      <c r="L307" s="91"/>
      <c r="M307" s="91"/>
      <c r="O307" s="91"/>
      <c r="P307" s="91"/>
      <c r="Q307" s="91"/>
      <c r="R307" s="91"/>
      <c r="S307" s="91"/>
      <c r="T307" s="91"/>
      <c r="U307" s="91"/>
      <c r="Z307" s="91"/>
      <c r="AA307" s="91"/>
      <c r="AE307" s="91"/>
      <c r="AF307" s="91"/>
      <c r="AG307" s="91"/>
    </row>
    <row r="308" spans="3:33" ht="11.1" customHeight="1" x14ac:dyDescent="0.15">
      <c r="C308" s="91"/>
      <c r="D308" s="91"/>
      <c r="G308" s="91"/>
      <c r="H308" s="91"/>
      <c r="I308" s="91"/>
      <c r="J308" s="91"/>
      <c r="K308" s="91"/>
      <c r="L308" s="91"/>
      <c r="M308" s="91"/>
      <c r="O308" s="91"/>
      <c r="P308" s="91"/>
      <c r="Q308" s="91"/>
      <c r="R308" s="91"/>
      <c r="S308" s="91"/>
      <c r="T308" s="91"/>
      <c r="U308" s="91"/>
      <c r="Z308" s="91"/>
      <c r="AA308" s="91"/>
      <c r="AE308" s="91"/>
      <c r="AF308" s="91"/>
      <c r="AG308" s="91"/>
    </row>
    <row r="315" spans="3:33" ht="11.1" customHeight="1" x14ac:dyDescent="0.15">
      <c r="H315" s="81"/>
      <c r="I315" s="81"/>
      <c r="J315" s="81"/>
      <c r="K315" s="81"/>
      <c r="L315" s="91"/>
      <c r="M315" s="198"/>
      <c r="O315" s="91"/>
      <c r="P315" s="91"/>
      <c r="Q315" s="91"/>
      <c r="R315" s="91"/>
      <c r="S315" s="91"/>
      <c r="T315" s="91"/>
      <c r="U315" s="91"/>
      <c r="Z315" s="91"/>
      <c r="AA315" s="91"/>
      <c r="AG315" s="91"/>
    </row>
    <row r="316" spans="3:33" ht="11.1" customHeight="1" x14ac:dyDescent="0.15">
      <c r="H316" s="81"/>
      <c r="I316" s="81"/>
      <c r="J316" s="81"/>
      <c r="K316" s="81"/>
      <c r="M316" s="199"/>
      <c r="O316" s="91"/>
      <c r="P316" s="91"/>
      <c r="Q316" s="91"/>
      <c r="R316" s="91"/>
      <c r="S316" s="91"/>
      <c r="T316" s="91"/>
      <c r="U316" s="91"/>
      <c r="Z316" s="199"/>
      <c r="AA316" s="91"/>
      <c r="AE316" s="91"/>
      <c r="AG316" s="91"/>
    </row>
    <row r="317" spans="3:33" ht="11.1" customHeight="1" x14ac:dyDescent="0.15">
      <c r="H317" s="81"/>
      <c r="I317" s="81"/>
      <c r="J317" s="81"/>
      <c r="K317" s="81"/>
      <c r="M317" s="91"/>
      <c r="O317" s="91"/>
      <c r="P317" s="91"/>
      <c r="Q317" s="91"/>
      <c r="R317" s="91"/>
      <c r="S317" s="91"/>
      <c r="T317" s="91"/>
      <c r="U317" s="91"/>
      <c r="Z317" s="91"/>
      <c r="AA317" s="91"/>
      <c r="AE317" s="91"/>
      <c r="AG317" s="91"/>
    </row>
    <row r="318" spans="3:33" ht="11.1" customHeight="1" x14ac:dyDescent="0.15">
      <c r="H318" s="81"/>
      <c r="I318" s="81"/>
      <c r="J318" s="81"/>
      <c r="K318" s="81"/>
      <c r="M318" s="91"/>
      <c r="O318" s="91"/>
      <c r="P318" s="91"/>
      <c r="Q318" s="91"/>
      <c r="R318" s="91"/>
      <c r="S318" s="91"/>
      <c r="T318" s="91"/>
      <c r="U318" s="91"/>
      <c r="Z318" s="91"/>
      <c r="AA318" s="91"/>
      <c r="AE318" s="91"/>
      <c r="AG318" s="91"/>
    </row>
    <row r="319" spans="3:33" ht="11.1" customHeight="1" x14ac:dyDescent="0.15">
      <c r="H319" s="81"/>
      <c r="I319" s="81"/>
      <c r="J319" s="81"/>
      <c r="K319" s="81"/>
      <c r="M319" s="91"/>
      <c r="O319" s="91"/>
      <c r="P319" s="91"/>
      <c r="Q319" s="91"/>
      <c r="R319" s="91"/>
      <c r="S319" s="91"/>
      <c r="T319" s="91"/>
      <c r="U319" s="91"/>
      <c r="Z319" s="91"/>
      <c r="AA319" s="91"/>
      <c r="AE319" s="91"/>
      <c r="AG319" s="91"/>
    </row>
    <row r="320" spans="3:33" ht="11.1" customHeight="1" x14ac:dyDescent="0.15">
      <c r="H320" s="81"/>
      <c r="I320" s="81"/>
      <c r="J320" s="81"/>
      <c r="K320" s="81"/>
      <c r="M320" s="91"/>
      <c r="O320" s="91"/>
      <c r="P320" s="91"/>
      <c r="Q320" s="91"/>
      <c r="R320" s="91"/>
      <c r="S320" s="91"/>
      <c r="T320" s="91"/>
      <c r="U320" s="91"/>
      <c r="Z320" s="91"/>
      <c r="AA320" s="91"/>
      <c r="AE320" s="91"/>
      <c r="AG320" s="91"/>
    </row>
    <row r="321" spans="3:33" ht="11.1" customHeight="1" x14ac:dyDescent="0.15">
      <c r="H321" s="81"/>
      <c r="I321" s="81"/>
      <c r="J321" s="81"/>
      <c r="K321" s="81"/>
      <c r="M321" s="91"/>
      <c r="O321" s="91"/>
      <c r="P321" s="91"/>
      <c r="Q321" s="91"/>
      <c r="R321" s="91"/>
      <c r="S321" s="91"/>
      <c r="T321" s="91"/>
      <c r="U321" s="91"/>
      <c r="Z321" s="91"/>
      <c r="AA321" s="91"/>
      <c r="AE321" s="91"/>
      <c r="AG321" s="91"/>
    </row>
    <row r="322" spans="3:33" ht="11.1" customHeight="1" x14ac:dyDescent="0.15">
      <c r="H322" s="81"/>
      <c r="I322" s="81"/>
      <c r="J322" s="81"/>
      <c r="K322" s="81"/>
      <c r="M322" s="91"/>
      <c r="O322" s="91"/>
      <c r="P322" s="91"/>
      <c r="Q322" s="91"/>
      <c r="R322" s="91"/>
      <c r="S322" s="91"/>
      <c r="T322" s="91"/>
      <c r="U322" s="91"/>
      <c r="Z322" s="91"/>
      <c r="AB322" s="81"/>
      <c r="AC322" s="81"/>
      <c r="AD322" s="81"/>
    </row>
    <row r="323" spans="3:33" ht="11.1" customHeight="1" x14ac:dyDescent="0.15">
      <c r="H323" s="81"/>
      <c r="I323" s="81"/>
      <c r="J323" s="81"/>
      <c r="K323" s="81"/>
      <c r="M323" s="91"/>
      <c r="O323" s="91"/>
      <c r="P323" s="91"/>
      <c r="Q323" s="91"/>
      <c r="R323" s="91"/>
      <c r="S323" s="91"/>
      <c r="T323" s="91"/>
      <c r="U323" s="91"/>
      <c r="Z323" s="91"/>
      <c r="AB323" s="81"/>
      <c r="AC323" s="81"/>
      <c r="AD323" s="81"/>
    </row>
    <row r="324" spans="3:33" ht="11.1" customHeight="1" x14ac:dyDescent="0.15">
      <c r="H324" s="81"/>
      <c r="I324" s="81"/>
      <c r="J324" s="81"/>
      <c r="K324" s="81"/>
      <c r="M324" s="91"/>
      <c r="O324" s="91"/>
      <c r="P324" s="91"/>
      <c r="Q324" s="91"/>
      <c r="R324" s="91"/>
      <c r="S324" s="91"/>
      <c r="T324" s="91"/>
      <c r="U324" s="91"/>
      <c r="Z324" s="91"/>
      <c r="AB324" s="81"/>
      <c r="AC324" s="81"/>
      <c r="AD324" s="81"/>
    </row>
    <row r="325" spans="3:33" ht="11.1" customHeight="1" x14ac:dyDescent="0.15">
      <c r="H325" s="81"/>
      <c r="I325" s="81"/>
      <c r="J325" s="81"/>
      <c r="K325" s="81"/>
      <c r="M325" s="91"/>
      <c r="O325" s="91"/>
      <c r="P325" s="91"/>
      <c r="Q325" s="91"/>
      <c r="R325" s="91"/>
      <c r="S325" s="91"/>
      <c r="T325" s="91"/>
      <c r="U325" s="91"/>
      <c r="Z325" s="91"/>
      <c r="AB325" s="81"/>
      <c r="AC325" s="81"/>
      <c r="AD325" s="81"/>
    </row>
    <row r="326" spans="3:33" ht="11.1" customHeight="1" x14ac:dyDescent="0.15">
      <c r="H326" s="81"/>
      <c r="I326" s="81"/>
      <c r="J326" s="81"/>
      <c r="K326" s="81"/>
      <c r="M326" s="91"/>
      <c r="O326" s="91"/>
      <c r="P326" s="91"/>
      <c r="Q326" s="91"/>
      <c r="R326" s="91"/>
      <c r="S326" s="91"/>
      <c r="T326" s="91"/>
      <c r="U326" s="91"/>
      <c r="Z326" s="91"/>
      <c r="AB326" s="81"/>
      <c r="AC326" s="81"/>
      <c r="AD326" s="81"/>
    </row>
    <row r="327" spans="3:33" ht="11.1" customHeight="1" x14ac:dyDescent="0.15">
      <c r="C327" s="200"/>
      <c r="D327" s="200"/>
      <c r="G327" s="200"/>
      <c r="H327" s="81"/>
      <c r="I327" s="81"/>
      <c r="J327" s="81"/>
      <c r="K327" s="81"/>
      <c r="L327" s="91"/>
      <c r="M327" s="91"/>
      <c r="O327" s="91"/>
      <c r="P327" s="91"/>
      <c r="Q327" s="91"/>
      <c r="R327" s="91"/>
      <c r="S327" s="91"/>
      <c r="T327" s="91"/>
      <c r="U327" s="91"/>
      <c r="Z327" s="91"/>
      <c r="AB327" s="81"/>
      <c r="AC327" s="81"/>
      <c r="AD327" s="81"/>
    </row>
    <row r="328" spans="3:33" ht="11.1" customHeight="1" x14ac:dyDescent="0.15">
      <c r="C328" s="200"/>
      <c r="D328" s="200"/>
      <c r="G328" s="200"/>
      <c r="H328" s="81"/>
      <c r="I328" s="81"/>
      <c r="J328" s="81"/>
      <c r="K328" s="81"/>
      <c r="L328" s="91"/>
      <c r="M328" s="91"/>
      <c r="O328" s="91"/>
      <c r="P328" s="91"/>
      <c r="Q328" s="91"/>
      <c r="R328" s="91"/>
      <c r="S328" s="91"/>
      <c r="T328" s="91"/>
      <c r="U328" s="91"/>
      <c r="Z328" s="91"/>
      <c r="AB328" s="81"/>
      <c r="AC328" s="81"/>
      <c r="AD328" s="81"/>
    </row>
    <row r="329" spans="3:33" ht="11.1" customHeight="1" x14ac:dyDescent="0.15">
      <c r="C329" s="200"/>
      <c r="D329" s="200"/>
      <c r="G329" s="200"/>
      <c r="H329" s="81"/>
      <c r="I329" s="81"/>
      <c r="J329" s="81"/>
      <c r="K329" s="81"/>
      <c r="L329" s="91"/>
      <c r="M329" s="91"/>
      <c r="O329" s="91"/>
      <c r="P329" s="91"/>
      <c r="Q329" s="91"/>
      <c r="R329" s="91"/>
      <c r="S329" s="91"/>
      <c r="T329" s="91"/>
      <c r="U329" s="91"/>
      <c r="Z329" s="91"/>
      <c r="AB329" s="81"/>
      <c r="AC329" s="81"/>
      <c r="AD329" s="81"/>
    </row>
  </sheetData>
  <mergeCells count="30">
    <mergeCell ref="H56:H60"/>
    <mergeCell ref="B56:B60"/>
    <mergeCell ref="C56:C60"/>
    <mergeCell ref="D56:D60"/>
    <mergeCell ref="E56:E60"/>
    <mergeCell ref="F56:F60"/>
    <mergeCell ref="V56:V60"/>
    <mergeCell ref="I56:I60"/>
    <mergeCell ref="J56:J60"/>
    <mergeCell ref="K56:K60"/>
    <mergeCell ref="L56:L60"/>
    <mergeCell ref="M56:M60"/>
    <mergeCell ref="O56:O60"/>
    <mergeCell ref="P56:P60"/>
    <mergeCell ref="Q56:Q60"/>
    <mergeCell ref="R56:R60"/>
    <mergeCell ref="S56:S60"/>
    <mergeCell ref="T56:T60"/>
    <mergeCell ref="AI56:AI60"/>
    <mergeCell ref="W56:W60"/>
    <mergeCell ref="X56:X60"/>
    <mergeCell ref="Y56:Y60"/>
    <mergeCell ref="Z56:Z60"/>
    <mergeCell ref="AA56:AA60"/>
    <mergeCell ref="AC56:AC60"/>
    <mergeCell ref="AD56:AD60"/>
    <mergeCell ref="AE56:AE60"/>
    <mergeCell ref="AF56:AF60"/>
    <mergeCell ref="AG56:AG60"/>
    <mergeCell ref="AH56:AH60"/>
  </mergeCells>
  <phoneticPr fontId="5"/>
  <pageMargins left="0.7" right="0.7" top="0.75" bottom="0.75" header="0.3" footer="0.3"/>
  <pageSetup paperSize="9" orientation="portrait"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2:AA103"/>
  <sheetViews>
    <sheetView topLeftCell="A78" zoomScale="75" zoomScaleNormal="75" workbookViewId="0">
      <selection activeCell="E107" sqref="E107"/>
    </sheetView>
  </sheetViews>
  <sheetFormatPr defaultColWidth="3.875" defaultRowHeight="9.9499999999999993" customHeight="1" x14ac:dyDescent="0.15"/>
  <cols>
    <col min="1" max="1" width="2.625" customWidth="1"/>
    <col min="2" max="2" width="4.125" customWidth="1"/>
    <col min="3" max="6" width="6.25" customWidth="1"/>
    <col min="7" max="8" width="4.625" customWidth="1"/>
    <col min="9" max="9" width="6" customWidth="1"/>
    <col min="10" max="25" width="4.625" customWidth="1"/>
    <col min="26" max="28" width="4.375" customWidth="1"/>
  </cols>
  <sheetData>
    <row r="2" spans="2:16" ht="15.75" customHeight="1" x14ac:dyDescent="0.15">
      <c r="B2" s="53" t="s">
        <v>687</v>
      </c>
      <c r="C2" s="1"/>
      <c r="D2" s="1"/>
      <c r="E2" s="1"/>
      <c r="F2" s="1"/>
    </row>
    <row r="3" spans="2:16" ht="23.25" customHeight="1" x14ac:dyDescent="0.15">
      <c r="B3" s="420" t="s">
        <v>688</v>
      </c>
      <c r="C3" s="420" t="s">
        <v>689</v>
      </c>
      <c r="D3" s="420" t="s">
        <v>690</v>
      </c>
      <c r="E3" s="420" t="s">
        <v>691</v>
      </c>
      <c r="F3" s="420" t="s">
        <v>692</v>
      </c>
    </row>
    <row r="4" spans="2:16" ht="11.1" customHeight="1" x14ac:dyDescent="0.15">
      <c r="B4" s="421" t="s">
        <v>695</v>
      </c>
      <c r="C4" s="256">
        <v>23637</v>
      </c>
      <c r="D4" s="256">
        <v>23959</v>
      </c>
      <c r="E4" s="256">
        <v>3818</v>
      </c>
      <c r="F4" s="414">
        <f>E4/D4</f>
        <v>0.1593555657581702</v>
      </c>
    </row>
    <row r="5" spans="2:16" ht="11.1" customHeight="1" x14ac:dyDescent="0.15">
      <c r="B5" s="421" t="s">
        <v>183</v>
      </c>
      <c r="C5" s="256">
        <v>20385</v>
      </c>
      <c r="D5" s="256">
        <v>20873</v>
      </c>
      <c r="E5" s="256">
        <v>2829</v>
      </c>
      <c r="F5" s="414">
        <f t="shared" ref="F5:F9" si="0">E5/D5</f>
        <v>0.13553394337182006</v>
      </c>
    </row>
    <row r="6" spans="2:16" ht="11.1" customHeight="1" x14ac:dyDescent="0.15">
      <c r="B6" s="421" t="s">
        <v>184</v>
      </c>
      <c r="C6" s="256">
        <v>20020</v>
      </c>
      <c r="D6" s="256">
        <v>20699</v>
      </c>
      <c r="E6" s="256">
        <v>2178</v>
      </c>
      <c r="F6" s="414">
        <f t="shared" si="0"/>
        <v>0.10522247451567708</v>
      </c>
    </row>
    <row r="7" spans="2:16" ht="11.1" customHeight="1" x14ac:dyDescent="0.15">
      <c r="B7" s="421" t="s">
        <v>185</v>
      </c>
      <c r="C7" s="256">
        <v>20242</v>
      </c>
      <c r="D7" s="27">
        <v>21027</v>
      </c>
      <c r="E7" s="256">
        <v>2027</v>
      </c>
      <c r="F7" s="414">
        <f t="shared" si="0"/>
        <v>9.6399866837875117E-2</v>
      </c>
    </row>
    <row r="8" spans="2:16" ht="11.1" customHeight="1" x14ac:dyDescent="0.15">
      <c r="B8" s="421" t="s">
        <v>186</v>
      </c>
      <c r="C8" s="260">
        <v>20173</v>
      </c>
      <c r="D8" s="27">
        <v>20892</v>
      </c>
      <c r="E8" s="260">
        <v>2397</v>
      </c>
      <c r="F8" s="414">
        <f t="shared" si="0"/>
        <v>0.11473291211947156</v>
      </c>
    </row>
    <row r="9" spans="2:16" ht="11.1" customHeight="1" x14ac:dyDescent="0.15">
      <c r="B9" s="421" t="s">
        <v>187</v>
      </c>
      <c r="C9" s="260">
        <v>20022</v>
      </c>
      <c r="D9" s="27">
        <v>20772</v>
      </c>
      <c r="E9" s="260">
        <v>2428</v>
      </c>
      <c r="F9" s="414">
        <f t="shared" si="0"/>
        <v>0.11688811862122088</v>
      </c>
    </row>
    <row r="10" spans="2:16" ht="11.1" customHeight="1" x14ac:dyDescent="0.15">
      <c r="B10" s="421" t="s">
        <v>188</v>
      </c>
      <c r="C10" s="27">
        <v>19319</v>
      </c>
      <c r="D10" s="27">
        <v>20151</v>
      </c>
      <c r="E10" s="52">
        <f>D10*F10</f>
        <v>2182.5717977677809</v>
      </c>
      <c r="F10" s="414">
        <f>AVERAGE(F6:F9)</f>
        <v>0.10831084302356116</v>
      </c>
    </row>
    <row r="11" spans="2:16" ht="11.1" customHeight="1" x14ac:dyDescent="0.15">
      <c r="B11" s="421" t="s">
        <v>693</v>
      </c>
      <c r="C11" s="52">
        <f>SUM(C4:C10)/SUM(D4:D10)*D11</f>
        <v>21010.055353736865</v>
      </c>
      <c r="D11" s="52">
        <f>-68.3*7+314.8*7+19953</f>
        <v>21678.5</v>
      </c>
      <c r="E11" s="52">
        <f>D11*F11</f>
        <v>2348.0166104862706</v>
      </c>
      <c r="F11" s="414">
        <f>AVERAGE(F6:F9)</f>
        <v>0.10831084302356116</v>
      </c>
    </row>
    <row r="12" spans="2:16" ht="11.1" customHeight="1" x14ac:dyDescent="0.15">
      <c r="B12" s="421" t="s">
        <v>694</v>
      </c>
      <c r="C12" s="31">
        <f>AVERAGE(C4:C11)</f>
        <v>20601.006919217107</v>
      </c>
      <c r="D12" s="26">
        <f t="shared" ref="D12:F12" si="1">AVERAGE(D4:D11)</f>
        <v>21256.4375</v>
      </c>
      <c r="E12" s="31">
        <f t="shared" si="1"/>
        <v>2525.9485510317563</v>
      </c>
      <c r="F12" s="414">
        <f t="shared" si="1"/>
        <v>0.11809432090891965</v>
      </c>
    </row>
    <row r="13" spans="2:16" ht="11.1" customHeight="1" x14ac:dyDescent="0.15"/>
    <row r="14" spans="2:16" ht="11.1" customHeight="1" x14ac:dyDescent="0.15"/>
    <row r="15" spans="2:16" ht="11.1" customHeight="1" x14ac:dyDescent="0.15"/>
    <row r="16" spans="2:16" ht="18" customHeight="1" x14ac:dyDescent="0.2">
      <c r="B16" s="53" t="s">
        <v>67</v>
      </c>
      <c r="I16" s="74" t="s">
        <v>100</v>
      </c>
      <c r="P16" s="54"/>
    </row>
    <row r="17" spans="2:26" ht="12" customHeight="1" x14ac:dyDescent="0.2">
      <c r="B17" s="53"/>
      <c r="I17" s="74" t="s">
        <v>101</v>
      </c>
      <c r="P17" s="54"/>
    </row>
    <row r="18" spans="2:26" ht="11.1" customHeight="1" x14ac:dyDescent="0.15">
      <c r="B18" s="205" t="s">
        <v>5</v>
      </c>
      <c r="C18" s="240" t="s">
        <v>204</v>
      </c>
      <c r="D18" s="241" t="s">
        <v>7</v>
      </c>
      <c r="E18" s="241" t="s">
        <v>8</v>
      </c>
      <c r="F18" s="241" t="s">
        <v>9</v>
      </c>
      <c r="G18" s="241" t="s">
        <v>10</v>
      </c>
      <c r="H18" s="241" t="s">
        <v>205</v>
      </c>
      <c r="I18" s="241" t="s">
        <v>206</v>
      </c>
      <c r="J18" s="241" t="s">
        <v>207</v>
      </c>
      <c r="K18" s="242" t="s">
        <v>208</v>
      </c>
      <c r="L18" s="241" t="s">
        <v>209</v>
      </c>
      <c r="M18" s="241" t="s">
        <v>210</v>
      </c>
      <c r="N18" s="242" t="s">
        <v>211</v>
      </c>
      <c r="O18" s="242" t="s">
        <v>212</v>
      </c>
      <c r="P18" s="243" t="s">
        <v>15</v>
      </c>
      <c r="Q18" s="244" t="s">
        <v>213</v>
      </c>
      <c r="R18" s="242" t="s">
        <v>214</v>
      </c>
      <c r="S18" s="243" t="s">
        <v>17</v>
      </c>
      <c r="T18" s="242" t="s">
        <v>215</v>
      </c>
      <c r="U18" s="242" t="s">
        <v>216</v>
      </c>
      <c r="V18" s="243" t="s">
        <v>217</v>
      </c>
      <c r="W18" s="241" t="s">
        <v>21</v>
      </c>
      <c r="X18" s="245" t="s">
        <v>218</v>
      </c>
      <c r="Y18" s="241" t="s">
        <v>219</v>
      </c>
      <c r="Z18" s="246"/>
    </row>
    <row r="19" spans="2:26" ht="50.25" customHeight="1" x14ac:dyDescent="0.15">
      <c r="B19" s="205" t="s">
        <v>5</v>
      </c>
      <c r="C19" s="240" t="s">
        <v>6</v>
      </c>
      <c r="D19" s="241" t="s">
        <v>7</v>
      </c>
      <c r="E19" s="241" t="s">
        <v>8</v>
      </c>
      <c r="F19" s="241" t="s">
        <v>9</v>
      </c>
      <c r="G19" s="247" t="s">
        <v>220</v>
      </c>
      <c r="H19" s="248" t="s">
        <v>39</v>
      </c>
      <c r="I19" s="241" t="s">
        <v>11</v>
      </c>
      <c r="J19" s="241" t="s">
        <v>221</v>
      </c>
      <c r="K19" s="242" t="s">
        <v>222</v>
      </c>
      <c r="L19" s="241" t="s">
        <v>223</v>
      </c>
      <c r="M19" s="247" t="s">
        <v>12</v>
      </c>
      <c r="N19" s="249" t="s">
        <v>13</v>
      </c>
      <c r="O19" s="242" t="s">
        <v>14</v>
      </c>
      <c r="P19" s="250" t="s">
        <v>15</v>
      </c>
      <c r="Q19" s="251" t="s">
        <v>16</v>
      </c>
      <c r="R19" s="249" t="s">
        <v>214</v>
      </c>
      <c r="S19" s="251" t="s">
        <v>17</v>
      </c>
      <c r="T19" s="242" t="s">
        <v>18</v>
      </c>
      <c r="U19" s="242" t="s">
        <v>19</v>
      </c>
      <c r="V19" s="251" t="s">
        <v>20</v>
      </c>
      <c r="W19" s="241" t="s">
        <v>21</v>
      </c>
      <c r="X19" s="241" t="s">
        <v>224</v>
      </c>
      <c r="Y19" s="252" t="s">
        <v>225</v>
      </c>
      <c r="Z19" s="253" t="s">
        <v>179</v>
      </c>
    </row>
    <row r="20" spans="2:26" ht="11.1" customHeight="1" x14ac:dyDescent="0.2">
      <c r="B20" s="254">
        <v>30407</v>
      </c>
      <c r="C20" s="25" t="s">
        <v>86</v>
      </c>
      <c r="D20" s="21" t="s">
        <v>226</v>
      </c>
      <c r="E20" s="24" t="s">
        <v>227</v>
      </c>
      <c r="F20" s="26">
        <v>68477</v>
      </c>
      <c r="G20" s="26">
        <v>68477</v>
      </c>
      <c r="H20" s="26">
        <v>23649</v>
      </c>
      <c r="I20" s="26">
        <v>19220</v>
      </c>
      <c r="J20" s="26">
        <v>4429</v>
      </c>
      <c r="K20" s="26"/>
      <c r="L20" s="26">
        <v>15583</v>
      </c>
      <c r="M20" s="26">
        <v>3637</v>
      </c>
      <c r="N20" s="26">
        <v>0</v>
      </c>
      <c r="O20" s="26"/>
      <c r="P20" s="24"/>
      <c r="Q20" s="255"/>
      <c r="R20" s="256"/>
      <c r="S20" s="255"/>
      <c r="T20" s="257"/>
      <c r="U20" s="256"/>
      <c r="V20" s="256"/>
      <c r="W20" s="24" t="s">
        <v>87</v>
      </c>
      <c r="X20" s="24"/>
      <c r="Y20" s="24"/>
      <c r="Z20" s="24"/>
    </row>
    <row r="21" spans="2:26" ht="11.1" customHeight="1" x14ac:dyDescent="0.2">
      <c r="B21" s="254">
        <v>30407</v>
      </c>
      <c r="C21" s="25" t="s">
        <v>86</v>
      </c>
      <c r="D21" s="21" t="s">
        <v>228</v>
      </c>
      <c r="E21" s="24" t="s">
        <v>229</v>
      </c>
      <c r="F21" s="26">
        <v>13609</v>
      </c>
      <c r="G21" s="26">
        <v>13609</v>
      </c>
      <c r="H21" s="26">
        <v>3501</v>
      </c>
      <c r="I21" s="26">
        <v>1437</v>
      </c>
      <c r="J21" s="26">
        <v>2064</v>
      </c>
      <c r="K21" s="26"/>
      <c r="L21" s="26">
        <v>849</v>
      </c>
      <c r="M21" s="26">
        <v>258</v>
      </c>
      <c r="N21" s="26">
        <v>330</v>
      </c>
      <c r="O21" s="26"/>
      <c r="P21" s="24"/>
      <c r="Q21" s="255"/>
      <c r="R21" s="256"/>
      <c r="S21" s="255"/>
      <c r="T21" s="256"/>
      <c r="U21" s="256"/>
      <c r="V21" s="256"/>
      <c r="W21" s="24" t="s">
        <v>87</v>
      </c>
      <c r="X21" s="24"/>
      <c r="Y21" s="24"/>
      <c r="Z21" s="24"/>
    </row>
    <row r="22" spans="2:26" ht="11.1" customHeight="1" x14ac:dyDescent="0.2">
      <c r="B22" s="254">
        <v>30407</v>
      </c>
      <c r="C22" s="25" t="s">
        <v>86</v>
      </c>
      <c r="D22" s="21" t="s">
        <v>230</v>
      </c>
      <c r="E22" s="24" t="s">
        <v>231</v>
      </c>
      <c r="F22" s="26">
        <v>10281</v>
      </c>
      <c r="G22" s="26">
        <v>10281</v>
      </c>
      <c r="H22" s="26">
        <v>1986</v>
      </c>
      <c r="I22" s="26">
        <v>1291</v>
      </c>
      <c r="J22" s="26">
        <v>695</v>
      </c>
      <c r="K22" s="26"/>
      <c r="L22" s="26">
        <v>622</v>
      </c>
      <c r="M22" s="26">
        <v>259</v>
      </c>
      <c r="N22" s="26">
        <v>410</v>
      </c>
      <c r="O22" s="26"/>
      <c r="P22" s="24"/>
      <c r="Q22" s="255"/>
      <c r="R22" s="256"/>
      <c r="S22" s="255"/>
      <c r="T22" s="256"/>
      <c r="U22" s="256"/>
      <c r="V22" s="256"/>
      <c r="W22" s="24" t="s">
        <v>87</v>
      </c>
      <c r="X22" s="24"/>
      <c r="Y22" s="24"/>
      <c r="Z22" s="24"/>
    </row>
    <row r="23" spans="2:26" ht="11.1" customHeight="1" x14ac:dyDescent="0.2">
      <c r="B23" s="254">
        <v>30773</v>
      </c>
      <c r="C23" s="25" t="s">
        <v>88</v>
      </c>
      <c r="D23" s="21" t="s">
        <v>226</v>
      </c>
      <c r="E23" s="24" t="s">
        <v>227</v>
      </c>
      <c r="F23" s="26">
        <v>68332</v>
      </c>
      <c r="G23" s="26">
        <v>68332</v>
      </c>
      <c r="H23" s="26">
        <v>24941</v>
      </c>
      <c r="I23" s="26">
        <v>20345</v>
      </c>
      <c r="J23" s="26">
        <v>4596</v>
      </c>
      <c r="K23" s="26"/>
      <c r="L23" s="26">
        <v>16675</v>
      </c>
      <c r="M23" s="26">
        <v>3670</v>
      </c>
      <c r="N23" s="26">
        <v>0</v>
      </c>
      <c r="O23" s="26"/>
      <c r="P23" s="24"/>
      <c r="Q23" s="255"/>
      <c r="R23" s="256"/>
      <c r="S23" s="255"/>
      <c r="T23" s="256"/>
      <c r="U23" s="256"/>
      <c r="V23" s="256"/>
      <c r="W23" s="24" t="s">
        <v>87</v>
      </c>
      <c r="X23" s="24"/>
      <c r="Y23" s="24"/>
      <c r="Z23" s="24"/>
    </row>
    <row r="24" spans="2:26" ht="11.1" customHeight="1" x14ac:dyDescent="0.2">
      <c r="B24" s="254">
        <v>30773</v>
      </c>
      <c r="C24" s="25" t="s">
        <v>88</v>
      </c>
      <c r="D24" s="21" t="s">
        <v>228</v>
      </c>
      <c r="E24" s="24" t="s">
        <v>229</v>
      </c>
      <c r="F24" s="26">
        <v>13545</v>
      </c>
      <c r="G24" s="26">
        <v>13545</v>
      </c>
      <c r="H24" s="26">
        <v>3595</v>
      </c>
      <c r="I24" s="26">
        <v>1533</v>
      </c>
      <c r="J24" s="26">
        <v>2062</v>
      </c>
      <c r="K24" s="26"/>
      <c r="L24" s="26">
        <v>836</v>
      </c>
      <c r="M24" s="26">
        <v>193</v>
      </c>
      <c r="N24" s="26">
        <v>504</v>
      </c>
      <c r="O24" s="26"/>
      <c r="P24" s="24"/>
      <c r="Q24" s="255"/>
      <c r="R24" s="256"/>
      <c r="S24" s="255"/>
      <c r="T24" s="256"/>
      <c r="U24" s="256"/>
      <c r="V24" s="256"/>
      <c r="W24" s="24" t="s">
        <v>87</v>
      </c>
      <c r="X24" s="24"/>
      <c r="Y24" s="24"/>
      <c r="Z24" s="24"/>
    </row>
    <row r="25" spans="2:26" ht="11.1" customHeight="1" x14ac:dyDescent="0.2">
      <c r="B25" s="254">
        <v>30773</v>
      </c>
      <c r="C25" s="25" t="s">
        <v>88</v>
      </c>
      <c r="D25" s="21" t="s">
        <v>230</v>
      </c>
      <c r="E25" s="24" t="s">
        <v>231</v>
      </c>
      <c r="F25" s="26">
        <v>10224</v>
      </c>
      <c r="G25" s="26">
        <v>10224</v>
      </c>
      <c r="H25" s="26">
        <v>2115</v>
      </c>
      <c r="I25" s="26">
        <v>1406</v>
      </c>
      <c r="J25" s="26">
        <v>709</v>
      </c>
      <c r="K25" s="26"/>
      <c r="L25" s="26">
        <v>669</v>
      </c>
      <c r="M25" s="26">
        <v>293</v>
      </c>
      <c r="N25" s="26">
        <v>444</v>
      </c>
      <c r="O25" s="26"/>
      <c r="P25" s="24"/>
      <c r="Q25" s="255"/>
      <c r="R25" s="256"/>
      <c r="S25" s="255"/>
      <c r="T25" s="256"/>
      <c r="U25" s="256"/>
      <c r="V25" s="256"/>
      <c r="W25" s="24" t="s">
        <v>87</v>
      </c>
      <c r="X25" s="24"/>
      <c r="Y25" s="24"/>
      <c r="Z25" s="24"/>
    </row>
    <row r="26" spans="2:26" ht="11.1" customHeight="1" x14ac:dyDescent="0.2">
      <c r="B26" s="254">
        <v>31138</v>
      </c>
      <c r="C26" s="25" t="s">
        <v>89</v>
      </c>
      <c r="D26" s="21" t="s">
        <v>226</v>
      </c>
      <c r="E26" s="24" t="s">
        <v>227</v>
      </c>
      <c r="F26" s="26">
        <v>67825</v>
      </c>
      <c r="G26" s="26">
        <v>67825</v>
      </c>
      <c r="H26" s="26">
        <v>24756</v>
      </c>
      <c r="I26" s="26">
        <v>19810</v>
      </c>
      <c r="J26" s="26">
        <v>4946</v>
      </c>
      <c r="K26" s="26"/>
      <c r="L26" s="26">
        <v>16180</v>
      </c>
      <c r="M26" s="26">
        <v>3630</v>
      </c>
      <c r="N26" s="26">
        <v>0</v>
      </c>
      <c r="O26" s="26"/>
      <c r="P26" s="24"/>
      <c r="Q26" s="255"/>
      <c r="R26" s="256"/>
      <c r="S26" s="255"/>
      <c r="T26" s="256"/>
      <c r="U26" s="256"/>
      <c r="V26" s="256"/>
      <c r="W26" s="24" t="s">
        <v>87</v>
      </c>
      <c r="X26" s="24"/>
      <c r="Y26" s="24"/>
      <c r="Z26" s="24"/>
    </row>
    <row r="27" spans="2:26" ht="11.1" customHeight="1" x14ac:dyDescent="0.2">
      <c r="B27" s="254">
        <v>31138</v>
      </c>
      <c r="C27" s="25" t="s">
        <v>89</v>
      </c>
      <c r="D27" s="21" t="s">
        <v>228</v>
      </c>
      <c r="E27" s="24" t="s">
        <v>229</v>
      </c>
      <c r="F27" s="26">
        <v>13483</v>
      </c>
      <c r="G27" s="26">
        <v>13483</v>
      </c>
      <c r="H27" s="26">
        <v>3337</v>
      </c>
      <c r="I27" s="26">
        <v>1565</v>
      </c>
      <c r="J27" s="26">
        <v>1772</v>
      </c>
      <c r="K27" s="26"/>
      <c r="L27" s="26">
        <v>708</v>
      </c>
      <c r="M27" s="26">
        <v>173</v>
      </c>
      <c r="N27" s="26">
        <v>684</v>
      </c>
      <c r="O27" s="26"/>
      <c r="P27" s="24"/>
      <c r="Q27" s="255"/>
      <c r="R27" s="256"/>
      <c r="S27" s="255"/>
      <c r="T27" s="256"/>
      <c r="U27" s="256"/>
      <c r="V27" s="256"/>
      <c r="W27" s="24" t="s">
        <v>87</v>
      </c>
      <c r="X27" s="24"/>
      <c r="Y27" s="24"/>
      <c r="Z27" s="24"/>
    </row>
    <row r="28" spans="2:26" ht="11.1" customHeight="1" x14ac:dyDescent="0.2">
      <c r="B28" s="254">
        <v>31138</v>
      </c>
      <c r="C28" s="25" t="s">
        <v>89</v>
      </c>
      <c r="D28" s="21" t="s">
        <v>230</v>
      </c>
      <c r="E28" s="24" t="s">
        <v>231</v>
      </c>
      <c r="F28" s="26">
        <v>10163</v>
      </c>
      <c r="G28" s="26">
        <v>10163</v>
      </c>
      <c r="H28" s="26">
        <v>1886</v>
      </c>
      <c r="I28" s="26">
        <v>1292</v>
      </c>
      <c r="J28" s="26">
        <v>594</v>
      </c>
      <c r="K28" s="26"/>
      <c r="L28" s="26">
        <v>593</v>
      </c>
      <c r="M28" s="26">
        <v>217</v>
      </c>
      <c r="N28" s="26">
        <v>482</v>
      </c>
      <c r="O28" s="26"/>
      <c r="P28" s="24"/>
      <c r="Q28" s="255"/>
      <c r="R28" s="256"/>
      <c r="S28" s="255"/>
      <c r="T28" s="256"/>
      <c r="U28" s="256"/>
      <c r="V28" s="256"/>
      <c r="W28" s="24" t="s">
        <v>87</v>
      </c>
      <c r="X28" s="24"/>
      <c r="Y28" s="24"/>
      <c r="Z28" s="24"/>
    </row>
    <row r="29" spans="2:26" ht="11.1" customHeight="1" x14ac:dyDescent="0.2">
      <c r="B29" s="254">
        <v>31503</v>
      </c>
      <c r="C29" s="25" t="s">
        <v>90</v>
      </c>
      <c r="D29" s="21" t="s">
        <v>226</v>
      </c>
      <c r="E29" s="24" t="s">
        <v>227</v>
      </c>
      <c r="F29" s="26">
        <v>67408</v>
      </c>
      <c r="G29" s="26">
        <v>67408</v>
      </c>
      <c r="H29" s="26">
        <v>24604</v>
      </c>
      <c r="I29" s="26">
        <v>20848</v>
      </c>
      <c r="J29" s="26">
        <v>3756</v>
      </c>
      <c r="K29" s="26"/>
      <c r="L29" s="26">
        <v>16842</v>
      </c>
      <c r="M29" s="26">
        <v>3956</v>
      </c>
      <c r="N29" s="26">
        <v>50</v>
      </c>
      <c r="O29" s="26"/>
      <c r="P29" s="24"/>
      <c r="Q29" s="255"/>
      <c r="R29" s="256"/>
      <c r="S29" s="255"/>
      <c r="T29" s="256"/>
      <c r="U29" s="256"/>
      <c r="V29" s="256"/>
      <c r="W29" s="24" t="s">
        <v>87</v>
      </c>
      <c r="X29" s="24"/>
      <c r="Y29" s="24"/>
      <c r="Z29" s="24"/>
    </row>
    <row r="30" spans="2:26" ht="11.1" customHeight="1" x14ac:dyDescent="0.2">
      <c r="B30" s="254">
        <v>31503</v>
      </c>
      <c r="C30" s="25" t="s">
        <v>90</v>
      </c>
      <c r="D30" s="21" t="s">
        <v>228</v>
      </c>
      <c r="E30" s="24" t="s">
        <v>229</v>
      </c>
      <c r="F30" s="26">
        <v>13413</v>
      </c>
      <c r="G30" s="26">
        <v>13413</v>
      </c>
      <c r="H30" s="26">
        <v>3564</v>
      </c>
      <c r="I30" s="26">
        <v>2177</v>
      </c>
      <c r="J30" s="26">
        <v>1387</v>
      </c>
      <c r="K30" s="26"/>
      <c r="L30" s="26">
        <v>1557</v>
      </c>
      <c r="M30" s="26">
        <v>152</v>
      </c>
      <c r="N30" s="26">
        <v>468</v>
      </c>
      <c r="O30" s="26"/>
      <c r="P30" s="24"/>
      <c r="Q30" s="255"/>
      <c r="R30" s="256"/>
      <c r="S30" s="255"/>
      <c r="T30" s="256"/>
      <c r="U30" s="256"/>
      <c r="V30" s="256"/>
      <c r="W30" s="24" t="s">
        <v>87</v>
      </c>
      <c r="X30" s="24"/>
      <c r="Y30" s="24"/>
      <c r="Z30" s="24"/>
    </row>
    <row r="31" spans="2:26" ht="11.1" customHeight="1" x14ac:dyDescent="0.2">
      <c r="B31" s="254">
        <v>31503</v>
      </c>
      <c r="C31" s="25" t="s">
        <v>90</v>
      </c>
      <c r="D31" s="21" t="s">
        <v>230</v>
      </c>
      <c r="E31" s="24" t="s">
        <v>231</v>
      </c>
      <c r="F31" s="26">
        <v>10109</v>
      </c>
      <c r="G31" s="26">
        <v>10109</v>
      </c>
      <c r="H31" s="26">
        <v>2141</v>
      </c>
      <c r="I31" s="26">
        <v>1554</v>
      </c>
      <c r="J31" s="26">
        <v>587</v>
      </c>
      <c r="K31" s="26"/>
      <c r="L31" s="26">
        <v>848</v>
      </c>
      <c r="M31" s="26">
        <v>491</v>
      </c>
      <c r="N31" s="26">
        <v>215</v>
      </c>
      <c r="O31" s="26"/>
      <c r="P31" s="24"/>
      <c r="Q31" s="255"/>
      <c r="R31" s="256"/>
      <c r="S31" s="255"/>
      <c r="T31" s="256"/>
      <c r="U31" s="256"/>
      <c r="V31" s="256"/>
      <c r="W31" s="24" t="s">
        <v>87</v>
      </c>
      <c r="X31" s="24"/>
      <c r="Y31" s="24"/>
      <c r="Z31" s="24"/>
    </row>
    <row r="32" spans="2:26" ht="11.1" customHeight="1" x14ac:dyDescent="0.2">
      <c r="B32" s="254">
        <v>31868</v>
      </c>
      <c r="C32" s="25" t="s">
        <v>91</v>
      </c>
      <c r="D32" s="21" t="s">
        <v>226</v>
      </c>
      <c r="E32" s="24" t="s">
        <v>227</v>
      </c>
      <c r="F32" s="26">
        <v>66889</v>
      </c>
      <c r="G32" s="26">
        <v>66889</v>
      </c>
      <c r="H32" s="26">
        <v>24414</v>
      </c>
      <c r="I32" s="26">
        <v>21515</v>
      </c>
      <c r="J32" s="26">
        <v>2899</v>
      </c>
      <c r="K32" s="26"/>
      <c r="L32" s="26">
        <v>17382</v>
      </c>
      <c r="M32" s="26">
        <v>4072</v>
      </c>
      <c r="N32" s="26">
        <v>61</v>
      </c>
      <c r="O32" s="26"/>
      <c r="P32" s="24"/>
      <c r="Q32" s="255"/>
      <c r="R32" s="256"/>
      <c r="S32" s="255"/>
      <c r="T32" s="256"/>
      <c r="U32" s="256"/>
      <c r="V32" s="256"/>
      <c r="W32" s="24" t="s">
        <v>87</v>
      </c>
      <c r="X32" s="24"/>
      <c r="Y32" s="24"/>
      <c r="Z32" s="24"/>
    </row>
    <row r="33" spans="2:26" ht="11.1" customHeight="1" x14ac:dyDescent="0.2">
      <c r="B33" s="254">
        <v>31868</v>
      </c>
      <c r="C33" s="25" t="s">
        <v>91</v>
      </c>
      <c r="D33" s="21" t="s">
        <v>228</v>
      </c>
      <c r="E33" s="24" t="s">
        <v>229</v>
      </c>
      <c r="F33" s="26">
        <v>13321</v>
      </c>
      <c r="G33" s="26">
        <v>13321</v>
      </c>
      <c r="H33" s="26">
        <v>3278</v>
      </c>
      <c r="I33" s="26">
        <v>1840</v>
      </c>
      <c r="J33" s="26">
        <v>1438</v>
      </c>
      <c r="K33" s="26"/>
      <c r="L33" s="26">
        <v>1360</v>
      </c>
      <c r="M33" s="26">
        <v>32</v>
      </c>
      <c r="N33" s="26">
        <v>448</v>
      </c>
      <c r="O33" s="26"/>
      <c r="P33" s="24"/>
      <c r="Q33" s="255"/>
      <c r="R33" s="256"/>
      <c r="S33" s="255"/>
      <c r="T33" s="256"/>
      <c r="U33" s="256"/>
      <c r="V33" s="256"/>
      <c r="W33" s="24" t="s">
        <v>87</v>
      </c>
      <c r="X33" s="24"/>
      <c r="Y33" s="24"/>
      <c r="Z33" s="24"/>
    </row>
    <row r="34" spans="2:26" ht="11.1" customHeight="1" x14ac:dyDescent="0.2">
      <c r="B34" s="254">
        <v>31868</v>
      </c>
      <c r="C34" s="25" t="s">
        <v>91</v>
      </c>
      <c r="D34" s="21" t="s">
        <v>230</v>
      </c>
      <c r="E34" s="24" t="s">
        <v>231</v>
      </c>
      <c r="F34" s="26">
        <v>10046</v>
      </c>
      <c r="G34" s="26">
        <v>10046</v>
      </c>
      <c r="H34" s="26">
        <v>2017</v>
      </c>
      <c r="I34" s="26">
        <v>1430</v>
      </c>
      <c r="J34" s="26">
        <v>587</v>
      </c>
      <c r="K34" s="26"/>
      <c r="L34" s="26">
        <v>671</v>
      </c>
      <c r="M34" s="26">
        <v>521</v>
      </c>
      <c r="N34" s="26">
        <v>238</v>
      </c>
      <c r="O34" s="26"/>
      <c r="P34" s="24"/>
      <c r="Q34" s="255"/>
      <c r="R34" s="256"/>
      <c r="S34" s="255"/>
      <c r="T34" s="256"/>
      <c r="U34" s="256"/>
      <c r="V34" s="256"/>
      <c r="W34" s="24" t="s">
        <v>87</v>
      </c>
      <c r="X34" s="24"/>
      <c r="Y34" s="24"/>
      <c r="Z34" s="24"/>
    </row>
    <row r="35" spans="2:26" ht="11.1" customHeight="1" x14ac:dyDescent="0.2">
      <c r="B35" s="254">
        <v>32234</v>
      </c>
      <c r="C35" s="25" t="s">
        <v>92</v>
      </c>
      <c r="D35" s="21" t="s">
        <v>226</v>
      </c>
      <c r="E35" s="24" t="s">
        <v>227</v>
      </c>
      <c r="F35" s="26">
        <v>66455</v>
      </c>
      <c r="G35" s="26">
        <v>66455</v>
      </c>
      <c r="H35" s="26">
        <v>24256</v>
      </c>
      <c r="I35" s="26">
        <v>22271</v>
      </c>
      <c r="J35" s="26">
        <v>1985</v>
      </c>
      <c r="K35" s="26"/>
      <c r="L35" s="26">
        <v>17854</v>
      </c>
      <c r="M35" s="26">
        <v>4370</v>
      </c>
      <c r="N35" s="26">
        <v>47</v>
      </c>
      <c r="O35" s="26"/>
      <c r="P35" s="24"/>
      <c r="Q35" s="255"/>
      <c r="R35" s="256"/>
      <c r="S35" s="255"/>
      <c r="T35" s="256"/>
      <c r="U35" s="256"/>
      <c r="V35" s="256"/>
      <c r="W35" s="24" t="s">
        <v>87</v>
      </c>
      <c r="X35" s="24"/>
      <c r="Y35" s="24"/>
      <c r="Z35" s="24"/>
    </row>
    <row r="36" spans="2:26" ht="11.1" customHeight="1" x14ac:dyDescent="0.2">
      <c r="B36" s="254">
        <v>32234</v>
      </c>
      <c r="C36" s="25" t="s">
        <v>92</v>
      </c>
      <c r="D36" s="21" t="s">
        <v>228</v>
      </c>
      <c r="E36" s="24" t="s">
        <v>229</v>
      </c>
      <c r="F36" s="26">
        <v>13270</v>
      </c>
      <c r="G36" s="26">
        <v>13270</v>
      </c>
      <c r="H36" s="26">
        <v>3011</v>
      </c>
      <c r="I36" s="26">
        <v>1626</v>
      </c>
      <c r="J36" s="26">
        <v>1385</v>
      </c>
      <c r="K36" s="26"/>
      <c r="L36" s="26">
        <v>1177</v>
      </c>
      <c r="M36" s="26">
        <v>28</v>
      </c>
      <c r="N36" s="26">
        <v>421</v>
      </c>
      <c r="O36" s="26"/>
      <c r="P36" s="24"/>
      <c r="Q36" s="255"/>
      <c r="R36" s="256"/>
      <c r="S36" s="255"/>
      <c r="T36" s="256"/>
      <c r="U36" s="256"/>
      <c r="V36" s="256"/>
      <c r="W36" s="24" t="s">
        <v>87</v>
      </c>
      <c r="X36" s="24"/>
      <c r="Y36" s="24"/>
      <c r="Z36" s="24"/>
    </row>
    <row r="37" spans="2:26" ht="11.1" customHeight="1" x14ac:dyDescent="0.2">
      <c r="B37" s="254">
        <v>32234</v>
      </c>
      <c r="C37" s="25" t="s">
        <v>92</v>
      </c>
      <c r="D37" s="21" t="s">
        <v>230</v>
      </c>
      <c r="E37" s="24" t="s">
        <v>231</v>
      </c>
      <c r="F37" s="26">
        <v>9973</v>
      </c>
      <c r="G37" s="26">
        <v>9973</v>
      </c>
      <c r="H37" s="26">
        <v>1682</v>
      </c>
      <c r="I37" s="26">
        <v>1134</v>
      </c>
      <c r="J37" s="26">
        <v>548</v>
      </c>
      <c r="K37" s="26"/>
      <c r="L37" s="26">
        <v>510</v>
      </c>
      <c r="M37" s="26">
        <v>451</v>
      </c>
      <c r="N37" s="26">
        <v>173</v>
      </c>
      <c r="O37" s="26"/>
      <c r="P37" s="24"/>
      <c r="Q37" s="255"/>
      <c r="R37" s="256"/>
      <c r="S37" s="255"/>
      <c r="T37" s="256"/>
      <c r="U37" s="256"/>
      <c r="V37" s="256"/>
      <c r="W37" s="24" t="s">
        <v>87</v>
      </c>
      <c r="X37" s="24"/>
      <c r="Y37" s="24"/>
      <c r="Z37" s="24"/>
    </row>
    <row r="38" spans="2:26" ht="11.1" customHeight="1" x14ac:dyDescent="0.2">
      <c r="B38" s="254">
        <v>32599</v>
      </c>
      <c r="C38" s="258" t="s">
        <v>232</v>
      </c>
      <c r="D38" s="21" t="s">
        <v>226</v>
      </c>
      <c r="E38" s="24" t="s">
        <v>227</v>
      </c>
      <c r="F38" s="26">
        <v>66059</v>
      </c>
      <c r="G38" s="26">
        <v>66059</v>
      </c>
      <c r="H38" s="26">
        <v>24112</v>
      </c>
      <c r="I38" s="26">
        <v>23495</v>
      </c>
      <c r="J38" s="26">
        <v>617</v>
      </c>
      <c r="K38" s="26"/>
      <c r="L38" s="26">
        <v>18947</v>
      </c>
      <c r="M38" s="26">
        <v>4223</v>
      </c>
      <c r="N38" s="26">
        <v>325</v>
      </c>
      <c r="O38" s="26"/>
      <c r="P38" s="24"/>
      <c r="Q38" s="255"/>
      <c r="R38" s="256"/>
      <c r="S38" s="255"/>
      <c r="T38" s="256"/>
      <c r="U38" s="256"/>
      <c r="V38" s="256"/>
      <c r="W38" s="24" t="s">
        <v>87</v>
      </c>
      <c r="X38" s="24"/>
      <c r="Y38" s="24"/>
      <c r="Z38" s="24"/>
    </row>
    <row r="39" spans="2:26" ht="11.1" customHeight="1" x14ac:dyDescent="0.2">
      <c r="B39" s="254">
        <v>32599</v>
      </c>
      <c r="C39" s="258" t="s">
        <v>232</v>
      </c>
      <c r="D39" s="21" t="s">
        <v>228</v>
      </c>
      <c r="E39" s="24" t="s">
        <v>229</v>
      </c>
      <c r="F39" s="26">
        <v>13133</v>
      </c>
      <c r="G39" s="26">
        <v>13133</v>
      </c>
      <c r="H39" s="26">
        <v>3206</v>
      </c>
      <c r="I39" s="26">
        <v>1830</v>
      </c>
      <c r="J39" s="26">
        <v>1376</v>
      </c>
      <c r="K39" s="26"/>
      <c r="L39" s="26">
        <v>1338</v>
      </c>
      <c r="M39" s="26">
        <v>277</v>
      </c>
      <c r="N39" s="26">
        <v>215</v>
      </c>
      <c r="O39" s="26"/>
      <c r="P39" s="24"/>
      <c r="Q39" s="255"/>
      <c r="R39" s="256"/>
      <c r="S39" s="255"/>
      <c r="T39" s="256"/>
      <c r="U39" s="256"/>
      <c r="V39" s="256"/>
      <c r="W39" s="24" t="s">
        <v>87</v>
      </c>
      <c r="X39" s="24"/>
      <c r="Y39" s="24"/>
      <c r="Z39" s="24"/>
    </row>
    <row r="40" spans="2:26" ht="11.1" customHeight="1" x14ac:dyDescent="0.2">
      <c r="B40" s="254">
        <v>32599</v>
      </c>
      <c r="C40" s="258" t="s">
        <v>232</v>
      </c>
      <c r="D40" s="21" t="s">
        <v>230</v>
      </c>
      <c r="E40" s="24" t="s">
        <v>231</v>
      </c>
      <c r="F40" s="26">
        <v>9858</v>
      </c>
      <c r="G40" s="26">
        <v>9858</v>
      </c>
      <c r="H40" s="26">
        <v>1915</v>
      </c>
      <c r="I40" s="26">
        <v>1415</v>
      </c>
      <c r="J40" s="26">
        <v>500</v>
      </c>
      <c r="K40" s="26"/>
      <c r="L40" s="26">
        <v>650</v>
      </c>
      <c r="M40" s="26">
        <v>569</v>
      </c>
      <c r="N40" s="26">
        <v>196</v>
      </c>
      <c r="O40" s="26"/>
      <c r="P40" s="24"/>
      <c r="Q40" s="255"/>
      <c r="R40" s="256"/>
      <c r="S40" s="255"/>
      <c r="T40" s="256"/>
      <c r="U40" s="256"/>
      <c r="V40" s="256"/>
      <c r="W40" s="24" t="s">
        <v>87</v>
      </c>
      <c r="X40" s="24"/>
      <c r="Y40" s="24"/>
      <c r="Z40" s="24"/>
    </row>
    <row r="41" spans="2:26" ht="11.1" customHeight="1" x14ac:dyDescent="0.2">
      <c r="B41" s="254">
        <v>32964</v>
      </c>
      <c r="C41" s="258" t="s">
        <v>93</v>
      </c>
      <c r="D41" s="21" t="s">
        <v>226</v>
      </c>
      <c r="E41" s="24" t="s">
        <v>227</v>
      </c>
      <c r="F41" s="26">
        <v>65480</v>
      </c>
      <c r="G41" s="26">
        <v>65480</v>
      </c>
      <c r="H41" s="26">
        <v>24941</v>
      </c>
      <c r="I41" s="26">
        <v>23953</v>
      </c>
      <c r="J41" s="26">
        <v>988</v>
      </c>
      <c r="K41" s="26"/>
      <c r="L41" s="26">
        <v>19270</v>
      </c>
      <c r="M41" s="26">
        <v>4551</v>
      </c>
      <c r="N41" s="26">
        <v>132</v>
      </c>
      <c r="O41" s="26"/>
      <c r="P41" s="24"/>
      <c r="Q41" s="255"/>
      <c r="R41" s="256"/>
      <c r="S41" s="255"/>
      <c r="T41" s="256"/>
      <c r="U41" s="256"/>
      <c r="V41" s="256"/>
      <c r="W41" s="24" t="s">
        <v>87</v>
      </c>
      <c r="X41" s="24"/>
      <c r="Y41" s="24"/>
      <c r="Z41" s="24"/>
    </row>
    <row r="42" spans="2:26" ht="11.1" customHeight="1" x14ac:dyDescent="0.2">
      <c r="B42" s="254">
        <v>32964</v>
      </c>
      <c r="C42" s="258" t="s">
        <v>93</v>
      </c>
      <c r="D42" s="21" t="s">
        <v>228</v>
      </c>
      <c r="E42" s="24" t="s">
        <v>229</v>
      </c>
      <c r="F42" s="26">
        <v>13054</v>
      </c>
      <c r="G42" s="26">
        <v>13054</v>
      </c>
      <c r="H42" s="26">
        <v>2970</v>
      </c>
      <c r="I42" s="26">
        <v>1780</v>
      </c>
      <c r="J42" s="26">
        <v>1190</v>
      </c>
      <c r="K42" s="26"/>
      <c r="L42" s="26">
        <v>1298</v>
      </c>
      <c r="M42" s="26">
        <v>149</v>
      </c>
      <c r="N42" s="26">
        <v>333</v>
      </c>
      <c r="O42" s="26"/>
      <c r="P42" s="24"/>
      <c r="Q42" s="255"/>
      <c r="R42" s="256"/>
      <c r="S42" s="255"/>
      <c r="T42" s="256"/>
      <c r="U42" s="256"/>
      <c r="V42" s="256"/>
      <c r="W42" s="24" t="s">
        <v>87</v>
      </c>
      <c r="X42" s="24"/>
      <c r="Y42" s="24"/>
      <c r="Z42" s="24"/>
    </row>
    <row r="43" spans="2:26" ht="11.1" customHeight="1" x14ac:dyDescent="0.2">
      <c r="B43" s="254">
        <v>32964</v>
      </c>
      <c r="C43" s="258" t="s">
        <v>93</v>
      </c>
      <c r="D43" s="21" t="s">
        <v>230</v>
      </c>
      <c r="E43" s="24" t="s">
        <v>231</v>
      </c>
      <c r="F43" s="26">
        <v>9772</v>
      </c>
      <c r="G43" s="26">
        <v>9772</v>
      </c>
      <c r="H43" s="26">
        <v>1914</v>
      </c>
      <c r="I43" s="26">
        <v>1340</v>
      </c>
      <c r="J43" s="26">
        <v>574</v>
      </c>
      <c r="K43" s="26"/>
      <c r="L43" s="26">
        <v>604</v>
      </c>
      <c r="M43" s="26">
        <v>492</v>
      </c>
      <c r="N43" s="26">
        <v>244</v>
      </c>
      <c r="O43" s="26"/>
      <c r="P43" s="24"/>
      <c r="Q43" s="255"/>
      <c r="R43" s="256"/>
      <c r="S43" s="255"/>
      <c r="T43" s="256"/>
      <c r="U43" s="256"/>
      <c r="V43" s="256"/>
      <c r="W43" s="24" t="s">
        <v>87</v>
      </c>
      <c r="X43" s="24"/>
      <c r="Y43" s="24"/>
      <c r="Z43" s="24"/>
    </row>
    <row r="44" spans="2:26" ht="11.1" customHeight="1" x14ac:dyDescent="0.2">
      <c r="B44" s="254">
        <v>33329</v>
      </c>
      <c r="C44" s="258" t="s">
        <v>94</v>
      </c>
      <c r="D44" s="21" t="s">
        <v>226</v>
      </c>
      <c r="E44" s="24" t="s">
        <v>227</v>
      </c>
      <c r="F44" s="26">
        <v>64964</v>
      </c>
      <c r="G44" s="26">
        <v>64964</v>
      </c>
      <c r="H44" s="26">
        <v>24676</v>
      </c>
      <c r="I44" s="26">
        <v>23707</v>
      </c>
      <c r="J44" s="26">
        <v>969</v>
      </c>
      <c r="K44" s="26"/>
      <c r="L44" s="26">
        <v>18945</v>
      </c>
      <c r="M44" s="26">
        <v>4643</v>
      </c>
      <c r="N44" s="26">
        <v>119</v>
      </c>
      <c r="O44" s="26"/>
      <c r="P44" s="24"/>
      <c r="Q44" s="255"/>
      <c r="R44" s="256"/>
      <c r="S44" s="255"/>
      <c r="T44" s="256"/>
      <c r="U44" s="256"/>
      <c r="V44" s="256"/>
      <c r="W44" s="24" t="s">
        <v>87</v>
      </c>
      <c r="X44" s="24"/>
      <c r="Y44" s="24"/>
      <c r="Z44" s="24"/>
    </row>
    <row r="45" spans="2:26" ht="11.1" customHeight="1" x14ac:dyDescent="0.2">
      <c r="B45" s="254">
        <v>33329</v>
      </c>
      <c r="C45" s="258" t="s">
        <v>94</v>
      </c>
      <c r="D45" s="21" t="s">
        <v>228</v>
      </c>
      <c r="E45" s="24" t="s">
        <v>229</v>
      </c>
      <c r="F45" s="26">
        <v>12953</v>
      </c>
      <c r="G45" s="26">
        <v>12953</v>
      </c>
      <c r="H45" s="26">
        <v>3083</v>
      </c>
      <c r="I45" s="26">
        <v>1907</v>
      </c>
      <c r="J45" s="26">
        <v>1176</v>
      </c>
      <c r="K45" s="26"/>
      <c r="L45" s="26">
        <v>1503</v>
      </c>
      <c r="M45" s="26">
        <v>261</v>
      </c>
      <c r="N45" s="26">
        <v>143</v>
      </c>
      <c r="O45" s="26"/>
      <c r="P45" s="24"/>
      <c r="Q45" s="255"/>
      <c r="R45" s="256"/>
      <c r="S45" s="255"/>
      <c r="T45" s="256"/>
      <c r="U45" s="256"/>
      <c r="V45" s="256"/>
      <c r="W45" s="24" t="s">
        <v>87</v>
      </c>
      <c r="X45" s="24"/>
      <c r="Y45" s="24"/>
      <c r="Z45" s="24"/>
    </row>
    <row r="46" spans="2:26" ht="11.1" customHeight="1" x14ac:dyDescent="0.2">
      <c r="B46" s="254">
        <v>33329</v>
      </c>
      <c r="C46" s="258" t="s">
        <v>94</v>
      </c>
      <c r="D46" s="21" t="s">
        <v>230</v>
      </c>
      <c r="E46" s="24" t="s">
        <v>231</v>
      </c>
      <c r="F46" s="26">
        <v>9654</v>
      </c>
      <c r="G46" s="26">
        <v>9654</v>
      </c>
      <c r="H46" s="26">
        <v>1895</v>
      </c>
      <c r="I46" s="26">
        <v>1321</v>
      </c>
      <c r="J46" s="26">
        <v>574</v>
      </c>
      <c r="K46" s="26"/>
      <c r="L46" s="26">
        <v>645</v>
      </c>
      <c r="M46" s="26">
        <v>535</v>
      </c>
      <c r="N46" s="26">
        <v>141</v>
      </c>
      <c r="O46" s="26"/>
      <c r="P46" s="24"/>
      <c r="Q46" s="255"/>
      <c r="R46" s="256"/>
      <c r="S46" s="255"/>
      <c r="T46" s="256"/>
      <c r="U46" s="256"/>
      <c r="V46" s="256"/>
      <c r="W46" s="24" t="s">
        <v>87</v>
      </c>
      <c r="X46" s="24"/>
      <c r="Y46" s="24"/>
      <c r="Z46" s="24"/>
    </row>
    <row r="47" spans="2:26" ht="11.1" customHeight="1" x14ac:dyDescent="0.2">
      <c r="B47" s="254">
        <v>33695</v>
      </c>
      <c r="C47" s="258" t="s">
        <v>95</v>
      </c>
      <c r="D47" s="21" t="s">
        <v>226</v>
      </c>
      <c r="E47" s="24" t="s">
        <v>227</v>
      </c>
      <c r="F47" s="26">
        <v>64449</v>
      </c>
      <c r="G47" s="26">
        <v>64449</v>
      </c>
      <c r="H47" s="26">
        <v>25542</v>
      </c>
      <c r="I47" s="26">
        <v>24577</v>
      </c>
      <c r="J47" s="26">
        <v>965</v>
      </c>
      <c r="K47" s="26"/>
      <c r="L47" s="26">
        <v>19372</v>
      </c>
      <c r="M47" s="26">
        <v>5035</v>
      </c>
      <c r="N47" s="26">
        <v>170</v>
      </c>
      <c r="O47" s="26"/>
      <c r="P47" s="24"/>
      <c r="Q47" s="255"/>
      <c r="R47" s="256"/>
      <c r="S47" s="255"/>
      <c r="T47" s="256"/>
      <c r="U47" s="256"/>
      <c r="V47" s="256"/>
      <c r="W47" s="24" t="s">
        <v>87</v>
      </c>
      <c r="X47" s="24"/>
      <c r="Y47" s="24"/>
      <c r="Z47" s="24"/>
    </row>
    <row r="48" spans="2:26" ht="11.1" customHeight="1" x14ac:dyDescent="0.2">
      <c r="B48" s="254">
        <v>33695</v>
      </c>
      <c r="C48" s="258" t="s">
        <v>95</v>
      </c>
      <c r="D48" s="21" t="s">
        <v>228</v>
      </c>
      <c r="E48" s="24" t="s">
        <v>229</v>
      </c>
      <c r="F48" s="26">
        <v>12912</v>
      </c>
      <c r="G48" s="26">
        <v>12912</v>
      </c>
      <c r="H48" s="26">
        <v>3267</v>
      </c>
      <c r="I48" s="26">
        <v>2096</v>
      </c>
      <c r="J48" s="26">
        <v>1171</v>
      </c>
      <c r="K48" s="26"/>
      <c r="L48" s="26">
        <v>1591</v>
      </c>
      <c r="M48" s="26">
        <v>298</v>
      </c>
      <c r="N48" s="26">
        <v>207</v>
      </c>
      <c r="O48" s="26"/>
      <c r="P48" s="24"/>
      <c r="Q48" s="255"/>
      <c r="R48" s="256"/>
      <c r="S48" s="255"/>
      <c r="T48" s="256"/>
      <c r="U48" s="256"/>
      <c r="V48" s="256"/>
      <c r="W48" s="24" t="s">
        <v>87</v>
      </c>
      <c r="X48" s="24"/>
      <c r="Y48" s="24"/>
      <c r="Z48" s="24"/>
    </row>
    <row r="49" spans="2:26" ht="11.1" customHeight="1" x14ac:dyDescent="0.2">
      <c r="B49" s="254">
        <v>33695</v>
      </c>
      <c r="C49" s="258" t="s">
        <v>95</v>
      </c>
      <c r="D49" s="21" t="s">
        <v>230</v>
      </c>
      <c r="E49" s="24" t="s">
        <v>231</v>
      </c>
      <c r="F49" s="26">
        <v>9587</v>
      </c>
      <c r="G49" s="26">
        <v>9587</v>
      </c>
      <c r="H49" s="26">
        <v>1885</v>
      </c>
      <c r="I49" s="26">
        <v>1315</v>
      </c>
      <c r="J49" s="26">
        <v>570</v>
      </c>
      <c r="K49" s="26"/>
      <c r="L49" s="26">
        <v>683</v>
      </c>
      <c r="M49" s="26">
        <v>500</v>
      </c>
      <c r="N49" s="26">
        <v>132</v>
      </c>
      <c r="O49" s="26"/>
      <c r="P49" s="24"/>
      <c r="Q49" s="255"/>
      <c r="R49" s="256"/>
      <c r="S49" s="255"/>
      <c r="T49" s="256"/>
      <c r="U49" s="256"/>
      <c r="V49" s="256"/>
      <c r="W49" s="24" t="s">
        <v>87</v>
      </c>
      <c r="X49" s="24"/>
      <c r="Y49" s="24"/>
      <c r="Z49" s="24"/>
    </row>
    <row r="50" spans="2:26" ht="11.1" customHeight="1" x14ac:dyDescent="0.2">
      <c r="B50" s="254">
        <v>34060</v>
      </c>
      <c r="C50" s="258" t="s">
        <v>96</v>
      </c>
      <c r="D50" s="21" t="s">
        <v>226</v>
      </c>
      <c r="E50" s="24" t="s">
        <v>227</v>
      </c>
      <c r="F50" s="26">
        <v>63988</v>
      </c>
      <c r="G50" s="26">
        <v>63988</v>
      </c>
      <c r="H50" s="26">
        <v>25165</v>
      </c>
      <c r="I50" s="26">
        <v>24200</v>
      </c>
      <c r="J50" s="26">
        <v>965</v>
      </c>
      <c r="K50" s="26"/>
      <c r="L50" s="26">
        <v>19464</v>
      </c>
      <c r="M50" s="26">
        <v>4685</v>
      </c>
      <c r="N50" s="26">
        <v>51</v>
      </c>
      <c r="O50" s="26"/>
      <c r="P50" s="24"/>
      <c r="Q50" s="255"/>
      <c r="R50" s="256"/>
      <c r="S50" s="255"/>
      <c r="T50" s="256"/>
      <c r="U50" s="256"/>
      <c r="V50" s="256"/>
      <c r="W50" s="24" t="s">
        <v>87</v>
      </c>
      <c r="X50" s="24"/>
      <c r="Y50" s="24"/>
      <c r="Z50" s="24"/>
    </row>
    <row r="51" spans="2:26" ht="11.1" customHeight="1" x14ac:dyDescent="0.2">
      <c r="B51" s="254">
        <v>34060</v>
      </c>
      <c r="C51" s="258" t="s">
        <v>96</v>
      </c>
      <c r="D51" s="21" t="s">
        <v>228</v>
      </c>
      <c r="E51" s="24" t="s">
        <v>229</v>
      </c>
      <c r="F51" s="26">
        <v>12844</v>
      </c>
      <c r="G51" s="26">
        <v>12844</v>
      </c>
      <c r="H51" s="26">
        <v>3077</v>
      </c>
      <c r="I51" s="26">
        <v>1911</v>
      </c>
      <c r="J51" s="26">
        <v>1166</v>
      </c>
      <c r="K51" s="26"/>
      <c r="L51" s="26">
        <v>1358</v>
      </c>
      <c r="M51" s="26">
        <v>353</v>
      </c>
      <c r="N51" s="26">
        <v>200</v>
      </c>
      <c r="O51" s="26"/>
      <c r="P51" s="24"/>
      <c r="Q51" s="255"/>
      <c r="R51" s="256"/>
      <c r="S51" s="255"/>
      <c r="T51" s="256"/>
      <c r="U51" s="256"/>
      <c r="V51" s="256"/>
      <c r="W51" s="24" t="s">
        <v>87</v>
      </c>
      <c r="X51" s="24"/>
      <c r="Y51" s="24"/>
      <c r="Z51" s="24"/>
    </row>
    <row r="52" spans="2:26" ht="11.1" customHeight="1" x14ac:dyDescent="0.2">
      <c r="B52" s="254">
        <v>34060</v>
      </c>
      <c r="C52" s="258" t="s">
        <v>96</v>
      </c>
      <c r="D52" s="21" t="s">
        <v>230</v>
      </c>
      <c r="E52" s="24" t="s">
        <v>231</v>
      </c>
      <c r="F52" s="26">
        <v>9514</v>
      </c>
      <c r="G52" s="26">
        <v>9514</v>
      </c>
      <c r="H52" s="26">
        <v>1881</v>
      </c>
      <c r="I52" s="26">
        <v>946</v>
      </c>
      <c r="J52" s="26">
        <v>935</v>
      </c>
      <c r="K52" s="26"/>
      <c r="L52" s="26">
        <v>545</v>
      </c>
      <c r="M52" s="26">
        <v>317</v>
      </c>
      <c r="N52" s="26">
        <v>84</v>
      </c>
      <c r="O52" s="26"/>
      <c r="P52" s="24"/>
      <c r="Q52" s="255"/>
      <c r="R52" s="256"/>
      <c r="S52" s="255"/>
      <c r="T52" s="256"/>
      <c r="U52" s="256"/>
      <c r="V52" s="256"/>
      <c r="W52" s="24" t="s">
        <v>87</v>
      </c>
      <c r="X52" s="24"/>
      <c r="Y52" s="24"/>
      <c r="Z52" s="24"/>
    </row>
    <row r="53" spans="2:26" ht="11.1" customHeight="1" x14ac:dyDescent="0.2">
      <c r="B53" s="254">
        <v>34425</v>
      </c>
      <c r="C53" s="258" t="s">
        <v>97</v>
      </c>
      <c r="D53" s="21" t="s">
        <v>226</v>
      </c>
      <c r="E53" s="10" t="s">
        <v>227</v>
      </c>
      <c r="F53" s="31">
        <v>63595</v>
      </c>
      <c r="G53" s="31">
        <v>63595</v>
      </c>
      <c r="H53" s="31">
        <v>24438</v>
      </c>
      <c r="I53" s="31">
        <v>23476</v>
      </c>
      <c r="J53" s="31">
        <v>962</v>
      </c>
      <c r="K53" s="31"/>
      <c r="L53" s="31">
        <v>18907</v>
      </c>
      <c r="M53" s="31">
        <v>4221</v>
      </c>
      <c r="N53" s="31">
        <v>348</v>
      </c>
      <c r="O53" s="31"/>
      <c r="P53" s="10"/>
      <c r="Q53" s="259"/>
      <c r="R53" s="260"/>
      <c r="S53" s="259"/>
      <c r="T53" s="260"/>
      <c r="U53" s="260"/>
      <c r="V53" s="260"/>
      <c r="W53" s="10" t="s">
        <v>87</v>
      </c>
      <c r="X53" s="10"/>
      <c r="Y53" s="10"/>
      <c r="Z53" s="10"/>
    </row>
    <row r="54" spans="2:26" ht="11.1" customHeight="1" x14ac:dyDescent="0.2">
      <c r="B54" s="254">
        <v>34425</v>
      </c>
      <c r="C54" s="258" t="s">
        <v>97</v>
      </c>
      <c r="D54" s="21" t="s">
        <v>228</v>
      </c>
      <c r="E54" s="10" t="s">
        <v>229</v>
      </c>
      <c r="F54" s="31">
        <v>12754</v>
      </c>
      <c r="G54" s="31">
        <v>12754</v>
      </c>
      <c r="H54" s="31">
        <v>3250</v>
      </c>
      <c r="I54" s="31">
        <v>2051</v>
      </c>
      <c r="J54" s="31">
        <v>1199</v>
      </c>
      <c r="K54" s="31"/>
      <c r="L54" s="31">
        <v>1203</v>
      </c>
      <c r="M54" s="31">
        <v>447</v>
      </c>
      <c r="N54" s="31">
        <v>401</v>
      </c>
      <c r="O54" s="31"/>
      <c r="P54" s="10"/>
      <c r="Q54" s="259"/>
      <c r="R54" s="260"/>
      <c r="S54" s="259"/>
      <c r="T54" s="260"/>
      <c r="U54" s="260"/>
      <c r="V54" s="260"/>
      <c r="W54" s="10" t="s">
        <v>87</v>
      </c>
      <c r="X54" s="10"/>
      <c r="Y54" s="10"/>
      <c r="Z54" s="10"/>
    </row>
    <row r="55" spans="2:26" ht="11.1" customHeight="1" x14ac:dyDescent="0.2">
      <c r="B55" s="254">
        <v>34425</v>
      </c>
      <c r="C55" s="258" t="s">
        <v>97</v>
      </c>
      <c r="D55" s="21" t="s">
        <v>230</v>
      </c>
      <c r="E55" s="10" t="s">
        <v>231</v>
      </c>
      <c r="F55" s="31">
        <v>9466</v>
      </c>
      <c r="G55" s="31">
        <v>9466</v>
      </c>
      <c r="H55" s="31">
        <v>1872</v>
      </c>
      <c r="I55" s="31">
        <v>867</v>
      </c>
      <c r="J55" s="31">
        <v>1005</v>
      </c>
      <c r="K55" s="31"/>
      <c r="L55" s="31">
        <v>503</v>
      </c>
      <c r="M55" s="31">
        <v>287</v>
      </c>
      <c r="N55" s="31">
        <v>77</v>
      </c>
      <c r="O55" s="31"/>
      <c r="P55" s="10"/>
      <c r="Q55" s="259"/>
      <c r="R55" s="260"/>
      <c r="S55" s="259"/>
      <c r="T55" s="260"/>
      <c r="U55" s="260"/>
      <c r="V55" s="260"/>
      <c r="W55" s="10" t="s">
        <v>87</v>
      </c>
      <c r="X55" s="10"/>
      <c r="Y55" s="10"/>
      <c r="Z55" s="10"/>
    </row>
    <row r="56" spans="2:26" ht="11.1" customHeight="1" x14ac:dyDescent="0.2">
      <c r="B56" s="254">
        <v>34790</v>
      </c>
      <c r="C56" s="261" t="s">
        <v>98</v>
      </c>
      <c r="D56" s="262" t="s">
        <v>226</v>
      </c>
      <c r="E56" s="10" t="s">
        <v>227</v>
      </c>
      <c r="F56" s="31"/>
      <c r="G56" s="31"/>
      <c r="H56" s="31"/>
      <c r="I56" s="31"/>
      <c r="J56" s="31"/>
      <c r="K56" s="31"/>
      <c r="L56" s="31"/>
      <c r="M56" s="31"/>
      <c r="N56" s="31"/>
      <c r="O56" s="31"/>
      <c r="P56" s="10"/>
      <c r="Q56" s="259"/>
      <c r="R56" s="260"/>
      <c r="S56" s="259"/>
      <c r="T56" s="260"/>
      <c r="U56" s="260"/>
      <c r="V56" s="260"/>
      <c r="W56" s="10" t="s">
        <v>87</v>
      </c>
      <c r="X56" s="10"/>
      <c r="Y56" s="10"/>
      <c r="Z56" s="10"/>
    </row>
    <row r="57" spans="2:26" ht="11.1" customHeight="1" x14ac:dyDescent="0.2">
      <c r="B57" s="254">
        <v>34790</v>
      </c>
      <c r="C57" s="261" t="s">
        <v>98</v>
      </c>
      <c r="D57" s="262" t="s">
        <v>228</v>
      </c>
      <c r="E57" s="10" t="s">
        <v>229</v>
      </c>
      <c r="F57" s="31"/>
      <c r="G57" s="31"/>
      <c r="H57" s="31"/>
      <c r="I57" s="31"/>
      <c r="J57" s="31"/>
      <c r="K57" s="31"/>
      <c r="L57" s="31"/>
      <c r="M57" s="31"/>
      <c r="N57" s="31"/>
      <c r="O57" s="31"/>
      <c r="P57" s="10"/>
      <c r="Q57" s="259"/>
      <c r="R57" s="260"/>
      <c r="S57" s="259"/>
      <c r="T57" s="260"/>
      <c r="U57" s="260"/>
      <c r="V57" s="260"/>
      <c r="W57" s="10" t="s">
        <v>87</v>
      </c>
      <c r="X57" s="10"/>
      <c r="Y57" s="10"/>
      <c r="Z57" s="10"/>
    </row>
    <row r="58" spans="2:26" ht="11.1" customHeight="1" x14ac:dyDescent="0.2">
      <c r="B58" s="254">
        <v>34790</v>
      </c>
      <c r="C58" s="261" t="s">
        <v>98</v>
      </c>
      <c r="D58" s="262" t="s">
        <v>230</v>
      </c>
      <c r="E58" s="10" t="s">
        <v>231</v>
      </c>
      <c r="F58" s="31"/>
      <c r="G58" s="31"/>
      <c r="H58" s="31"/>
      <c r="I58" s="31"/>
      <c r="J58" s="31"/>
      <c r="K58" s="31"/>
      <c r="L58" s="31"/>
      <c r="M58" s="31"/>
      <c r="N58" s="31"/>
      <c r="O58" s="31"/>
      <c r="P58" s="10"/>
      <c r="Q58" s="259"/>
      <c r="R58" s="260"/>
      <c r="S58" s="259"/>
      <c r="T58" s="260"/>
      <c r="U58" s="260"/>
      <c r="V58" s="260"/>
      <c r="W58" s="10" t="s">
        <v>87</v>
      </c>
      <c r="X58" s="10"/>
      <c r="Y58" s="10"/>
      <c r="Z58" s="10"/>
    </row>
    <row r="59" spans="2:26" ht="11.1" customHeight="1" x14ac:dyDescent="0.2">
      <c r="B59" s="254">
        <v>35156</v>
      </c>
      <c r="C59" s="261" t="s">
        <v>99</v>
      </c>
      <c r="D59" s="262" t="s">
        <v>226</v>
      </c>
      <c r="E59" s="10" t="s">
        <v>227</v>
      </c>
      <c r="F59" s="31"/>
      <c r="G59" s="31"/>
      <c r="H59" s="31"/>
      <c r="I59" s="31"/>
      <c r="J59" s="31"/>
      <c r="K59" s="31"/>
      <c r="L59" s="31"/>
      <c r="M59" s="31"/>
      <c r="N59" s="31"/>
      <c r="O59" s="31"/>
      <c r="P59" s="10"/>
      <c r="Q59" s="259"/>
      <c r="R59" s="260"/>
      <c r="S59" s="259"/>
      <c r="T59" s="260"/>
      <c r="U59" s="260"/>
      <c r="V59" s="260"/>
      <c r="W59" s="10" t="s">
        <v>87</v>
      </c>
      <c r="X59" s="10"/>
      <c r="Y59" s="10"/>
      <c r="Z59" s="10"/>
    </row>
    <row r="60" spans="2:26" ht="11.1" customHeight="1" x14ac:dyDescent="0.2">
      <c r="B60" s="254">
        <v>35156</v>
      </c>
      <c r="C60" s="261" t="s">
        <v>99</v>
      </c>
      <c r="D60" s="262" t="s">
        <v>228</v>
      </c>
      <c r="E60" s="10" t="s">
        <v>229</v>
      </c>
      <c r="F60" s="31"/>
      <c r="G60" s="31"/>
      <c r="H60" s="31"/>
      <c r="I60" s="31"/>
      <c r="J60" s="31"/>
      <c r="K60" s="31"/>
      <c r="L60" s="31"/>
      <c r="M60" s="31"/>
      <c r="N60" s="31"/>
      <c r="O60" s="31"/>
      <c r="P60" s="10"/>
      <c r="Q60" s="259"/>
      <c r="R60" s="260"/>
      <c r="S60" s="259"/>
      <c r="T60" s="260"/>
      <c r="U60" s="260"/>
      <c r="V60" s="260"/>
      <c r="W60" s="10" t="s">
        <v>87</v>
      </c>
      <c r="X60" s="10"/>
      <c r="Y60" s="10"/>
      <c r="Z60" s="10"/>
    </row>
    <row r="61" spans="2:26" ht="11.1" customHeight="1" x14ac:dyDescent="0.2">
      <c r="B61" s="254">
        <v>35156</v>
      </c>
      <c r="C61" s="261" t="s">
        <v>99</v>
      </c>
      <c r="D61" s="262" t="s">
        <v>230</v>
      </c>
      <c r="E61" s="10" t="s">
        <v>231</v>
      </c>
      <c r="F61" s="31"/>
      <c r="G61" s="31"/>
      <c r="H61" s="31"/>
      <c r="I61" s="31"/>
      <c r="J61" s="31"/>
      <c r="K61" s="31"/>
      <c r="L61" s="31"/>
      <c r="M61" s="31"/>
      <c r="N61" s="31"/>
      <c r="O61" s="31"/>
      <c r="P61" s="10"/>
      <c r="Q61" s="259"/>
      <c r="R61" s="260"/>
      <c r="S61" s="259"/>
      <c r="T61" s="260"/>
      <c r="U61" s="260"/>
      <c r="V61" s="260"/>
      <c r="W61" s="10" t="s">
        <v>87</v>
      </c>
      <c r="X61" s="10"/>
      <c r="Y61" s="10"/>
      <c r="Z61" s="10"/>
    </row>
    <row r="62" spans="2:26" ht="11.1" customHeight="1" x14ac:dyDescent="0.2">
      <c r="B62" s="254">
        <v>35521</v>
      </c>
      <c r="C62" s="258" t="s">
        <v>233</v>
      </c>
      <c r="D62" s="21" t="s">
        <v>226</v>
      </c>
      <c r="E62" s="10" t="s">
        <v>227</v>
      </c>
      <c r="F62" s="31">
        <v>62555</v>
      </c>
      <c r="G62" s="31">
        <v>62555</v>
      </c>
      <c r="H62" s="31">
        <v>20422</v>
      </c>
      <c r="I62" s="31">
        <v>20422</v>
      </c>
      <c r="J62" s="31"/>
      <c r="K62" s="31"/>
      <c r="L62" s="31">
        <v>16352</v>
      </c>
      <c r="M62" s="31">
        <v>2014</v>
      </c>
      <c r="N62" s="31">
        <v>2056</v>
      </c>
      <c r="O62" s="31"/>
      <c r="P62" s="260"/>
      <c r="Q62" s="259"/>
      <c r="R62" s="260"/>
      <c r="S62" s="259"/>
      <c r="T62" s="260"/>
      <c r="U62" s="260"/>
      <c r="V62" s="260"/>
      <c r="W62" s="10" t="s">
        <v>87</v>
      </c>
      <c r="X62" s="10"/>
      <c r="Y62" s="10"/>
      <c r="Z62" s="10"/>
    </row>
    <row r="63" spans="2:26" ht="11.1" customHeight="1" x14ac:dyDescent="0.2">
      <c r="B63" s="254">
        <v>35521</v>
      </c>
      <c r="C63" s="258" t="s">
        <v>233</v>
      </c>
      <c r="D63" s="21" t="s">
        <v>228</v>
      </c>
      <c r="E63" s="10" t="s">
        <v>229</v>
      </c>
      <c r="F63" s="31">
        <v>12678</v>
      </c>
      <c r="G63" s="31">
        <v>12678</v>
      </c>
      <c r="H63" s="31">
        <v>3327</v>
      </c>
      <c r="I63" s="31">
        <v>1904</v>
      </c>
      <c r="J63" s="31"/>
      <c r="K63" s="31"/>
      <c r="L63" s="31">
        <v>1508</v>
      </c>
      <c r="M63" s="31"/>
      <c r="N63" s="31">
        <v>396</v>
      </c>
      <c r="O63" s="31"/>
      <c r="P63" s="260"/>
      <c r="Q63" s="259"/>
      <c r="R63" s="260"/>
      <c r="S63" s="259"/>
      <c r="T63" s="260"/>
      <c r="U63" s="260"/>
      <c r="V63" s="260"/>
      <c r="W63" s="10" t="s">
        <v>87</v>
      </c>
      <c r="X63" s="10"/>
      <c r="Y63" s="10"/>
      <c r="Z63" s="10"/>
    </row>
    <row r="64" spans="2:26" ht="11.1" customHeight="1" x14ac:dyDescent="0.2">
      <c r="B64" s="254">
        <v>35521</v>
      </c>
      <c r="C64" s="258" t="s">
        <v>233</v>
      </c>
      <c r="D64" s="21" t="s">
        <v>230</v>
      </c>
      <c r="E64" s="10" t="s">
        <v>231</v>
      </c>
      <c r="F64" s="31">
        <v>9151</v>
      </c>
      <c r="G64" s="31">
        <v>9151</v>
      </c>
      <c r="H64" s="31">
        <v>1958</v>
      </c>
      <c r="I64" s="31">
        <v>986</v>
      </c>
      <c r="J64" s="31"/>
      <c r="K64" s="31"/>
      <c r="L64" s="31">
        <v>687</v>
      </c>
      <c r="M64" s="31">
        <v>49</v>
      </c>
      <c r="N64" s="31">
        <v>250</v>
      </c>
      <c r="O64" s="31"/>
      <c r="P64" s="260"/>
      <c r="Q64" s="259"/>
      <c r="R64" s="260"/>
      <c r="S64" s="259"/>
      <c r="T64" s="260"/>
      <c r="U64" s="260"/>
      <c r="V64" s="260"/>
      <c r="W64" s="10" t="s">
        <v>87</v>
      </c>
      <c r="X64" s="10"/>
      <c r="Y64" s="10"/>
      <c r="Z64" s="10"/>
    </row>
    <row r="65" spans="2:26" ht="11.1" customHeight="1" x14ac:dyDescent="0.2">
      <c r="B65" s="254">
        <v>35886</v>
      </c>
      <c r="C65" s="20" t="s">
        <v>22</v>
      </c>
      <c r="D65" s="21" t="s">
        <v>226</v>
      </c>
      <c r="E65" s="22" t="s">
        <v>227</v>
      </c>
      <c r="F65" s="206">
        <v>62498</v>
      </c>
      <c r="G65" s="206">
        <v>62498</v>
      </c>
      <c r="H65" s="206">
        <v>19145</v>
      </c>
      <c r="I65" s="206">
        <v>22086</v>
      </c>
      <c r="J65" s="206">
        <v>0</v>
      </c>
      <c r="K65" s="206">
        <v>117</v>
      </c>
      <c r="L65" s="206">
        <v>16734</v>
      </c>
      <c r="M65" s="206">
        <v>539</v>
      </c>
      <c r="N65" s="206">
        <v>3046</v>
      </c>
      <c r="O65" s="206">
        <v>1251</v>
      </c>
      <c r="P65" s="207">
        <v>21570</v>
      </c>
      <c r="Q65" s="263">
        <v>97.501159017153455</v>
      </c>
      <c r="R65" s="208">
        <v>1103</v>
      </c>
      <c r="S65" s="263">
        <v>11.393922626458247</v>
      </c>
      <c r="T65" s="208">
        <v>2689</v>
      </c>
      <c r="U65" s="208">
        <v>1727</v>
      </c>
      <c r="V65" s="207">
        <v>4955</v>
      </c>
      <c r="W65" s="22"/>
      <c r="X65" s="22"/>
      <c r="Y65" s="10"/>
      <c r="Z65" s="22"/>
    </row>
    <row r="66" spans="2:26" ht="11.1" customHeight="1" x14ac:dyDescent="0.2">
      <c r="B66" s="254">
        <v>35886</v>
      </c>
      <c r="C66" s="20" t="s">
        <v>22</v>
      </c>
      <c r="D66" s="21" t="s">
        <v>228</v>
      </c>
      <c r="E66" s="22" t="s">
        <v>229</v>
      </c>
      <c r="F66" s="206">
        <v>12623</v>
      </c>
      <c r="G66" s="206">
        <v>12623</v>
      </c>
      <c r="H66" s="206">
        <v>2163</v>
      </c>
      <c r="I66" s="206">
        <v>2263</v>
      </c>
      <c r="J66" s="206">
        <v>0</v>
      </c>
      <c r="K66" s="206">
        <v>132</v>
      </c>
      <c r="L66" s="206">
        <v>1738</v>
      </c>
      <c r="M66" s="206">
        <v>0</v>
      </c>
      <c r="N66" s="206">
        <v>474</v>
      </c>
      <c r="O66" s="206">
        <v>73</v>
      </c>
      <c r="P66" s="207">
        <v>2285</v>
      </c>
      <c r="Q66" s="263">
        <v>100</v>
      </c>
      <c r="R66" s="208">
        <v>353</v>
      </c>
      <c r="S66" s="263">
        <v>23.086470831609432</v>
      </c>
      <c r="T66" s="208">
        <v>187</v>
      </c>
      <c r="U66" s="208">
        <v>66</v>
      </c>
      <c r="V66" s="207">
        <v>253</v>
      </c>
      <c r="W66" s="22"/>
      <c r="X66" s="22"/>
      <c r="Y66" s="10"/>
      <c r="Z66" s="22"/>
    </row>
    <row r="67" spans="2:26" ht="11.1" customHeight="1" x14ac:dyDescent="0.2">
      <c r="B67" s="254">
        <v>35886</v>
      </c>
      <c r="C67" s="20" t="s">
        <v>22</v>
      </c>
      <c r="D67" s="21" t="s">
        <v>230</v>
      </c>
      <c r="E67" s="22" t="s">
        <v>231</v>
      </c>
      <c r="F67" s="206">
        <v>9140</v>
      </c>
      <c r="G67" s="206">
        <v>9140</v>
      </c>
      <c r="H67" s="206">
        <v>1070</v>
      </c>
      <c r="I67" s="206">
        <v>1196</v>
      </c>
      <c r="J67" s="206">
        <v>0</v>
      </c>
      <c r="K67" s="206">
        <v>0</v>
      </c>
      <c r="L67" s="206">
        <v>856</v>
      </c>
      <c r="M67" s="206">
        <v>0</v>
      </c>
      <c r="N67" s="206">
        <v>304</v>
      </c>
      <c r="O67" s="206">
        <v>176</v>
      </c>
      <c r="P67" s="207">
        <v>1336</v>
      </c>
      <c r="Q67" s="263">
        <v>100</v>
      </c>
      <c r="R67" s="208">
        <v>126</v>
      </c>
      <c r="S67" s="263">
        <v>22.604790419161677</v>
      </c>
      <c r="T67" s="208">
        <v>0</v>
      </c>
      <c r="U67" s="208">
        <v>0</v>
      </c>
      <c r="V67" s="207">
        <v>0</v>
      </c>
      <c r="W67" s="210"/>
      <c r="X67" s="210"/>
      <c r="Y67" s="36"/>
      <c r="Z67" s="210"/>
    </row>
    <row r="68" spans="2:26" ht="11.1" customHeight="1" x14ac:dyDescent="0.2">
      <c r="B68" s="254">
        <v>36251</v>
      </c>
      <c r="C68" s="20" t="s">
        <v>23</v>
      </c>
      <c r="D68" s="21" t="s">
        <v>226</v>
      </c>
      <c r="E68" s="264" t="s">
        <v>227</v>
      </c>
      <c r="F68" s="265">
        <v>62215</v>
      </c>
      <c r="G68" s="265">
        <v>62215</v>
      </c>
      <c r="H68" s="265">
        <v>19657</v>
      </c>
      <c r="I68" s="265">
        <v>22168</v>
      </c>
      <c r="J68" s="265">
        <v>0</v>
      </c>
      <c r="K68" s="265">
        <v>76</v>
      </c>
      <c r="L68" s="265">
        <v>17238</v>
      </c>
      <c r="M68" s="265">
        <v>776</v>
      </c>
      <c r="N68" s="265">
        <v>3121</v>
      </c>
      <c r="O68" s="265">
        <v>1258</v>
      </c>
      <c r="P68" s="207">
        <v>22393</v>
      </c>
      <c r="Q68" s="263">
        <v>96.534631358013669</v>
      </c>
      <c r="R68" s="266">
        <v>1124</v>
      </c>
      <c r="S68" s="263">
        <v>10.939516667408428</v>
      </c>
      <c r="T68" s="266">
        <v>1715</v>
      </c>
      <c r="U68" s="266">
        <v>1617</v>
      </c>
      <c r="V68" s="207">
        <v>4108</v>
      </c>
      <c r="W68" s="267"/>
      <c r="X68" s="210"/>
      <c r="Y68" s="36"/>
      <c r="Z68" s="210"/>
    </row>
    <row r="69" spans="2:26" ht="11.1" customHeight="1" x14ac:dyDescent="0.2">
      <c r="B69" s="254">
        <v>36251</v>
      </c>
      <c r="C69" s="20" t="s">
        <v>23</v>
      </c>
      <c r="D69" s="21" t="s">
        <v>228</v>
      </c>
      <c r="E69" s="264" t="s">
        <v>229</v>
      </c>
      <c r="F69" s="265">
        <v>12492</v>
      </c>
      <c r="G69" s="265">
        <v>12492</v>
      </c>
      <c r="H69" s="265">
        <v>2270</v>
      </c>
      <c r="I69" s="265">
        <v>2365</v>
      </c>
      <c r="J69" s="265">
        <v>0</v>
      </c>
      <c r="K69" s="265">
        <v>151</v>
      </c>
      <c r="L69" s="265">
        <v>1862</v>
      </c>
      <c r="M69" s="265">
        <v>0</v>
      </c>
      <c r="N69" s="265">
        <v>458</v>
      </c>
      <c r="O69" s="265">
        <v>69</v>
      </c>
      <c r="P69" s="207">
        <v>2389</v>
      </c>
      <c r="Q69" s="263">
        <v>100</v>
      </c>
      <c r="R69" s="266">
        <v>344</v>
      </c>
      <c r="S69" s="263">
        <v>22.204724409448819</v>
      </c>
      <c r="T69" s="266">
        <v>283</v>
      </c>
      <c r="U69" s="266">
        <v>58</v>
      </c>
      <c r="V69" s="207">
        <v>341</v>
      </c>
      <c r="W69" s="267"/>
      <c r="X69" s="210"/>
      <c r="Y69" s="36"/>
      <c r="Z69" s="210"/>
    </row>
    <row r="70" spans="2:26" ht="11.1" customHeight="1" x14ac:dyDescent="0.2">
      <c r="B70" s="254">
        <v>36251</v>
      </c>
      <c r="C70" s="20" t="s">
        <v>23</v>
      </c>
      <c r="D70" s="21" t="s">
        <v>230</v>
      </c>
      <c r="E70" s="264" t="s">
        <v>231</v>
      </c>
      <c r="F70" s="265">
        <v>9045</v>
      </c>
      <c r="G70" s="265">
        <v>9045</v>
      </c>
      <c r="H70" s="265">
        <v>1332</v>
      </c>
      <c r="I70" s="265">
        <v>1524</v>
      </c>
      <c r="J70" s="265">
        <v>0</v>
      </c>
      <c r="K70" s="265">
        <v>0</v>
      </c>
      <c r="L70" s="265">
        <v>993</v>
      </c>
      <c r="M70" s="265">
        <v>0</v>
      </c>
      <c r="N70" s="265">
        <v>318</v>
      </c>
      <c r="O70" s="265">
        <v>195</v>
      </c>
      <c r="P70" s="207">
        <v>1506</v>
      </c>
      <c r="Q70" s="263">
        <v>100</v>
      </c>
      <c r="R70" s="266">
        <v>198</v>
      </c>
      <c r="S70" s="263">
        <v>26.095617529880478</v>
      </c>
      <c r="T70" s="266">
        <v>484</v>
      </c>
      <c r="U70" s="266">
        <v>80</v>
      </c>
      <c r="V70" s="207">
        <v>564</v>
      </c>
      <c r="W70" s="267"/>
      <c r="X70" s="210"/>
      <c r="Y70" s="36"/>
      <c r="Z70" s="210"/>
    </row>
    <row r="71" spans="2:26" ht="11.1" customHeight="1" x14ac:dyDescent="0.2">
      <c r="B71" s="254">
        <v>36617</v>
      </c>
      <c r="C71" s="20" t="s">
        <v>24</v>
      </c>
      <c r="D71" s="21" t="s">
        <v>226</v>
      </c>
      <c r="E71" s="22" t="s">
        <v>227</v>
      </c>
      <c r="F71" s="206">
        <v>61929</v>
      </c>
      <c r="G71" s="206">
        <v>61929</v>
      </c>
      <c r="H71" s="206">
        <v>20000</v>
      </c>
      <c r="I71" s="206">
        <v>22758</v>
      </c>
      <c r="J71" s="206">
        <v>0</v>
      </c>
      <c r="K71" s="206">
        <v>57</v>
      </c>
      <c r="L71" s="206">
        <v>17529</v>
      </c>
      <c r="M71" s="206">
        <v>721</v>
      </c>
      <c r="N71" s="206">
        <v>3247</v>
      </c>
      <c r="O71" s="206">
        <v>1500</v>
      </c>
      <c r="P71" s="207">
        <v>22997</v>
      </c>
      <c r="Q71" s="263">
        <v>96.864808453276524</v>
      </c>
      <c r="R71" s="208">
        <v>1430</v>
      </c>
      <c r="S71" s="263">
        <v>12.95653682658107</v>
      </c>
      <c r="T71" s="208">
        <v>721</v>
      </c>
      <c r="U71" s="208">
        <v>1419</v>
      </c>
      <c r="V71" s="207">
        <v>2861</v>
      </c>
      <c r="W71" s="210"/>
      <c r="X71" s="210"/>
      <c r="Y71" s="36"/>
      <c r="Z71" s="210"/>
    </row>
    <row r="72" spans="2:26" ht="11.1" customHeight="1" x14ac:dyDescent="0.2">
      <c r="B72" s="254">
        <v>36617</v>
      </c>
      <c r="C72" s="20" t="s">
        <v>24</v>
      </c>
      <c r="D72" s="21" t="s">
        <v>228</v>
      </c>
      <c r="E72" s="22" t="s">
        <v>229</v>
      </c>
      <c r="F72" s="206">
        <v>12409</v>
      </c>
      <c r="G72" s="206">
        <v>12409</v>
      </c>
      <c r="H72" s="206">
        <v>2397</v>
      </c>
      <c r="I72" s="206">
        <v>2521</v>
      </c>
      <c r="J72" s="206">
        <v>0</v>
      </c>
      <c r="K72" s="206">
        <v>197</v>
      </c>
      <c r="L72" s="206">
        <v>1955</v>
      </c>
      <c r="M72" s="206">
        <v>0</v>
      </c>
      <c r="N72" s="206">
        <v>502</v>
      </c>
      <c r="O72" s="206">
        <v>64</v>
      </c>
      <c r="P72" s="207">
        <v>2521</v>
      </c>
      <c r="Q72" s="263">
        <v>100</v>
      </c>
      <c r="R72" s="208">
        <v>208</v>
      </c>
      <c r="S72" s="263">
        <v>17.255334805003681</v>
      </c>
      <c r="T72" s="208">
        <v>0</v>
      </c>
      <c r="U72" s="208">
        <v>173</v>
      </c>
      <c r="V72" s="207">
        <v>173</v>
      </c>
      <c r="W72" s="210"/>
      <c r="X72" s="210"/>
      <c r="Y72" s="36"/>
      <c r="Z72" s="210"/>
    </row>
    <row r="73" spans="2:26" ht="11.1" customHeight="1" x14ac:dyDescent="0.2">
      <c r="B73" s="254">
        <v>36617</v>
      </c>
      <c r="C73" s="20" t="s">
        <v>24</v>
      </c>
      <c r="D73" s="21" t="s">
        <v>230</v>
      </c>
      <c r="E73" s="22" t="s">
        <v>231</v>
      </c>
      <c r="F73" s="206">
        <v>8996</v>
      </c>
      <c r="G73" s="206">
        <v>8996</v>
      </c>
      <c r="H73" s="206">
        <v>1426</v>
      </c>
      <c r="I73" s="206">
        <v>1582</v>
      </c>
      <c r="J73" s="206">
        <v>0</v>
      </c>
      <c r="K73" s="206">
        <v>0</v>
      </c>
      <c r="L73" s="206">
        <v>1066</v>
      </c>
      <c r="M73" s="206">
        <v>0</v>
      </c>
      <c r="N73" s="206">
        <v>402</v>
      </c>
      <c r="O73" s="206">
        <v>193</v>
      </c>
      <c r="P73" s="207">
        <v>1661</v>
      </c>
      <c r="Q73" s="263">
        <v>100</v>
      </c>
      <c r="R73" s="208">
        <v>191</v>
      </c>
      <c r="S73" s="263">
        <v>23.118603251053582</v>
      </c>
      <c r="T73" s="208">
        <v>0</v>
      </c>
      <c r="U73" s="208">
        <v>219</v>
      </c>
      <c r="V73" s="207">
        <v>219</v>
      </c>
      <c r="W73" s="210"/>
      <c r="X73" s="210"/>
      <c r="Y73" s="36"/>
      <c r="Z73" s="210"/>
    </row>
    <row r="74" spans="2:26" ht="11.1" customHeight="1" x14ac:dyDescent="0.2">
      <c r="B74" s="254">
        <v>36982</v>
      </c>
      <c r="C74" s="20" t="s">
        <v>25</v>
      </c>
      <c r="D74" s="21" t="s">
        <v>226</v>
      </c>
      <c r="E74" s="22" t="s">
        <v>227</v>
      </c>
      <c r="F74" s="206">
        <v>61495</v>
      </c>
      <c r="G74" s="206">
        <v>61495</v>
      </c>
      <c r="H74" s="206">
        <v>20176</v>
      </c>
      <c r="I74" s="206">
        <v>22728</v>
      </c>
      <c r="J74" s="206">
        <v>0</v>
      </c>
      <c r="K74" s="206">
        <v>57</v>
      </c>
      <c r="L74" s="206">
        <v>18266</v>
      </c>
      <c r="M74" s="206">
        <v>720</v>
      </c>
      <c r="N74" s="206">
        <v>2841</v>
      </c>
      <c r="O74" s="206">
        <v>1472</v>
      </c>
      <c r="P74" s="207">
        <v>23299</v>
      </c>
      <c r="Q74" s="263">
        <v>96.90973861539122</v>
      </c>
      <c r="R74" s="208">
        <v>1399</v>
      </c>
      <c r="S74" s="263">
        <v>12.536393218016784</v>
      </c>
      <c r="T74" s="208">
        <v>2095</v>
      </c>
      <c r="U74" s="208">
        <v>1297</v>
      </c>
      <c r="V74" s="207">
        <v>4112</v>
      </c>
      <c r="W74" s="210"/>
      <c r="X74" s="210"/>
      <c r="Y74" s="36"/>
      <c r="Z74" s="210"/>
    </row>
    <row r="75" spans="2:26" ht="11.1" customHeight="1" x14ac:dyDescent="0.2">
      <c r="B75" s="254">
        <v>36982</v>
      </c>
      <c r="C75" s="20" t="s">
        <v>25</v>
      </c>
      <c r="D75" s="21" t="s">
        <v>228</v>
      </c>
      <c r="E75" s="22" t="s">
        <v>229</v>
      </c>
      <c r="F75" s="206">
        <v>12326</v>
      </c>
      <c r="G75" s="206">
        <v>12326</v>
      </c>
      <c r="H75" s="206">
        <v>2496</v>
      </c>
      <c r="I75" s="206">
        <v>2602</v>
      </c>
      <c r="J75" s="206">
        <v>0</v>
      </c>
      <c r="K75" s="206">
        <v>197</v>
      </c>
      <c r="L75" s="206">
        <v>2082</v>
      </c>
      <c r="M75" s="206">
        <v>0</v>
      </c>
      <c r="N75" s="206">
        <v>443</v>
      </c>
      <c r="O75" s="206">
        <v>71</v>
      </c>
      <c r="P75" s="207">
        <v>2596</v>
      </c>
      <c r="Q75" s="263">
        <v>100</v>
      </c>
      <c r="R75" s="208">
        <v>202</v>
      </c>
      <c r="S75" s="263">
        <v>16.827783745076978</v>
      </c>
      <c r="T75" s="208">
        <v>239</v>
      </c>
      <c r="U75" s="208">
        <v>208</v>
      </c>
      <c r="V75" s="207">
        <v>447</v>
      </c>
      <c r="W75" s="210"/>
      <c r="X75" s="210"/>
      <c r="Y75" s="36"/>
      <c r="Z75" s="210"/>
    </row>
    <row r="76" spans="2:26" ht="11.1" customHeight="1" x14ac:dyDescent="0.2">
      <c r="B76" s="254">
        <v>36982</v>
      </c>
      <c r="C76" s="20" t="s">
        <v>25</v>
      </c>
      <c r="D76" s="21" t="s">
        <v>230</v>
      </c>
      <c r="E76" s="22" t="s">
        <v>231</v>
      </c>
      <c r="F76" s="206">
        <v>8908</v>
      </c>
      <c r="G76" s="206">
        <v>8908</v>
      </c>
      <c r="H76" s="206">
        <v>1538</v>
      </c>
      <c r="I76" s="206">
        <v>1560</v>
      </c>
      <c r="J76" s="206">
        <v>0</v>
      </c>
      <c r="K76" s="206">
        <v>0</v>
      </c>
      <c r="L76" s="206">
        <v>1116</v>
      </c>
      <c r="M76" s="206">
        <v>0</v>
      </c>
      <c r="N76" s="206">
        <v>283</v>
      </c>
      <c r="O76" s="206">
        <v>186</v>
      </c>
      <c r="P76" s="207">
        <v>1585</v>
      </c>
      <c r="Q76" s="263">
        <v>100</v>
      </c>
      <c r="R76" s="208">
        <v>131</v>
      </c>
      <c r="S76" s="263">
        <v>20</v>
      </c>
      <c r="T76" s="208">
        <v>128</v>
      </c>
      <c r="U76" s="208">
        <v>130</v>
      </c>
      <c r="V76" s="207">
        <v>258</v>
      </c>
      <c r="W76" s="210"/>
      <c r="X76" s="210"/>
      <c r="Y76" s="36"/>
      <c r="Z76" s="210"/>
    </row>
    <row r="77" spans="2:26" ht="11.1" customHeight="1" x14ac:dyDescent="0.2">
      <c r="B77" s="254">
        <v>37347</v>
      </c>
      <c r="C77" s="20" t="s">
        <v>26</v>
      </c>
      <c r="D77" s="21" t="s">
        <v>226</v>
      </c>
      <c r="E77" s="22" t="s">
        <v>227</v>
      </c>
      <c r="F77" s="206">
        <v>61003</v>
      </c>
      <c r="G77" s="206">
        <v>61003</v>
      </c>
      <c r="H77" s="206">
        <v>21015</v>
      </c>
      <c r="I77" s="206">
        <v>23563</v>
      </c>
      <c r="J77" s="206">
        <v>0</v>
      </c>
      <c r="K77" s="206">
        <v>50</v>
      </c>
      <c r="L77" s="206">
        <v>18473</v>
      </c>
      <c r="M77" s="206">
        <v>1052</v>
      </c>
      <c r="N77" s="206">
        <v>2744</v>
      </c>
      <c r="O77" s="206">
        <v>1295</v>
      </c>
      <c r="P77" s="207">
        <v>23564</v>
      </c>
      <c r="Q77" s="263">
        <v>95.535562722797479</v>
      </c>
      <c r="R77" s="208">
        <v>1426</v>
      </c>
      <c r="S77" s="263">
        <v>11.734564241551622</v>
      </c>
      <c r="T77" s="208">
        <v>2166</v>
      </c>
      <c r="U77" s="208">
        <v>1180</v>
      </c>
      <c r="V77" s="207">
        <v>4398</v>
      </c>
      <c r="W77" s="210"/>
      <c r="X77" s="210"/>
      <c r="Y77" s="36"/>
      <c r="Z77" s="210"/>
    </row>
    <row r="78" spans="2:26" ht="11.1" customHeight="1" x14ac:dyDescent="0.2">
      <c r="B78" s="254">
        <v>37347</v>
      </c>
      <c r="C78" s="20" t="s">
        <v>26</v>
      </c>
      <c r="D78" s="21" t="s">
        <v>228</v>
      </c>
      <c r="E78" s="22" t="s">
        <v>229</v>
      </c>
      <c r="F78" s="206">
        <v>12165</v>
      </c>
      <c r="G78" s="206">
        <v>12165</v>
      </c>
      <c r="H78" s="206">
        <v>2550</v>
      </c>
      <c r="I78" s="206">
        <v>2679</v>
      </c>
      <c r="J78" s="206">
        <v>0</v>
      </c>
      <c r="K78" s="206">
        <v>245</v>
      </c>
      <c r="L78" s="206">
        <v>2285</v>
      </c>
      <c r="M78" s="206">
        <v>0</v>
      </c>
      <c r="N78" s="206">
        <v>414</v>
      </c>
      <c r="O78" s="206">
        <v>67</v>
      </c>
      <c r="P78" s="207">
        <v>2766</v>
      </c>
      <c r="Q78" s="263">
        <v>100</v>
      </c>
      <c r="R78" s="208">
        <v>206</v>
      </c>
      <c r="S78" s="263">
        <v>17.203586848223182</v>
      </c>
      <c r="T78" s="208">
        <v>268</v>
      </c>
      <c r="U78" s="208">
        <v>181</v>
      </c>
      <c r="V78" s="207">
        <v>449</v>
      </c>
      <c r="W78" s="210"/>
      <c r="X78" s="210"/>
      <c r="Y78" s="36"/>
      <c r="Z78" s="210"/>
    </row>
    <row r="79" spans="2:26" ht="11.1" customHeight="1" x14ac:dyDescent="0.2">
      <c r="B79" s="254">
        <v>37347</v>
      </c>
      <c r="C79" s="20" t="s">
        <v>26</v>
      </c>
      <c r="D79" s="21" t="s">
        <v>230</v>
      </c>
      <c r="E79" s="22" t="s">
        <v>231</v>
      </c>
      <c r="F79" s="206">
        <v>8741</v>
      </c>
      <c r="G79" s="206">
        <v>8741</v>
      </c>
      <c r="H79" s="206">
        <v>1806</v>
      </c>
      <c r="I79" s="206">
        <v>1833</v>
      </c>
      <c r="J79" s="206">
        <v>0</v>
      </c>
      <c r="K79" s="206">
        <v>0</v>
      </c>
      <c r="L79" s="206">
        <v>1262</v>
      </c>
      <c r="M79" s="206">
        <v>0</v>
      </c>
      <c r="N79" s="206">
        <v>279</v>
      </c>
      <c r="O79" s="206">
        <v>190</v>
      </c>
      <c r="P79" s="207">
        <v>1731</v>
      </c>
      <c r="Q79" s="263">
        <v>100</v>
      </c>
      <c r="R79" s="208">
        <v>139</v>
      </c>
      <c r="S79" s="263">
        <v>19.006354708261121</v>
      </c>
      <c r="T79" s="208">
        <v>148</v>
      </c>
      <c r="U79" s="208">
        <v>121</v>
      </c>
      <c r="V79" s="207">
        <v>269</v>
      </c>
      <c r="W79" s="210"/>
      <c r="X79" s="210"/>
      <c r="Y79" s="36"/>
      <c r="Z79" s="210"/>
    </row>
    <row r="80" spans="2:26" ht="11.1" customHeight="1" x14ac:dyDescent="0.2">
      <c r="B80" s="254">
        <v>37712</v>
      </c>
      <c r="C80" s="20" t="s">
        <v>27</v>
      </c>
      <c r="D80" s="21" t="s">
        <v>226</v>
      </c>
      <c r="E80" s="268" t="s">
        <v>227</v>
      </c>
      <c r="F80" s="269">
        <v>60580</v>
      </c>
      <c r="G80" s="269">
        <v>60580</v>
      </c>
      <c r="H80" s="269">
        <v>23723</v>
      </c>
      <c r="I80" s="269">
        <v>21523</v>
      </c>
      <c r="J80" s="269">
        <v>0</v>
      </c>
      <c r="K80" s="269">
        <v>67</v>
      </c>
      <c r="L80" s="269">
        <v>19034</v>
      </c>
      <c r="M80" s="269">
        <v>724</v>
      </c>
      <c r="N80" s="269">
        <v>3965</v>
      </c>
      <c r="O80" s="269">
        <v>0</v>
      </c>
      <c r="P80" s="207">
        <v>23723</v>
      </c>
      <c r="Q80" s="263">
        <v>96.948109429667412</v>
      </c>
      <c r="R80" s="270">
        <v>2608</v>
      </c>
      <c r="S80" s="263">
        <v>11.244220260613703</v>
      </c>
      <c r="T80" s="270">
        <v>2485</v>
      </c>
      <c r="U80" s="270">
        <v>1228</v>
      </c>
      <c r="V80" s="207">
        <v>4437</v>
      </c>
      <c r="W80" s="271"/>
      <c r="X80" s="210"/>
      <c r="Y80" s="36"/>
      <c r="Z80" s="210"/>
    </row>
    <row r="81" spans="2:26" ht="11.1" customHeight="1" x14ac:dyDescent="0.2">
      <c r="B81" s="254">
        <v>37712</v>
      </c>
      <c r="C81" s="20" t="s">
        <v>27</v>
      </c>
      <c r="D81" s="21" t="s">
        <v>228</v>
      </c>
      <c r="E81" s="268" t="s">
        <v>229</v>
      </c>
      <c r="F81" s="269">
        <v>12086</v>
      </c>
      <c r="G81" s="269">
        <v>12086</v>
      </c>
      <c r="H81" s="269">
        <v>2782</v>
      </c>
      <c r="I81" s="269">
        <v>2651</v>
      </c>
      <c r="J81" s="269">
        <v>0</v>
      </c>
      <c r="K81" s="269">
        <v>245</v>
      </c>
      <c r="L81" s="269">
        <v>2404</v>
      </c>
      <c r="M81" s="269">
        <v>0</v>
      </c>
      <c r="N81" s="269">
        <v>466</v>
      </c>
      <c r="O81" s="269">
        <v>0</v>
      </c>
      <c r="P81" s="207">
        <v>2870</v>
      </c>
      <c r="Q81" s="263">
        <v>100</v>
      </c>
      <c r="R81" s="270">
        <v>250</v>
      </c>
      <c r="S81" s="263">
        <v>15.890850722311397</v>
      </c>
      <c r="T81" s="270">
        <v>316</v>
      </c>
      <c r="U81" s="270">
        <v>193</v>
      </c>
      <c r="V81" s="207">
        <v>509</v>
      </c>
      <c r="W81" s="271"/>
      <c r="X81" s="210"/>
      <c r="Y81" s="36"/>
      <c r="Z81" s="210"/>
    </row>
    <row r="82" spans="2:26" ht="11.1" customHeight="1" x14ac:dyDescent="0.2">
      <c r="B82" s="254">
        <v>37712</v>
      </c>
      <c r="C82" s="20" t="s">
        <v>27</v>
      </c>
      <c r="D82" s="21" t="s">
        <v>230</v>
      </c>
      <c r="E82" s="268" t="s">
        <v>231</v>
      </c>
      <c r="F82" s="269">
        <v>8616</v>
      </c>
      <c r="G82" s="269">
        <v>8616</v>
      </c>
      <c r="H82" s="269">
        <v>1991</v>
      </c>
      <c r="I82" s="269">
        <v>1961</v>
      </c>
      <c r="J82" s="269">
        <v>0</v>
      </c>
      <c r="K82" s="269">
        <v>5</v>
      </c>
      <c r="L82" s="269">
        <v>1312</v>
      </c>
      <c r="M82" s="269">
        <v>0</v>
      </c>
      <c r="N82" s="269">
        <v>481</v>
      </c>
      <c r="O82" s="269">
        <v>0</v>
      </c>
      <c r="P82" s="207">
        <v>1793</v>
      </c>
      <c r="Q82" s="263">
        <v>100</v>
      </c>
      <c r="R82" s="270">
        <v>326</v>
      </c>
      <c r="S82" s="263">
        <v>18.409343715239153</v>
      </c>
      <c r="T82" s="270">
        <v>176</v>
      </c>
      <c r="U82" s="270">
        <v>134</v>
      </c>
      <c r="V82" s="207">
        <v>310</v>
      </c>
      <c r="W82" s="271"/>
      <c r="X82" s="210"/>
      <c r="Y82" s="36"/>
      <c r="Z82" s="210"/>
    </row>
    <row r="83" spans="2:26" ht="11.1" customHeight="1" x14ac:dyDescent="0.2">
      <c r="B83" s="254">
        <v>38078</v>
      </c>
      <c r="C83" s="20" t="s">
        <v>28</v>
      </c>
      <c r="D83" s="21" t="s">
        <v>226</v>
      </c>
      <c r="E83" s="22" t="s">
        <v>227</v>
      </c>
      <c r="F83" s="206">
        <v>60012</v>
      </c>
      <c r="G83" s="206">
        <v>60012</v>
      </c>
      <c r="H83" s="206">
        <v>22568</v>
      </c>
      <c r="I83" s="206">
        <v>20834</v>
      </c>
      <c r="J83" s="206">
        <v>0</v>
      </c>
      <c r="K83" s="206">
        <v>52</v>
      </c>
      <c r="L83" s="206">
        <v>18268</v>
      </c>
      <c r="M83" s="206">
        <v>708</v>
      </c>
      <c r="N83" s="206">
        <v>3592</v>
      </c>
      <c r="O83" s="206">
        <v>0</v>
      </c>
      <c r="P83" s="207">
        <v>22568</v>
      </c>
      <c r="Q83" s="263">
        <v>96.862814604750085</v>
      </c>
      <c r="R83" s="208">
        <v>2604</v>
      </c>
      <c r="S83" s="263">
        <v>11.74182139699381</v>
      </c>
      <c r="T83" s="208">
        <v>1877</v>
      </c>
      <c r="U83" s="208">
        <v>856</v>
      </c>
      <c r="V83" s="207">
        <v>3441</v>
      </c>
      <c r="W83" s="210"/>
      <c r="X83" s="210"/>
      <c r="Y83" s="36"/>
      <c r="Z83" s="210"/>
    </row>
    <row r="84" spans="2:26" ht="11.1" customHeight="1" x14ac:dyDescent="0.2">
      <c r="B84" s="254">
        <v>38078</v>
      </c>
      <c r="C84" s="20" t="s">
        <v>28</v>
      </c>
      <c r="D84" s="21" t="s">
        <v>228</v>
      </c>
      <c r="E84" s="22" t="s">
        <v>229</v>
      </c>
      <c r="F84" s="206">
        <v>11962</v>
      </c>
      <c r="G84" s="206">
        <v>11962</v>
      </c>
      <c r="H84" s="206">
        <v>2923</v>
      </c>
      <c r="I84" s="206">
        <v>2783</v>
      </c>
      <c r="J84" s="206">
        <v>0</v>
      </c>
      <c r="K84" s="206">
        <v>292</v>
      </c>
      <c r="L84" s="206">
        <v>2522</v>
      </c>
      <c r="M84" s="206">
        <v>0</v>
      </c>
      <c r="N84" s="206">
        <v>555</v>
      </c>
      <c r="O84" s="206">
        <v>0</v>
      </c>
      <c r="P84" s="207">
        <v>3077</v>
      </c>
      <c r="Q84" s="263">
        <v>100</v>
      </c>
      <c r="R84" s="208">
        <v>244</v>
      </c>
      <c r="S84" s="263">
        <v>15.90976550905313</v>
      </c>
      <c r="T84" s="208">
        <v>509</v>
      </c>
      <c r="U84" s="208">
        <v>287</v>
      </c>
      <c r="V84" s="207">
        <v>796</v>
      </c>
      <c r="W84" s="210"/>
      <c r="X84" s="210"/>
      <c r="Y84" s="36"/>
      <c r="Z84" s="210"/>
    </row>
    <row r="85" spans="2:26" ht="11.1" customHeight="1" x14ac:dyDescent="0.2">
      <c r="B85" s="254">
        <v>38078</v>
      </c>
      <c r="C85" s="20" t="s">
        <v>28</v>
      </c>
      <c r="D85" s="21" t="s">
        <v>230</v>
      </c>
      <c r="E85" s="22" t="s">
        <v>231</v>
      </c>
      <c r="F85" s="206">
        <v>8514</v>
      </c>
      <c r="G85" s="206">
        <v>8514</v>
      </c>
      <c r="H85" s="206">
        <v>2015</v>
      </c>
      <c r="I85" s="206">
        <v>1772</v>
      </c>
      <c r="J85" s="206">
        <v>0</v>
      </c>
      <c r="K85" s="206">
        <v>5</v>
      </c>
      <c r="L85" s="206">
        <v>1341</v>
      </c>
      <c r="M85" s="206">
        <v>0</v>
      </c>
      <c r="N85" s="206">
        <v>556</v>
      </c>
      <c r="O85" s="206">
        <v>0</v>
      </c>
      <c r="P85" s="207">
        <v>1897</v>
      </c>
      <c r="Q85" s="263">
        <v>100</v>
      </c>
      <c r="R85" s="208">
        <v>327</v>
      </c>
      <c r="S85" s="263">
        <v>17.455310199789693</v>
      </c>
      <c r="T85" s="208">
        <v>223</v>
      </c>
      <c r="U85" s="208">
        <v>211</v>
      </c>
      <c r="V85" s="207">
        <v>434</v>
      </c>
      <c r="W85" s="210"/>
      <c r="X85" s="210"/>
      <c r="Y85" s="36"/>
      <c r="Z85" s="210"/>
    </row>
    <row r="86" spans="2:26" ht="11.1" customHeight="1" x14ac:dyDescent="0.2">
      <c r="B86" s="254">
        <v>38443</v>
      </c>
      <c r="C86" s="20" t="s">
        <v>29</v>
      </c>
      <c r="D86" s="21" t="s">
        <v>226</v>
      </c>
      <c r="E86" s="22" t="s">
        <v>227</v>
      </c>
      <c r="F86" s="206">
        <v>67532</v>
      </c>
      <c r="G86" s="206">
        <v>67532</v>
      </c>
      <c r="H86" s="206">
        <v>24308</v>
      </c>
      <c r="I86" s="206">
        <v>22488</v>
      </c>
      <c r="J86" s="206">
        <v>0</v>
      </c>
      <c r="K86" s="206">
        <v>53</v>
      </c>
      <c r="L86" s="206">
        <v>19725</v>
      </c>
      <c r="M86" s="206">
        <v>576</v>
      </c>
      <c r="N86" s="206">
        <v>3822</v>
      </c>
      <c r="O86" s="206">
        <v>0</v>
      </c>
      <c r="P86" s="207">
        <v>24123</v>
      </c>
      <c r="Q86" s="263">
        <v>97.61223728391991</v>
      </c>
      <c r="R86" s="208">
        <v>2919</v>
      </c>
      <c r="S86" s="263">
        <v>12.293183322303111</v>
      </c>
      <c r="T86" s="208">
        <v>2302</v>
      </c>
      <c r="U86" s="208">
        <v>717</v>
      </c>
      <c r="V86" s="207">
        <v>3595</v>
      </c>
      <c r="W86" s="210"/>
      <c r="X86" s="210"/>
      <c r="Y86" s="36"/>
      <c r="Z86" s="210"/>
    </row>
    <row r="87" spans="2:26" ht="11.1" customHeight="1" x14ac:dyDescent="0.2">
      <c r="B87" s="254">
        <v>38443</v>
      </c>
      <c r="C87" s="20" t="s">
        <v>29</v>
      </c>
      <c r="D87" s="21" t="s">
        <v>228</v>
      </c>
      <c r="E87" s="22" t="s">
        <v>229</v>
      </c>
      <c r="F87" s="206">
        <v>11879</v>
      </c>
      <c r="G87" s="206">
        <v>11879</v>
      </c>
      <c r="H87" s="206">
        <v>3186</v>
      </c>
      <c r="I87" s="206">
        <v>2762</v>
      </c>
      <c r="J87" s="206">
        <v>0</v>
      </c>
      <c r="K87" s="206">
        <v>287</v>
      </c>
      <c r="L87" s="206">
        <v>2513</v>
      </c>
      <c r="M87" s="206">
        <v>0</v>
      </c>
      <c r="N87" s="206">
        <v>778</v>
      </c>
      <c r="O87" s="206">
        <v>44</v>
      </c>
      <c r="P87" s="207">
        <v>3335</v>
      </c>
      <c r="Q87" s="263">
        <v>100</v>
      </c>
      <c r="R87" s="208">
        <v>199</v>
      </c>
      <c r="S87" s="263">
        <v>14.632799558255108</v>
      </c>
      <c r="T87" s="208">
        <v>375</v>
      </c>
      <c r="U87" s="208">
        <v>551</v>
      </c>
      <c r="V87" s="207">
        <v>926</v>
      </c>
      <c r="W87" s="210"/>
      <c r="X87" s="210"/>
      <c r="Y87" s="36"/>
      <c r="Z87" s="210"/>
    </row>
    <row r="88" spans="2:26" ht="11.1" customHeight="1" x14ac:dyDescent="0.2">
      <c r="B88" s="254">
        <v>38808</v>
      </c>
      <c r="C88" s="20" t="s">
        <v>30</v>
      </c>
      <c r="D88" s="21" t="s">
        <v>226</v>
      </c>
      <c r="E88" s="22" t="s">
        <v>227</v>
      </c>
      <c r="F88" s="206">
        <v>66694</v>
      </c>
      <c r="G88" s="206">
        <v>66694</v>
      </c>
      <c r="H88" s="206">
        <v>24440</v>
      </c>
      <c r="I88" s="206">
        <v>22622</v>
      </c>
      <c r="J88" s="206">
        <v>0</v>
      </c>
      <c r="K88" s="206">
        <v>98</v>
      </c>
      <c r="L88" s="206">
        <v>19536</v>
      </c>
      <c r="M88" s="206">
        <v>120</v>
      </c>
      <c r="N88" s="206">
        <v>4686</v>
      </c>
      <c r="O88" s="206">
        <v>0</v>
      </c>
      <c r="P88" s="207">
        <v>24342</v>
      </c>
      <c r="Q88" s="263">
        <v>99.507024895242793</v>
      </c>
      <c r="R88" s="208">
        <v>2838</v>
      </c>
      <c r="S88" s="263">
        <v>12.013093289689035</v>
      </c>
      <c r="T88" s="208">
        <v>2713</v>
      </c>
      <c r="U88" s="208">
        <v>1260</v>
      </c>
      <c r="V88" s="207">
        <v>4093</v>
      </c>
      <c r="W88" s="210"/>
      <c r="X88" s="210"/>
      <c r="Y88" s="36"/>
      <c r="Z88" s="210"/>
    </row>
    <row r="89" spans="2:26" ht="11.1" customHeight="1" x14ac:dyDescent="0.2">
      <c r="B89" s="254">
        <v>38808</v>
      </c>
      <c r="C89" s="20" t="s">
        <v>30</v>
      </c>
      <c r="D89" s="21" t="s">
        <v>228</v>
      </c>
      <c r="E89" s="22" t="s">
        <v>229</v>
      </c>
      <c r="F89" s="206">
        <v>11692</v>
      </c>
      <c r="G89" s="206">
        <v>11692</v>
      </c>
      <c r="H89" s="206">
        <v>3264</v>
      </c>
      <c r="I89" s="206">
        <v>2793</v>
      </c>
      <c r="J89" s="206">
        <v>0</v>
      </c>
      <c r="K89" s="206">
        <v>284</v>
      </c>
      <c r="L89" s="206">
        <v>2493</v>
      </c>
      <c r="M89" s="206">
        <v>0</v>
      </c>
      <c r="N89" s="206">
        <v>442</v>
      </c>
      <c r="O89" s="206">
        <v>45</v>
      </c>
      <c r="P89" s="207">
        <v>2980</v>
      </c>
      <c r="Q89" s="263">
        <v>100</v>
      </c>
      <c r="R89" s="208">
        <v>205</v>
      </c>
      <c r="S89" s="263">
        <v>16.360294117647058</v>
      </c>
      <c r="T89" s="208">
        <v>322</v>
      </c>
      <c r="U89" s="208">
        <v>174</v>
      </c>
      <c r="V89" s="207">
        <v>496</v>
      </c>
      <c r="W89" s="210"/>
      <c r="X89" s="210"/>
      <c r="Y89" s="36"/>
      <c r="Z89" s="210"/>
    </row>
    <row r="90" spans="2:26" ht="11.1" customHeight="1" x14ac:dyDescent="0.2">
      <c r="B90" s="254">
        <v>39173</v>
      </c>
      <c r="C90" s="20" t="s">
        <v>31</v>
      </c>
      <c r="D90" s="21" t="s">
        <v>226</v>
      </c>
      <c r="E90" s="22" t="s">
        <v>227</v>
      </c>
      <c r="F90" s="206">
        <v>65814</v>
      </c>
      <c r="G90" s="206">
        <v>65814</v>
      </c>
      <c r="H90" s="206">
        <v>23781</v>
      </c>
      <c r="I90" s="206">
        <v>21971</v>
      </c>
      <c r="J90" s="206">
        <v>0</v>
      </c>
      <c r="K90" s="206">
        <v>109</v>
      </c>
      <c r="L90" s="206">
        <v>19570</v>
      </c>
      <c r="M90" s="206">
        <v>393</v>
      </c>
      <c r="N90" s="206">
        <v>4160</v>
      </c>
      <c r="O90" s="206">
        <v>0</v>
      </c>
      <c r="P90" s="207">
        <v>24123</v>
      </c>
      <c r="Q90" s="263">
        <v>98.37084939684118</v>
      </c>
      <c r="R90" s="208">
        <v>2696</v>
      </c>
      <c r="S90" s="263">
        <v>11.575602509078903</v>
      </c>
      <c r="T90" s="208">
        <v>2689</v>
      </c>
      <c r="U90" s="208">
        <v>1153</v>
      </c>
      <c r="V90" s="207">
        <v>4235</v>
      </c>
      <c r="W90" s="210"/>
      <c r="X90" s="210"/>
      <c r="Y90" s="36"/>
      <c r="Z90" s="210"/>
    </row>
    <row r="91" spans="2:26" ht="11.1" customHeight="1" x14ac:dyDescent="0.2">
      <c r="B91" s="254">
        <v>39173</v>
      </c>
      <c r="C91" s="20" t="s">
        <v>31</v>
      </c>
      <c r="D91" s="21" t="s">
        <v>228</v>
      </c>
      <c r="E91" s="22" t="s">
        <v>229</v>
      </c>
      <c r="F91" s="206">
        <v>11527</v>
      </c>
      <c r="G91" s="206">
        <v>11527</v>
      </c>
      <c r="H91" s="206">
        <v>3255</v>
      </c>
      <c r="I91" s="206">
        <v>2812</v>
      </c>
      <c r="J91" s="206">
        <v>0</v>
      </c>
      <c r="K91" s="206">
        <v>276</v>
      </c>
      <c r="L91" s="206">
        <v>2570</v>
      </c>
      <c r="M91" s="206">
        <v>0</v>
      </c>
      <c r="N91" s="206">
        <v>231</v>
      </c>
      <c r="O91" s="206">
        <v>43</v>
      </c>
      <c r="P91" s="207">
        <v>2844</v>
      </c>
      <c r="Q91" s="263">
        <v>100</v>
      </c>
      <c r="R91" s="208">
        <v>196</v>
      </c>
      <c r="S91" s="263">
        <v>16.506410256410255</v>
      </c>
      <c r="T91" s="208">
        <v>321</v>
      </c>
      <c r="U91" s="208">
        <v>155</v>
      </c>
      <c r="V91" s="207">
        <v>476</v>
      </c>
      <c r="W91" s="210"/>
      <c r="X91" s="210"/>
      <c r="Y91" s="36"/>
      <c r="Z91" s="210"/>
    </row>
    <row r="92" spans="2:26" ht="11.1" customHeight="1" x14ac:dyDescent="0.2">
      <c r="B92" s="254">
        <v>39539</v>
      </c>
      <c r="C92" s="20" t="s">
        <v>32</v>
      </c>
      <c r="D92" s="21" t="s">
        <v>226</v>
      </c>
      <c r="E92" s="22" t="s">
        <v>227</v>
      </c>
      <c r="F92" s="206">
        <v>64964</v>
      </c>
      <c r="G92" s="206">
        <v>64964</v>
      </c>
      <c r="H92" s="206">
        <v>23082</v>
      </c>
      <c r="I92" s="206">
        <v>21549</v>
      </c>
      <c r="J92" s="206">
        <v>0</v>
      </c>
      <c r="K92" s="206">
        <v>111</v>
      </c>
      <c r="L92" s="206">
        <v>19062</v>
      </c>
      <c r="M92" s="206">
        <v>413</v>
      </c>
      <c r="N92" s="206">
        <v>2277</v>
      </c>
      <c r="O92" s="206">
        <v>1355</v>
      </c>
      <c r="P92" s="207">
        <v>23107</v>
      </c>
      <c r="Q92" s="263">
        <v>98.21266282944562</v>
      </c>
      <c r="R92" s="208">
        <v>1102</v>
      </c>
      <c r="S92" s="263">
        <v>11.060384184684297</v>
      </c>
      <c r="T92" s="208">
        <v>2517</v>
      </c>
      <c r="U92" s="208">
        <v>942</v>
      </c>
      <c r="V92" s="207">
        <v>3872</v>
      </c>
      <c r="W92" s="210"/>
      <c r="X92" s="210"/>
      <c r="Y92" s="36"/>
      <c r="Z92" s="210"/>
    </row>
    <row r="93" spans="2:26" ht="11.1" customHeight="1" x14ac:dyDescent="0.2">
      <c r="B93" s="254">
        <v>39539</v>
      </c>
      <c r="C93" s="20" t="s">
        <v>32</v>
      </c>
      <c r="D93" s="21" t="s">
        <v>228</v>
      </c>
      <c r="E93" s="22" t="s">
        <v>229</v>
      </c>
      <c r="F93" s="206">
        <v>11409</v>
      </c>
      <c r="G93" s="206">
        <v>11409</v>
      </c>
      <c r="H93" s="206">
        <v>3199</v>
      </c>
      <c r="I93" s="206">
        <v>2768</v>
      </c>
      <c r="J93" s="206">
        <v>0</v>
      </c>
      <c r="K93" s="206">
        <v>270</v>
      </c>
      <c r="L93" s="206">
        <v>2576</v>
      </c>
      <c r="M93" s="206">
        <v>0</v>
      </c>
      <c r="N93" s="206">
        <v>318</v>
      </c>
      <c r="O93" s="206">
        <v>34</v>
      </c>
      <c r="P93" s="207">
        <v>2928</v>
      </c>
      <c r="Q93" s="263">
        <v>100</v>
      </c>
      <c r="R93" s="208">
        <v>168</v>
      </c>
      <c r="S93" s="263">
        <v>14.759224515322074</v>
      </c>
      <c r="T93" s="208">
        <v>179</v>
      </c>
      <c r="U93" s="208">
        <v>115</v>
      </c>
      <c r="V93" s="207">
        <v>294</v>
      </c>
      <c r="W93" s="210"/>
      <c r="X93" s="210"/>
      <c r="Y93" s="36"/>
      <c r="Z93" s="210"/>
    </row>
    <row r="94" spans="2:26" ht="11.1" customHeight="1" x14ac:dyDescent="0.2">
      <c r="B94" s="254">
        <v>39904</v>
      </c>
      <c r="C94" s="20" t="s">
        <v>33</v>
      </c>
      <c r="D94" s="21" t="s">
        <v>226</v>
      </c>
      <c r="E94" s="22" t="s">
        <v>227</v>
      </c>
      <c r="F94" s="206">
        <v>75406</v>
      </c>
      <c r="G94" s="206">
        <v>75406</v>
      </c>
      <c r="H94" s="206">
        <v>25892</v>
      </c>
      <c r="I94" s="206">
        <v>23912</v>
      </c>
      <c r="J94" s="206">
        <v>0</v>
      </c>
      <c r="K94" s="206">
        <v>238</v>
      </c>
      <c r="L94" s="206">
        <v>21469</v>
      </c>
      <c r="M94" s="206">
        <v>334</v>
      </c>
      <c r="N94" s="206">
        <v>2479</v>
      </c>
      <c r="O94" s="206">
        <v>1334</v>
      </c>
      <c r="P94" s="207">
        <v>25616</v>
      </c>
      <c r="Q94" s="263">
        <v>98.696127420362274</v>
      </c>
      <c r="R94" s="208">
        <v>1362</v>
      </c>
      <c r="S94" s="263">
        <v>11.348340682292875</v>
      </c>
      <c r="T94" s="208">
        <v>2733</v>
      </c>
      <c r="U94" s="208">
        <v>907</v>
      </c>
      <c r="V94" s="207">
        <v>3974</v>
      </c>
      <c r="W94" s="210"/>
      <c r="X94" s="210"/>
      <c r="Y94" s="36"/>
      <c r="Z94" s="210"/>
    </row>
    <row r="95" spans="2:26" ht="11.1" customHeight="1" x14ac:dyDescent="0.2">
      <c r="B95" s="254">
        <v>40269</v>
      </c>
      <c r="C95" s="20" t="s">
        <v>34</v>
      </c>
      <c r="D95" s="21" t="s">
        <v>226</v>
      </c>
      <c r="E95" s="22" t="s">
        <v>227</v>
      </c>
      <c r="F95" s="206">
        <v>74550</v>
      </c>
      <c r="G95" s="206">
        <v>74550</v>
      </c>
      <c r="H95" s="206">
        <v>25279</v>
      </c>
      <c r="I95" s="206">
        <v>23417</v>
      </c>
      <c r="J95" s="206">
        <v>0</v>
      </c>
      <c r="K95" s="206">
        <v>401</v>
      </c>
      <c r="L95" s="206">
        <v>20953</v>
      </c>
      <c r="M95" s="206">
        <v>346</v>
      </c>
      <c r="N95" s="206">
        <v>2277</v>
      </c>
      <c r="O95" s="206">
        <v>1206</v>
      </c>
      <c r="P95" s="207">
        <v>24782</v>
      </c>
      <c r="Q95" s="263">
        <v>98.603825357114033</v>
      </c>
      <c r="R95" s="208">
        <v>1306</v>
      </c>
      <c r="S95" s="263">
        <v>11.567327165151093</v>
      </c>
      <c r="T95" s="208">
        <v>2636</v>
      </c>
      <c r="U95" s="208">
        <v>941</v>
      </c>
      <c r="V95" s="207">
        <v>3923</v>
      </c>
      <c r="W95" s="210"/>
      <c r="X95" s="210"/>
      <c r="Y95" s="36"/>
      <c r="Z95" s="210"/>
    </row>
    <row r="96" spans="2:26" ht="11.1" customHeight="1" x14ac:dyDescent="0.2">
      <c r="B96" s="254">
        <v>40634</v>
      </c>
      <c r="C96" s="20" t="s">
        <v>35</v>
      </c>
      <c r="D96" s="21" t="s">
        <v>226</v>
      </c>
      <c r="E96" s="22" t="s">
        <v>227</v>
      </c>
      <c r="F96" s="206">
        <v>70450</v>
      </c>
      <c r="G96" s="206">
        <v>70450</v>
      </c>
      <c r="H96" s="206">
        <v>27726</v>
      </c>
      <c r="I96" s="206">
        <v>22379</v>
      </c>
      <c r="J96" s="206">
        <v>5077</v>
      </c>
      <c r="K96" s="206">
        <v>270</v>
      </c>
      <c r="L96" s="206">
        <v>23637</v>
      </c>
      <c r="M96" s="206">
        <v>77</v>
      </c>
      <c r="N96" s="206">
        <v>2467</v>
      </c>
      <c r="O96" s="206">
        <v>1254</v>
      </c>
      <c r="P96" s="207">
        <v>27435</v>
      </c>
      <c r="Q96" s="263">
        <v>99.719336613814463</v>
      </c>
      <c r="R96" s="208">
        <v>1302</v>
      </c>
      <c r="S96" s="263">
        <v>10.200324851109908</v>
      </c>
      <c r="T96" s="208">
        <v>3818</v>
      </c>
      <c r="U96" s="208">
        <v>953</v>
      </c>
      <c r="V96" s="207">
        <v>4848</v>
      </c>
      <c r="W96" s="210"/>
      <c r="X96" s="210"/>
      <c r="Y96" s="36"/>
      <c r="Z96" s="210"/>
    </row>
    <row r="97" spans="2:27" ht="11.1" customHeight="1" x14ac:dyDescent="0.2">
      <c r="B97" s="254">
        <v>41000</v>
      </c>
      <c r="C97" s="20" t="s">
        <v>180</v>
      </c>
      <c r="D97" s="24" t="s">
        <v>226</v>
      </c>
      <c r="E97" s="24" t="s">
        <v>227</v>
      </c>
      <c r="F97" s="26">
        <v>69405</v>
      </c>
      <c r="G97" s="26">
        <v>69405</v>
      </c>
      <c r="H97" s="26">
        <v>24341</v>
      </c>
      <c r="I97" s="26">
        <v>21900</v>
      </c>
      <c r="J97" s="26">
        <v>0</v>
      </c>
      <c r="K97" s="26">
        <v>286</v>
      </c>
      <c r="L97" s="26">
        <v>20385</v>
      </c>
      <c r="M97" s="26">
        <v>199</v>
      </c>
      <c r="N97" s="26">
        <v>2378</v>
      </c>
      <c r="O97" s="26">
        <v>1091</v>
      </c>
      <c r="P97" s="207">
        <v>24053</v>
      </c>
      <c r="Q97" s="263">
        <v>99.172660375005194</v>
      </c>
      <c r="R97" s="27">
        <v>1214</v>
      </c>
      <c r="S97" s="263">
        <v>10.645466124327212</v>
      </c>
      <c r="T97" s="27">
        <v>2829</v>
      </c>
      <c r="U97" s="27">
        <v>676</v>
      </c>
      <c r="V97" s="207">
        <v>3704</v>
      </c>
      <c r="W97" s="27"/>
      <c r="X97" s="27"/>
      <c r="Y97" s="27"/>
      <c r="Z97" s="27"/>
    </row>
    <row r="98" spans="2:27" ht="11.1" customHeight="1" x14ac:dyDescent="0.2">
      <c r="B98" s="254">
        <v>41365</v>
      </c>
      <c r="C98" s="20" t="s">
        <v>181</v>
      </c>
      <c r="D98" s="24" t="s">
        <v>226</v>
      </c>
      <c r="E98" s="24" t="s">
        <v>227</v>
      </c>
      <c r="F98" s="272">
        <v>67951</v>
      </c>
      <c r="G98" s="26">
        <v>67951</v>
      </c>
      <c r="H98" s="26">
        <v>24057</v>
      </c>
      <c r="I98" s="26">
        <v>22427</v>
      </c>
      <c r="J98" s="26">
        <v>0</v>
      </c>
      <c r="K98" s="26">
        <v>0</v>
      </c>
      <c r="L98" s="26">
        <v>20020</v>
      </c>
      <c r="M98" s="26">
        <v>212</v>
      </c>
      <c r="N98" s="26">
        <v>2664</v>
      </c>
      <c r="O98" s="26">
        <v>1168</v>
      </c>
      <c r="P98" s="207">
        <v>24064</v>
      </c>
      <c r="Q98" s="263">
        <v>99.119015957446805</v>
      </c>
      <c r="R98" s="27">
        <v>95</v>
      </c>
      <c r="S98" s="263">
        <v>5.2485039893617014</v>
      </c>
      <c r="T98" s="27">
        <v>2178</v>
      </c>
      <c r="U98" s="27">
        <v>764</v>
      </c>
      <c r="V98" s="207">
        <v>3154</v>
      </c>
      <c r="W98" s="27"/>
      <c r="X98" s="27"/>
      <c r="Y98" s="27"/>
      <c r="Z98" s="27"/>
    </row>
    <row r="99" spans="2:27" ht="11.1" customHeight="1" x14ac:dyDescent="0.2">
      <c r="B99" s="254">
        <v>41730</v>
      </c>
      <c r="C99" s="20" t="s">
        <v>36</v>
      </c>
      <c r="D99" s="24" t="s">
        <v>226</v>
      </c>
      <c r="E99" s="24" t="s">
        <v>227</v>
      </c>
      <c r="F99" s="272">
        <v>67767</v>
      </c>
      <c r="G99" s="26">
        <v>67767</v>
      </c>
      <c r="H99" s="26">
        <v>24183</v>
      </c>
      <c r="I99" s="26">
        <v>22628</v>
      </c>
      <c r="J99" s="26">
        <v>0</v>
      </c>
      <c r="K99" s="26">
        <v>0</v>
      </c>
      <c r="L99" s="26">
        <v>20242</v>
      </c>
      <c r="M99" s="26">
        <v>62</v>
      </c>
      <c r="N99" s="26">
        <v>2768</v>
      </c>
      <c r="O99" s="26">
        <v>1159</v>
      </c>
      <c r="P99" s="207">
        <v>24231</v>
      </c>
      <c r="Q99" s="263">
        <v>99.744129420989651</v>
      </c>
      <c r="R99" s="27">
        <v>97</v>
      </c>
      <c r="S99" s="263">
        <v>5.1834426973711363</v>
      </c>
      <c r="T99" s="27">
        <v>2027</v>
      </c>
      <c r="U99" s="27">
        <v>783</v>
      </c>
      <c r="V99" s="207">
        <v>2872</v>
      </c>
      <c r="W99" s="27"/>
      <c r="X99" s="27"/>
      <c r="Y99" s="27"/>
      <c r="Z99" s="27"/>
    </row>
    <row r="100" spans="2:27" ht="11.1" customHeight="1" x14ac:dyDescent="0.2">
      <c r="B100" s="254">
        <v>42095</v>
      </c>
      <c r="C100" s="20" t="s">
        <v>37</v>
      </c>
      <c r="D100" s="273" t="s">
        <v>226</v>
      </c>
      <c r="E100" s="273" t="s">
        <v>227</v>
      </c>
      <c r="F100" s="274">
        <v>67767</v>
      </c>
      <c r="G100" s="274">
        <v>67767</v>
      </c>
      <c r="H100" s="274">
        <v>23899</v>
      </c>
      <c r="I100" s="274">
        <v>22539</v>
      </c>
      <c r="J100" s="274">
        <v>0</v>
      </c>
      <c r="K100" s="274">
        <v>299</v>
      </c>
      <c r="L100" s="274">
        <v>20173</v>
      </c>
      <c r="M100" s="274">
        <v>36</v>
      </c>
      <c r="N100" s="274">
        <v>2527</v>
      </c>
      <c r="O100" s="274">
        <v>1102</v>
      </c>
      <c r="P100" s="207">
        <v>23838</v>
      </c>
      <c r="Q100" s="263">
        <v>99.848980619179457</v>
      </c>
      <c r="R100" s="274">
        <v>83</v>
      </c>
      <c r="S100" s="263">
        <v>6.1482371462899286</v>
      </c>
      <c r="T100" s="274">
        <v>2397</v>
      </c>
      <c r="U100" s="274">
        <v>808</v>
      </c>
      <c r="V100" s="207">
        <v>3241</v>
      </c>
      <c r="W100" s="210"/>
      <c r="X100" s="210"/>
      <c r="Y100" s="210"/>
      <c r="Z100" s="274">
        <v>1061</v>
      </c>
      <c r="AA100" s="475">
        <f>L100/F100</f>
        <v>0.29768176250977613</v>
      </c>
    </row>
    <row r="101" spans="2:27" ht="11.1" customHeight="1" x14ac:dyDescent="0.2">
      <c r="B101" s="254">
        <v>42461</v>
      </c>
      <c r="C101" s="20" t="s">
        <v>38</v>
      </c>
      <c r="D101" s="275" t="s">
        <v>226</v>
      </c>
      <c r="E101" s="275" t="s">
        <v>227</v>
      </c>
      <c r="F101" s="276">
        <v>65488</v>
      </c>
      <c r="G101" s="276">
        <v>65488</v>
      </c>
      <c r="H101" s="276">
        <v>24057</v>
      </c>
      <c r="I101" s="276">
        <v>22320</v>
      </c>
      <c r="J101" s="276">
        <v>0</v>
      </c>
      <c r="K101" s="276">
        <v>292</v>
      </c>
      <c r="L101" s="276">
        <v>20022</v>
      </c>
      <c r="M101" s="276">
        <v>47</v>
      </c>
      <c r="N101" s="276">
        <v>2531</v>
      </c>
      <c r="O101" s="276">
        <v>1083</v>
      </c>
      <c r="P101" s="207">
        <v>23683</v>
      </c>
      <c r="Q101" s="263">
        <v>99.801545412321076</v>
      </c>
      <c r="R101" s="276">
        <v>82</v>
      </c>
      <c r="S101" s="263">
        <v>6.0771637122002087</v>
      </c>
      <c r="T101" s="276">
        <v>2428</v>
      </c>
      <c r="U101" s="276">
        <v>754</v>
      </c>
      <c r="V101" s="207">
        <v>3229</v>
      </c>
      <c r="W101" s="210"/>
      <c r="X101" s="210"/>
      <c r="Y101" s="210"/>
      <c r="Z101" s="276">
        <v>1445</v>
      </c>
      <c r="AA101" s="475">
        <f t="shared" ref="AA101:AA102" si="2">L101/F101</f>
        <v>0.30573540190569265</v>
      </c>
    </row>
    <row r="102" spans="2:27" ht="11.1" customHeight="1" x14ac:dyDescent="0.2">
      <c r="B102" s="254">
        <v>42826</v>
      </c>
      <c r="C102" s="277" t="s">
        <v>182</v>
      </c>
      <c r="D102" s="25" t="s">
        <v>226</v>
      </c>
      <c r="E102" s="24" t="s">
        <v>227</v>
      </c>
      <c r="F102" s="27">
        <v>65138</v>
      </c>
      <c r="G102" s="27">
        <v>65138</v>
      </c>
      <c r="H102" s="278">
        <v>23444</v>
      </c>
      <c r="I102" s="27">
        <v>21657</v>
      </c>
      <c r="J102" s="27">
        <v>0</v>
      </c>
      <c r="K102" s="27">
        <v>293</v>
      </c>
      <c r="L102" s="27">
        <v>19319</v>
      </c>
      <c r="M102" s="27">
        <v>27</v>
      </c>
      <c r="N102" s="27">
        <v>2581</v>
      </c>
      <c r="O102" s="27">
        <v>1143</v>
      </c>
      <c r="P102" s="207">
        <v>23070</v>
      </c>
      <c r="Q102" s="209">
        <v>99.882964889466848</v>
      </c>
      <c r="R102" s="27">
        <v>1207</v>
      </c>
      <c r="S102" s="209">
        <v>11.312759491503661</v>
      </c>
      <c r="T102" s="27">
        <v>2409</v>
      </c>
      <c r="U102" s="27">
        <v>715</v>
      </c>
      <c r="V102" s="207">
        <v>3151</v>
      </c>
      <c r="W102" s="27"/>
      <c r="X102" s="27"/>
      <c r="Y102" s="27"/>
      <c r="Z102" s="27">
        <v>1494</v>
      </c>
      <c r="AA102" s="475">
        <f t="shared" si="2"/>
        <v>0.29658571033805153</v>
      </c>
    </row>
    <row r="103" spans="2:27" ht="50.25" customHeight="1" x14ac:dyDescent="0.15">
      <c r="B103" s="205" t="s">
        <v>5</v>
      </c>
      <c r="C103" s="240" t="s">
        <v>6</v>
      </c>
      <c r="D103" s="241" t="s">
        <v>7</v>
      </c>
      <c r="E103" s="241" t="s">
        <v>8</v>
      </c>
      <c r="F103" s="241" t="s">
        <v>9</v>
      </c>
      <c r="G103" s="247" t="s">
        <v>220</v>
      </c>
      <c r="H103" s="248" t="s">
        <v>39</v>
      </c>
      <c r="I103" s="241" t="s">
        <v>11</v>
      </c>
      <c r="J103" s="241" t="s">
        <v>221</v>
      </c>
      <c r="K103" s="242" t="s">
        <v>222</v>
      </c>
      <c r="L103" s="241" t="s">
        <v>223</v>
      </c>
      <c r="M103" s="247" t="s">
        <v>12</v>
      </c>
      <c r="N103" s="249" t="s">
        <v>13</v>
      </c>
      <c r="O103" s="242" t="s">
        <v>14</v>
      </c>
      <c r="P103" s="250" t="s">
        <v>15</v>
      </c>
      <c r="Q103" s="251" t="s">
        <v>16</v>
      </c>
      <c r="R103" s="249" t="s">
        <v>214</v>
      </c>
      <c r="S103" s="251" t="s">
        <v>17</v>
      </c>
      <c r="T103" s="242" t="s">
        <v>18</v>
      </c>
      <c r="U103" s="242" t="s">
        <v>19</v>
      </c>
      <c r="V103" s="251" t="s">
        <v>20</v>
      </c>
      <c r="W103" s="241" t="s">
        <v>21</v>
      </c>
      <c r="X103" s="241" t="s">
        <v>224</v>
      </c>
      <c r="Y103" s="252" t="s">
        <v>225</v>
      </c>
      <c r="Z103" s="253" t="s">
        <v>179</v>
      </c>
    </row>
  </sheetData>
  <phoneticPr fontId="5"/>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2:P140"/>
  <sheetViews>
    <sheetView zoomScale="75" zoomScaleNormal="75" workbookViewId="0">
      <selection activeCell="J66" sqref="J66"/>
    </sheetView>
  </sheetViews>
  <sheetFormatPr defaultColWidth="5" defaultRowHeight="12" customHeight="1" x14ac:dyDescent="0.15"/>
  <cols>
    <col min="1" max="16384" width="5" style="324"/>
  </cols>
  <sheetData>
    <row r="2" spans="2:16" ht="12" customHeight="1" x14ac:dyDescent="0.15">
      <c r="B2" s="329" t="s">
        <v>401</v>
      </c>
      <c r="C2" s="330"/>
      <c r="D2" s="330"/>
      <c r="E2" s="330"/>
      <c r="F2" s="330"/>
      <c r="G2" s="330"/>
      <c r="H2" s="330"/>
      <c r="I2" s="330"/>
      <c r="J2" s="330"/>
      <c r="K2" s="330"/>
      <c r="L2" s="330"/>
      <c r="M2" s="330"/>
      <c r="N2" s="330"/>
      <c r="O2" s="330"/>
      <c r="P2" s="331"/>
    </row>
    <row r="3" spans="2:16" s="333" customFormat="1" ht="12" customHeight="1" x14ac:dyDescent="0.15">
      <c r="B3" s="286" t="s">
        <v>402</v>
      </c>
      <c r="C3" s="332"/>
      <c r="D3" s="332"/>
      <c r="E3" s="332"/>
      <c r="F3" s="332"/>
      <c r="G3" s="332"/>
      <c r="H3" s="332"/>
      <c r="I3" s="332"/>
      <c r="J3" s="332"/>
      <c r="K3" s="332"/>
      <c r="L3" s="332"/>
      <c r="M3" s="332"/>
      <c r="N3" s="332"/>
      <c r="O3" s="332"/>
      <c r="P3" s="332"/>
    </row>
    <row r="4" spans="2:16" ht="12" customHeight="1" x14ac:dyDescent="0.15">
      <c r="B4" s="334" t="s">
        <v>403</v>
      </c>
      <c r="C4" s="335" t="s">
        <v>404</v>
      </c>
      <c r="D4" s="335" t="s">
        <v>405</v>
      </c>
      <c r="E4" s="336" t="s">
        <v>406</v>
      </c>
      <c r="F4" s="337" t="s">
        <v>407</v>
      </c>
      <c r="G4" s="335" t="s">
        <v>408</v>
      </c>
      <c r="H4" s="338"/>
      <c r="I4" s="339" t="s">
        <v>409</v>
      </c>
      <c r="J4" s="340" t="s">
        <v>410</v>
      </c>
      <c r="K4" s="341" t="s">
        <v>406</v>
      </c>
      <c r="L4" s="342" t="s">
        <v>411</v>
      </c>
    </row>
    <row r="5" spans="2:16" ht="12" customHeight="1" x14ac:dyDescent="0.15">
      <c r="B5" s="343"/>
      <c r="C5" s="344">
        <v>137</v>
      </c>
      <c r="D5" s="345" t="s">
        <v>356</v>
      </c>
      <c r="E5" s="346" t="s">
        <v>356</v>
      </c>
      <c r="F5" s="346" t="s">
        <v>356</v>
      </c>
      <c r="G5" s="346" t="s">
        <v>356</v>
      </c>
      <c r="H5" s="345" t="s">
        <v>356</v>
      </c>
      <c r="I5" s="346" t="s">
        <v>356</v>
      </c>
      <c r="J5" s="346" t="s">
        <v>356</v>
      </c>
      <c r="K5" s="345" t="s">
        <v>356</v>
      </c>
      <c r="L5" s="346" t="s">
        <v>356</v>
      </c>
    </row>
    <row r="6" spans="2:16" ht="12" customHeight="1" x14ac:dyDescent="0.15">
      <c r="B6" s="347"/>
      <c r="C6" s="345" t="s">
        <v>0</v>
      </c>
      <c r="D6" s="345" t="s">
        <v>356</v>
      </c>
      <c r="E6" s="346" t="s">
        <v>356</v>
      </c>
      <c r="F6" s="346" t="s">
        <v>356</v>
      </c>
      <c r="G6" s="346" t="s">
        <v>356</v>
      </c>
      <c r="H6" s="345" t="s">
        <v>356</v>
      </c>
      <c r="I6" s="346" t="s">
        <v>356</v>
      </c>
      <c r="J6" s="346" t="s">
        <v>356</v>
      </c>
      <c r="K6" s="345" t="s">
        <v>356</v>
      </c>
      <c r="L6" s="346" t="s">
        <v>356</v>
      </c>
    </row>
    <row r="7" spans="2:16" ht="12" customHeight="1" x14ac:dyDescent="0.15">
      <c r="B7" s="348" t="s">
        <v>412</v>
      </c>
      <c r="C7" s="344">
        <v>134</v>
      </c>
      <c r="D7" s="345" t="s">
        <v>356</v>
      </c>
      <c r="E7" s="346" t="s">
        <v>356</v>
      </c>
      <c r="F7" s="346" t="s">
        <v>356</v>
      </c>
      <c r="G7" s="346" t="s">
        <v>356</v>
      </c>
      <c r="H7" s="345" t="s">
        <v>356</v>
      </c>
      <c r="I7" s="346" t="s">
        <v>356</v>
      </c>
      <c r="J7" s="346" t="s">
        <v>356</v>
      </c>
      <c r="K7" s="345" t="s">
        <v>356</v>
      </c>
      <c r="L7" s="346" t="s">
        <v>356</v>
      </c>
    </row>
    <row r="8" spans="2:16" ht="12" customHeight="1" x14ac:dyDescent="0.15">
      <c r="B8" s="349"/>
      <c r="C8" s="344">
        <v>137</v>
      </c>
      <c r="D8" s="345" t="s">
        <v>356</v>
      </c>
      <c r="E8" s="346" t="s">
        <v>356</v>
      </c>
      <c r="F8" s="346" t="s">
        <v>356</v>
      </c>
      <c r="G8" s="346" t="s">
        <v>356</v>
      </c>
      <c r="H8" s="345" t="s">
        <v>356</v>
      </c>
      <c r="I8" s="346" t="s">
        <v>356</v>
      </c>
      <c r="J8" s="346" t="s">
        <v>356</v>
      </c>
      <c r="K8" s="345" t="s">
        <v>356</v>
      </c>
      <c r="L8" s="346" t="s">
        <v>356</v>
      </c>
    </row>
    <row r="9" spans="2:16" ht="12" customHeight="1" x14ac:dyDescent="0.15">
      <c r="B9" s="350"/>
      <c r="C9" s="345" t="s">
        <v>0</v>
      </c>
      <c r="D9" s="345" t="s">
        <v>356</v>
      </c>
      <c r="E9" s="346" t="s">
        <v>356</v>
      </c>
      <c r="F9" s="346" t="s">
        <v>356</v>
      </c>
      <c r="G9" s="346" t="s">
        <v>356</v>
      </c>
      <c r="H9" s="345" t="s">
        <v>356</v>
      </c>
      <c r="I9" s="346" t="s">
        <v>356</v>
      </c>
      <c r="J9" s="346" t="s">
        <v>356</v>
      </c>
      <c r="K9" s="345" t="s">
        <v>356</v>
      </c>
      <c r="L9" s="346" t="s">
        <v>356</v>
      </c>
    </row>
    <row r="10" spans="2:16" ht="12" customHeight="1" x14ac:dyDescent="0.15">
      <c r="B10" s="348" t="s">
        <v>413</v>
      </c>
      <c r="C10" s="344">
        <v>134</v>
      </c>
      <c r="D10" s="345" t="s">
        <v>356</v>
      </c>
      <c r="E10" s="346" t="s">
        <v>356</v>
      </c>
      <c r="F10" s="346" t="s">
        <v>356</v>
      </c>
      <c r="G10" s="346" t="s">
        <v>356</v>
      </c>
      <c r="H10" s="345" t="s">
        <v>356</v>
      </c>
      <c r="I10" s="346" t="s">
        <v>356</v>
      </c>
      <c r="J10" s="346" t="s">
        <v>356</v>
      </c>
      <c r="K10" s="345" t="s">
        <v>356</v>
      </c>
      <c r="L10" s="346" t="s">
        <v>356</v>
      </c>
    </row>
    <row r="11" spans="2:16" ht="12" customHeight="1" x14ac:dyDescent="0.15">
      <c r="B11" s="349"/>
      <c r="C11" s="344">
        <v>137</v>
      </c>
      <c r="D11" s="345" t="s">
        <v>356</v>
      </c>
      <c r="E11" s="346" t="s">
        <v>356</v>
      </c>
      <c r="F11" s="346" t="s">
        <v>356</v>
      </c>
      <c r="G11" s="346" t="s">
        <v>356</v>
      </c>
      <c r="H11" s="345" t="s">
        <v>356</v>
      </c>
      <c r="I11" s="346" t="s">
        <v>356</v>
      </c>
      <c r="J11" s="346" t="s">
        <v>356</v>
      </c>
      <c r="K11" s="345" t="s">
        <v>356</v>
      </c>
      <c r="L11" s="346" t="s">
        <v>356</v>
      </c>
    </row>
    <row r="12" spans="2:16" ht="12" customHeight="1" x14ac:dyDescent="0.15">
      <c r="B12" s="350"/>
      <c r="C12" s="345" t="s">
        <v>0</v>
      </c>
      <c r="D12" s="345" t="s">
        <v>356</v>
      </c>
      <c r="E12" s="346" t="s">
        <v>356</v>
      </c>
      <c r="F12" s="346" t="s">
        <v>356</v>
      </c>
      <c r="G12" s="346" t="s">
        <v>356</v>
      </c>
      <c r="H12" s="345" t="s">
        <v>356</v>
      </c>
      <c r="I12" s="346" t="s">
        <v>356</v>
      </c>
      <c r="J12" s="346" t="s">
        <v>356</v>
      </c>
      <c r="K12" s="345" t="s">
        <v>356</v>
      </c>
      <c r="L12" s="346" t="s">
        <v>356</v>
      </c>
    </row>
    <row r="13" spans="2:16" ht="12" customHeight="1" x14ac:dyDescent="0.15">
      <c r="B13" s="348" t="s">
        <v>414</v>
      </c>
      <c r="C13" s="344">
        <v>134</v>
      </c>
      <c r="D13" s="345" t="s">
        <v>356</v>
      </c>
      <c r="E13" s="346" t="s">
        <v>356</v>
      </c>
      <c r="F13" s="346" t="s">
        <v>356</v>
      </c>
      <c r="G13" s="346" t="s">
        <v>356</v>
      </c>
      <c r="H13" s="345" t="s">
        <v>356</v>
      </c>
      <c r="I13" s="346" t="s">
        <v>356</v>
      </c>
      <c r="J13" s="346" t="s">
        <v>356</v>
      </c>
      <c r="K13" s="345" t="s">
        <v>356</v>
      </c>
      <c r="L13" s="346" t="s">
        <v>356</v>
      </c>
    </row>
    <row r="14" spans="2:16" ht="12" customHeight="1" x14ac:dyDescent="0.15">
      <c r="B14" s="349"/>
      <c r="C14" s="344">
        <v>137</v>
      </c>
      <c r="D14" s="345" t="s">
        <v>356</v>
      </c>
      <c r="E14" s="346" t="s">
        <v>356</v>
      </c>
      <c r="F14" s="346" t="s">
        <v>356</v>
      </c>
      <c r="G14" s="346" t="s">
        <v>356</v>
      </c>
      <c r="H14" s="345" t="s">
        <v>356</v>
      </c>
      <c r="I14" s="346" t="s">
        <v>356</v>
      </c>
      <c r="J14" s="346" t="s">
        <v>356</v>
      </c>
      <c r="K14" s="345" t="s">
        <v>356</v>
      </c>
      <c r="L14" s="346" t="s">
        <v>356</v>
      </c>
    </row>
    <row r="15" spans="2:16" ht="12" customHeight="1" x14ac:dyDescent="0.15">
      <c r="B15" s="350"/>
      <c r="C15" s="345" t="s">
        <v>0</v>
      </c>
      <c r="D15" s="345" t="s">
        <v>356</v>
      </c>
      <c r="E15" s="346" t="s">
        <v>356</v>
      </c>
      <c r="F15" s="346" t="s">
        <v>356</v>
      </c>
      <c r="G15" s="346" t="s">
        <v>356</v>
      </c>
      <c r="H15" s="345" t="s">
        <v>356</v>
      </c>
      <c r="I15" s="346" t="s">
        <v>356</v>
      </c>
      <c r="J15" s="346" t="s">
        <v>356</v>
      </c>
      <c r="K15" s="345" t="s">
        <v>356</v>
      </c>
      <c r="L15" s="346" t="s">
        <v>356</v>
      </c>
    </row>
    <row r="16" spans="2:16" ht="12" customHeight="1" x14ac:dyDescent="0.15">
      <c r="B16" s="348" t="s">
        <v>415</v>
      </c>
      <c r="C16" s="344">
        <v>134</v>
      </c>
      <c r="D16" s="345" t="s">
        <v>356</v>
      </c>
      <c r="E16" s="346" t="s">
        <v>356</v>
      </c>
      <c r="F16" s="346" t="s">
        <v>356</v>
      </c>
      <c r="G16" s="346" t="s">
        <v>356</v>
      </c>
      <c r="H16" s="345" t="s">
        <v>356</v>
      </c>
      <c r="I16" s="346" t="s">
        <v>356</v>
      </c>
      <c r="J16" s="346" t="s">
        <v>356</v>
      </c>
      <c r="K16" s="345" t="s">
        <v>356</v>
      </c>
      <c r="L16" s="346" t="s">
        <v>356</v>
      </c>
    </row>
    <row r="17" spans="2:16" ht="12" customHeight="1" x14ac:dyDescent="0.15">
      <c r="B17" s="349"/>
      <c r="C17" s="344">
        <v>137</v>
      </c>
      <c r="D17" s="345" t="s">
        <v>356</v>
      </c>
      <c r="E17" s="346" t="s">
        <v>356</v>
      </c>
      <c r="F17" s="346" t="s">
        <v>356</v>
      </c>
      <c r="G17" s="346" t="s">
        <v>356</v>
      </c>
      <c r="H17" s="345" t="s">
        <v>356</v>
      </c>
      <c r="I17" s="346" t="s">
        <v>356</v>
      </c>
      <c r="J17" s="346" t="s">
        <v>356</v>
      </c>
      <c r="K17" s="345" t="s">
        <v>356</v>
      </c>
      <c r="L17" s="346" t="s">
        <v>356</v>
      </c>
    </row>
    <row r="18" spans="2:16" ht="12" customHeight="1" x14ac:dyDescent="0.15">
      <c r="B18" s="350"/>
      <c r="C18" s="345" t="s">
        <v>0</v>
      </c>
      <c r="D18" s="345" t="s">
        <v>356</v>
      </c>
      <c r="E18" s="346" t="s">
        <v>356</v>
      </c>
      <c r="F18" s="346" t="s">
        <v>356</v>
      </c>
      <c r="G18" s="346" t="s">
        <v>356</v>
      </c>
      <c r="H18" s="345" t="s">
        <v>356</v>
      </c>
      <c r="I18" s="346" t="s">
        <v>356</v>
      </c>
      <c r="J18" s="346" t="s">
        <v>356</v>
      </c>
      <c r="K18" s="345" t="s">
        <v>356</v>
      </c>
      <c r="L18" s="346" t="s">
        <v>356</v>
      </c>
    </row>
    <row r="19" spans="2:16" ht="12" customHeight="1" x14ac:dyDescent="0.15">
      <c r="B19" s="348" t="s">
        <v>416</v>
      </c>
      <c r="C19" s="344">
        <v>134</v>
      </c>
      <c r="D19" s="345" t="s">
        <v>356</v>
      </c>
      <c r="E19" s="346" t="s">
        <v>356</v>
      </c>
      <c r="F19" s="346" t="s">
        <v>356</v>
      </c>
      <c r="G19" s="346" t="s">
        <v>356</v>
      </c>
      <c r="H19" s="345" t="s">
        <v>356</v>
      </c>
      <c r="I19" s="346" t="s">
        <v>356</v>
      </c>
      <c r="J19" s="346" t="s">
        <v>356</v>
      </c>
      <c r="K19" s="345" t="s">
        <v>356</v>
      </c>
      <c r="L19" s="346" t="s">
        <v>356</v>
      </c>
    </row>
    <row r="20" spans="2:16" ht="12" customHeight="1" x14ac:dyDescent="0.15">
      <c r="B20" s="349"/>
      <c r="C20" s="344">
        <v>137</v>
      </c>
      <c r="D20" s="345" t="s">
        <v>356</v>
      </c>
      <c r="E20" s="346" t="s">
        <v>356</v>
      </c>
      <c r="F20" s="346" t="s">
        <v>356</v>
      </c>
      <c r="G20" s="346" t="s">
        <v>356</v>
      </c>
      <c r="H20" s="345" t="s">
        <v>356</v>
      </c>
      <c r="I20" s="346" t="s">
        <v>356</v>
      </c>
      <c r="J20" s="346" t="s">
        <v>356</v>
      </c>
      <c r="K20" s="345" t="s">
        <v>356</v>
      </c>
      <c r="L20" s="346" t="s">
        <v>356</v>
      </c>
    </row>
    <row r="21" spans="2:16" ht="12" customHeight="1" x14ac:dyDescent="0.15">
      <c r="B21" s="349"/>
      <c r="C21" s="351" t="s">
        <v>0</v>
      </c>
      <c r="D21" s="351" t="s">
        <v>356</v>
      </c>
      <c r="E21" s="348" t="s">
        <v>356</v>
      </c>
      <c r="F21" s="348" t="s">
        <v>356</v>
      </c>
      <c r="G21" s="348" t="s">
        <v>356</v>
      </c>
      <c r="H21" s="351" t="s">
        <v>356</v>
      </c>
      <c r="I21" s="348" t="s">
        <v>356</v>
      </c>
      <c r="J21" s="348" t="s">
        <v>356</v>
      </c>
      <c r="K21" s="351" t="s">
        <v>356</v>
      </c>
      <c r="L21" s="348" t="s">
        <v>356</v>
      </c>
    </row>
    <row r="22" spans="2:16" s="333" customFormat="1" ht="12" customHeight="1" x14ac:dyDescent="0.15">
      <c r="B22" s="286" t="s">
        <v>417</v>
      </c>
      <c r="C22" s="332"/>
      <c r="D22" s="332"/>
      <c r="E22" s="332"/>
      <c r="F22" s="332"/>
      <c r="G22" s="332"/>
      <c r="H22" s="332"/>
      <c r="I22" s="332"/>
      <c r="J22" s="332"/>
      <c r="K22" s="332"/>
      <c r="L22" s="332"/>
      <c r="M22" s="332"/>
      <c r="N22" s="332"/>
      <c r="O22" s="332"/>
      <c r="P22" s="332"/>
    </row>
    <row r="23" spans="2:16" s="333" customFormat="1" ht="12" customHeight="1" x14ac:dyDescent="0.15">
      <c r="B23" s="332" t="s">
        <v>418</v>
      </c>
      <c r="C23" s="332"/>
      <c r="D23" s="332"/>
      <c r="E23" s="332"/>
      <c r="F23" s="332"/>
      <c r="G23" s="332"/>
      <c r="H23" s="332"/>
      <c r="I23" s="332"/>
      <c r="J23" s="332"/>
      <c r="K23" s="332"/>
      <c r="L23" s="332"/>
      <c r="M23" s="332"/>
      <c r="P23" s="332"/>
    </row>
    <row r="24" spans="2:16" s="333" customFormat="1" ht="12" customHeight="1" x14ac:dyDescent="0.15">
      <c r="B24" s="332"/>
      <c r="C24" s="332"/>
      <c r="D24" s="332"/>
      <c r="E24" s="332"/>
      <c r="F24" s="332"/>
      <c r="G24" s="332"/>
      <c r="H24" s="332"/>
      <c r="I24" s="332"/>
      <c r="J24" s="332"/>
      <c r="K24" s="332"/>
      <c r="L24" s="332"/>
      <c r="M24" s="332"/>
      <c r="P24" s="332"/>
    </row>
    <row r="25" spans="2:16" s="333" customFormat="1" ht="12" customHeight="1" x14ac:dyDescent="0.15">
      <c r="B25" s="333" t="s">
        <v>419</v>
      </c>
      <c r="D25" s="332"/>
      <c r="E25" s="332"/>
      <c r="F25" s="332"/>
      <c r="G25" s="332"/>
      <c r="H25" s="332"/>
      <c r="I25" s="332"/>
      <c r="J25" s="332"/>
      <c r="K25" s="332"/>
      <c r="L25" s="332"/>
      <c r="M25" s="332"/>
      <c r="P25" s="332"/>
    </row>
    <row r="26" spans="2:16" s="333" customFormat="1" ht="12" customHeight="1" x14ac:dyDescent="0.15">
      <c r="B26" s="324" t="s">
        <v>420</v>
      </c>
      <c r="D26" s="332"/>
      <c r="E26" s="332"/>
      <c r="F26" s="332"/>
      <c r="G26" s="332"/>
      <c r="H26" s="332"/>
      <c r="I26" s="332"/>
      <c r="J26" s="332"/>
      <c r="K26" s="332"/>
      <c r="L26" s="332"/>
      <c r="M26" s="332"/>
      <c r="P26" s="332"/>
    </row>
    <row r="27" spans="2:16" s="333" customFormat="1" ht="12" customHeight="1" x14ac:dyDescent="0.15">
      <c r="B27" s="332"/>
      <c r="C27" s="332"/>
      <c r="D27" s="286" t="s">
        <v>421</v>
      </c>
      <c r="E27" s="332"/>
      <c r="F27" s="286" t="s">
        <v>422</v>
      </c>
      <c r="G27" s="332"/>
      <c r="H27" s="332"/>
      <c r="I27" s="332"/>
      <c r="J27" s="332"/>
      <c r="K27" s="286" t="s">
        <v>423</v>
      </c>
      <c r="L27" s="332"/>
      <c r="M27" s="332"/>
      <c r="O27" s="332"/>
      <c r="P27" s="332"/>
    </row>
    <row r="28" spans="2:16" s="333" customFormat="1" ht="12" customHeight="1" x14ac:dyDescent="0.15">
      <c r="B28" s="286" t="s">
        <v>424</v>
      </c>
      <c r="C28" s="332"/>
      <c r="D28" s="332"/>
      <c r="E28" s="332"/>
      <c r="F28" s="332"/>
      <c r="G28" s="332"/>
      <c r="H28" s="332"/>
      <c r="I28" s="332"/>
      <c r="J28" s="332"/>
      <c r="K28" s="332"/>
      <c r="L28" s="332"/>
      <c r="M28" s="332"/>
      <c r="N28" s="332"/>
      <c r="O28" s="332"/>
      <c r="P28" s="332"/>
    </row>
    <row r="29" spans="2:16" s="333" customFormat="1" ht="12" customHeight="1" x14ac:dyDescent="0.15"/>
    <row r="30" spans="2:16" s="333" customFormat="1" ht="12" customHeight="1" x14ac:dyDescent="0.15">
      <c r="B30" s="286" t="s">
        <v>425</v>
      </c>
      <c r="C30" s="332"/>
      <c r="D30" s="332"/>
      <c r="E30" s="332"/>
      <c r="F30" s="332"/>
      <c r="G30" s="332"/>
      <c r="H30" s="332"/>
      <c r="I30" s="332"/>
      <c r="J30" s="332"/>
      <c r="K30" s="332"/>
      <c r="L30" s="332"/>
      <c r="M30" s="332"/>
      <c r="N30" s="332"/>
      <c r="O30" s="332"/>
    </row>
    <row r="31" spans="2:16" s="333" customFormat="1" ht="12" customHeight="1" x14ac:dyDescent="0.15">
      <c r="B31" s="286" t="s">
        <v>402</v>
      </c>
      <c r="C31" s="332"/>
      <c r="D31" s="332"/>
      <c r="E31" s="332"/>
      <c r="F31" s="332"/>
      <c r="G31" s="332"/>
      <c r="H31" s="332"/>
      <c r="I31" s="332"/>
      <c r="J31" s="332"/>
      <c r="K31" s="332"/>
      <c r="L31" s="332"/>
      <c r="M31" s="332"/>
      <c r="N31" s="332"/>
      <c r="O31" s="332"/>
    </row>
    <row r="32" spans="2:16" ht="12" customHeight="1" x14ac:dyDescent="0.15">
      <c r="B32" s="334" t="s">
        <v>426</v>
      </c>
      <c r="C32" s="337" t="s">
        <v>427</v>
      </c>
      <c r="D32" s="335" t="s">
        <v>428</v>
      </c>
      <c r="E32" s="352"/>
      <c r="F32" s="336" t="s">
        <v>411</v>
      </c>
      <c r="G32" s="335" t="s">
        <v>428</v>
      </c>
      <c r="H32" s="338"/>
      <c r="I32" s="336" t="s">
        <v>429</v>
      </c>
      <c r="J32" s="335" t="s">
        <v>428</v>
      </c>
      <c r="K32" s="338"/>
      <c r="L32" s="336" t="s">
        <v>411</v>
      </c>
    </row>
    <row r="33" spans="2:12" ht="12" customHeight="1" x14ac:dyDescent="0.15">
      <c r="B33" s="343"/>
      <c r="C33" s="353">
        <v>137</v>
      </c>
      <c r="D33" s="345" t="s">
        <v>356</v>
      </c>
      <c r="E33" s="346" t="s">
        <v>356</v>
      </c>
      <c r="F33" s="346" t="s">
        <v>356</v>
      </c>
      <c r="G33" s="346" t="s">
        <v>356</v>
      </c>
      <c r="H33" s="345" t="s">
        <v>356</v>
      </c>
      <c r="I33" s="346" t="s">
        <v>356</v>
      </c>
      <c r="J33" s="346" t="s">
        <v>356</v>
      </c>
      <c r="K33" s="345" t="s">
        <v>356</v>
      </c>
      <c r="L33" s="346" t="s">
        <v>356</v>
      </c>
    </row>
    <row r="34" spans="2:12" ht="12" customHeight="1" x14ac:dyDescent="0.15">
      <c r="B34" s="347"/>
      <c r="C34" s="346" t="s">
        <v>0</v>
      </c>
      <c r="D34" s="345" t="s">
        <v>356</v>
      </c>
      <c r="E34" s="346" t="s">
        <v>356</v>
      </c>
      <c r="F34" s="346" t="s">
        <v>356</v>
      </c>
      <c r="G34" s="346" t="s">
        <v>356</v>
      </c>
      <c r="H34" s="345" t="s">
        <v>356</v>
      </c>
      <c r="I34" s="346" t="s">
        <v>356</v>
      </c>
      <c r="J34" s="346" t="s">
        <v>356</v>
      </c>
      <c r="K34" s="345" t="s">
        <v>356</v>
      </c>
      <c r="L34" s="346" t="s">
        <v>356</v>
      </c>
    </row>
    <row r="35" spans="2:12" ht="12" customHeight="1" x14ac:dyDescent="0.15">
      <c r="B35" s="348" t="s">
        <v>430</v>
      </c>
      <c r="C35" s="353">
        <v>134</v>
      </c>
      <c r="D35" s="345" t="s">
        <v>356</v>
      </c>
      <c r="E35" s="346" t="s">
        <v>356</v>
      </c>
      <c r="F35" s="346" t="s">
        <v>356</v>
      </c>
      <c r="G35" s="346" t="s">
        <v>356</v>
      </c>
      <c r="H35" s="345" t="s">
        <v>356</v>
      </c>
      <c r="I35" s="346" t="s">
        <v>356</v>
      </c>
      <c r="J35" s="346" t="s">
        <v>356</v>
      </c>
      <c r="K35" s="345" t="s">
        <v>356</v>
      </c>
      <c r="L35" s="346" t="s">
        <v>356</v>
      </c>
    </row>
    <row r="36" spans="2:12" ht="12" customHeight="1" x14ac:dyDescent="0.15">
      <c r="B36" s="349"/>
      <c r="C36" s="353">
        <v>137</v>
      </c>
      <c r="D36" s="345" t="s">
        <v>356</v>
      </c>
      <c r="E36" s="346" t="s">
        <v>356</v>
      </c>
      <c r="F36" s="346" t="s">
        <v>356</v>
      </c>
      <c r="G36" s="346" t="s">
        <v>356</v>
      </c>
      <c r="H36" s="345" t="s">
        <v>356</v>
      </c>
      <c r="I36" s="346" t="s">
        <v>356</v>
      </c>
      <c r="J36" s="346" t="s">
        <v>356</v>
      </c>
      <c r="K36" s="345" t="s">
        <v>356</v>
      </c>
      <c r="L36" s="346" t="s">
        <v>356</v>
      </c>
    </row>
    <row r="37" spans="2:12" ht="12" customHeight="1" x14ac:dyDescent="0.15">
      <c r="B37" s="350"/>
      <c r="C37" s="346" t="s">
        <v>0</v>
      </c>
      <c r="D37" s="345" t="s">
        <v>356</v>
      </c>
      <c r="E37" s="346" t="s">
        <v>356</v>
      </c>
      <c r="F37" s="346" t="s">
        <v>356</v>
      </c>
      <c r="G37" s="346" t="s">
        <v>356</v>
      </c>
      <c r="H37" s="345" t="s">
        <v>356</v>
      </c>
      <c r="I37" s="346" t="s">
        <v>356</v>
      </c>
      <c r="J37" s="346" t="s">
        <v>356</v>
      </c>
      <c r="K37" s="345" t="s">
        <v>356</v>
      </c>
      <c r="L37" s="346" t="s">
        <v>356</v>
      </c>
    </row>
    <row r="38" spans="2:12" ht="12" customHeight="1" x14ac:dyDescent="0.15">
      <c r="B38" s="348" t="s">
        <v>431</v>
      </c>
      <c r="C38" s="353">
        <v>134</v>
      </c>
      <c r="D38" s="345" t="s">
        <v>356</v>
      </c>
      <c r="E38" s="346" t="s">
        <v>356</v>
      </c>
      <c r="F38" s="346" t="s">
        <v>356</v>
      </c>
      <c r="G38" s="346" t="s">
        <v>356</v>
      </c>
      <c r="H38" s="345" t="s">
        <v>356</v>
      </c>
      <c r="I38" s="346" t="s">
        <v>356</v>
      </c>
      <c r="J38" s="346" t="s">
        <v>356</v>
      </c>
      <c r="K38" s="345" t="s">
        <v>356</v>
      </c>
      <c r="L38" s="346" t="s">
        <v>356</v>
      </c>
    </row>
    <row r="39" spans="2:12" ht="12" customHeight="1" x14ac:dyDescent="0.15">
      <c r="B39" s="349"/>
      <c r="C39" s="353">
        <v>137</v>
      </c>
      <c r="D39" s="345" t="s">
        <v>356</v>
      </c>
      <c r="E39" s="346" t="s">
        <v>356</v>
      </c>
      <c r="F39" s="346" t="s">
        <v>356</v>
      </c>
      <c r="G39" s="346" t="s">
        <v>356</v>
      </c>
      <c r="H39" s="345" t="s">
        <v>356</v>
      </c>
      <c r="I39" s="346" t="s">
        <v>356</v>
      </c>
      <c r="J39" s="346" t="s">
        <v>356</v>
      </c>
      <c r="K39" s="345" t="s">
        <v>356</v>
      </c>
      <c r="L39" s="346" t="s">
        <v>356</v>
      </c>
    </row>
    <row r="40" spans="2:12" ht="12" customHeight="1" x14ac:dyDescent="0.15">
      <c r="B40" s="350"/>
      <c r="C40" s="346" t="s">
        <v>0</v>
      </c>
      <c r="D40" s="345" t="s">
        <v>356</v>
      </c>
      <c r="E40" s="346" t="s">
        <v>356</v>
      </c>
      <c r="F40" s="346" t="s">
        <v>356</v>
      </c>
      <c r="G40" s="346" t="s">
        <v>356</v>
      </c>
      <c r="H40" s="345" t="s">
        <v>356</v>
      </c>
      <c r="I40" s="346" t="s">
        <v>356</v>
      </c>
      <c r="J40" s="346" t="s">
        <v>356</v>
      </c>
      <c r="K40" s="345" t="s">
        <v>356</v>
      </c>
      <c r="L40" s="346" t="s">
        <v>356</v>
      </c>
    </row>
    <row r="41" spans="2:12" ht="12" customHeight="1" x14ac:dyDescent="0.15">
      <c r="B41" s="348" t="s">
        <v>432</v>
      </c>
      <c r="C41" s="353">
        <v>134</v>
      </c>
      <c r="D41" s="345" t="s">
        <v>356</v>
      </c>
      <c r="E41" s="346" t="s">
        <v>356</v>
      </c>
      <c r="F41" s="346" t="s">
        <v>356</v>
      </c>
      <c r="G41" s="346" t="s">
        <v>356</v>
      </c>
      <c r="H41" s="345" t="s">
        <v>356</v>
      </c>
      <c r="I41" s="346" t="s">
        <v>356</v>
      </c>
      <c r="J41" s="346" t="s">
        <v>356</v>
      </c>
      <c r="K41" s="345" t="s">
        <v>356</v>
      </c>
      <c r="L41" s="346" t="s">
        <v>356</v>
      </c>
    </row>
    <row r="42" spans="2:12" ht="12" customHeight="1" x14ac:dyDescent="0.15">
      <c r="B42" s="349"/>
      <c r="C42" s="353">
        <v>137</v>
      </c>
      <c r="D42" s="345" t="s">
        <v>356</v>
      </c>
      <c r="E42" s="346" t="s">
        <v>356</v>
      </c>
      <c r="F42" s="346" t="s">
        <v>356</v>
      </c>
      <c r="G42" s="346" t="s">
        <v>356</v>
      </c>
      <c r="H42" s="345" t="s">
        <v>356</v>
      </c>
      <c r="I42" s="346" t="s">
        <v>356</v>
      </c>
      <c r="J42" s="346" t="s">
        <v>356</v>
      </c>
      <c r="K42" s="345" t="s">
        <v>356</v>
      </c>
      <c r="L42" s="346" t="s">
        <v>356</v>
      </c>
    </row>
    <row r="43" spans="2:12" ht="12" customHeight="1" x14ac:dyDescent="0.15">
      <c r="B43" s="350"/>
      <c r="C43" s="346" t="s">
        <v>0</v>
      </c>
      <c r="D43" s="345" t="s">
        <v>356</v>
      </c>
      <c r="E43" s="346" t="s">
        <v>356</v>
      </c>
      <c r="F43" s="346" t="s">
        <v>356</v>
      </c>
      <c r="G43" s="346" t="s">
        <v>356</v>
      </c>
      <c r="H43" s="345" t="s">
        <v>356</v>
      </c>
      <c r="I43" s="346" t="s">
        <v>356</v>
      </c>
      <c r="J43" s="346" t="s">
        <v>356</v>
      </c>
      <c r="K43" s="345" t="s">
        <v>356</v>
      </c>
      <c r="L43" s="346" t="s">
        <v>356</v>
      </c>
    </row>
    <row r="44" spans="2:12" ht="12" customHeight="1" x14ac:dyDescent="0.15">
      <c r="B44" s="348" t="s">
        <v>433</v>
      </c>
      <c r="C44" s="353">
        <v>134</v>
      </c>
      <c r="D44" s="345" t="s">
        <v>356</v>
      </c>
      <c r="E44" s="346" t="s">
        <v>356</v>
      </c>
      <c r="F44" s="346" t="s">
        <v>356</v>
      </c>
      <c r="G44" s="346" t="s">
        <v>356</v>
      </c>
      <c r="H44" s="345" t="s">
        <v>356</v>
      </c>
      <c r="I44" s="346" t="s">
        <v>356</v>
      </c>
      <c r="J44" s="346" t="s">
        <v>356</v>
      </c>
      <c r="K44" s="345" t="s">
        <v>356</v>
      </c>
      <c r="L44" s="346" t="s">
        <v>356</v>
      </c>
    </row>
    <row r="45" spans="2:12" ht="12" customHeight="1" x14ac:dyDescent="0.15">
      <c r="B45" s="349"/>
      <c r="C45" s="353">
        <v>137</v>
      </c>
      <c r="D45" s="345" t="s">
        <v>356</v>
      </c>
      <c r="E45" s="346" t="s">
        <v>356</v>
      </c>
      <c r="F45" s="346" t="s">
        <v>356</v>
      </c>
      <c r="G45" s="346" t="s">
        <v>356</v>
      </c>
      <c r="H45" s="345" t="s">
        <v>356</v>
      </c>
      <c r="I45" s="346" t="s">
        <v>356</v>
      </c>
      <c r="J45" s="346" t="s">
        <v>356</v>
      </c>
      <c r="K45" s="345" t="s">
        <v>356</v>
      </c>
      <c r="L45" s="346" t="s">
        <v>356</v>
      </c>
    </row>
    <row r="46" spans="2:12" ht="12" customHeight="1" x14ac:dyDescent="0.15">
      <c r="B46" s="350"/>
      <c r="C46" s="346" t="s">
        <v>0</v>
      </c>
      <c r="D46" s="345" t="s">
        <v>356</v>
      </c>
      <c r="E46" s="346" t="s">
        <v>356</v>
      </c>
      <c r="F46" s="346" t="s">
        <v>356</v>
      </c>
      <c r="G46" s="346" t="s">
        <v>356</v>
      </c>
      <c r="H46" s="345" t="s">
        <v>356</v>
      </c>
      <c r="I46" s="346" t="s">
        <v>356</v>
      </c>
      <c r="J46" s="346" t="s">
        <v>356</v>
      </c>
      <c r="K46" s="345" t="s">
        <v>356</v>
      </c>
      <c r="L46" s="346" t="s">
        <v>356</v>
      </c>
    </row>
    <row r="47" spans="2:12" ht="12" customHeight="1" x14ac:dyDescent="0.15">
      <c r="B47" s="348" t="s">
        <v>434</v>
      </c>
      <c r="C47" s="353">
        <v>134</v>
      </c>
      <c r="D47" s="345" t="s">
        <v>356</v>
      </c>
      <c r="E47" s="346" t="s">
        <v>356</v>
      </c>
      <c r="F47" s="346" t="s">
        <v>356</v>
      </c>
      <c r="G47" s="346" t="s">
        <v>356</v>
      </c>
      <c r="H47" s="345" t="s">
        <v>356</v>
      </c>
      <c r="I47" s="346" t="s">
        <v>356</v>
      </c>
      <c r="J47" s="346" t="s">
        <v>356</v>
      </c>
      <c r="K47" s="345" t="s">
        <v>356</v>
      </c>
      <c r="L47" s="346" t="s">
        <v>356</v>
      </c>
    </row>
    <row r="48" spans="2:12" ht="12" customHeight="1" x14ac:dyDescent="0.15">
      <c r="B48" s="349"/>
      <c r="C48" s="353">
        <v>137</v>
      </c>
      <c r="D48" s="345" t="s">
        <v>356</v>
      </c>
      <c r="E48" s="346" t="s">
        <v>356</v>
      </c>
      <c r="F48" s="346" t="s">
        <v>356</v>
      </c>
      <c r="G48" s="346" t="s">
        <v>356</v>
      </c>
      <c r="H48" s="345" t="s">
        <v>356</v>
      </c>
      <c r="I48" s="346" t="s">
        <v>356</v>
      </c>
      <c r="J48" s="346" t="s">
        <v>356</v>
      </c>
      <c r="K48" s="345" t="s">
        <v>356</v>
      </c>
      <c r="L48" s="346" t="s">
        <v>356</v>
      </c>
    </row>
    <row r="49" spans="2:15" ht="12" customHeight="1" x14ac:dyDescent="0.15">
      <c r="B49" s="349"/>
      <c r="C49" s="348" t="s">
        <v>0</v>
      </c>
      <c r="D49" s="351" t="s">
        <v>356</v>
      </c>
      <c r="E49" s="348" t="s">
        <v>356</v>
      </c>
      <c r="F49" s="348" t="s">
        <v>356</v>
      </c>
      <c r="G49" s="348" t="s">
        <v>356</v>
      </c>
      <c r="H49" s="351" t="s">
        <v>356</v>
      </c>
      <c r="I49" s="348" t="s">
        <v>356</v>
      </c>
      <c r="J49" s="348" t="s">
        <v>356</v>
      </c>
      <c r="K49" s="351" t="s">
        <v>356</v>
      </c>
      <c r="L49" s="348" t="s">
        <v>356</v>
      </c>
    </row>
    <row r="50" spans="2:15" s="333" customFormat="1" ht="12" customHeight="1" x14ac:dyDescent="0.15">
      <c r="B50" s="286" t="s">
        <v>417</v>
      </c>
      <c r="C50" s="332"/>
      <c r="D50" s="332"/>
      <c r="E50" s="332"/>
      <c r="F50" s="332"/>
      <c r="G50" s="332"/>
      <c r="H50" s="332"/>
      <c r="I50" s="332"/>
      <c r="J50" s="332"/>
      <c r="K50" s="332"/>
      <c r="L50" s="332"/>
      <c r="M50" s="332"/>
      <c r="N50" s="332"/>
      <c r="O50" s="332"/>
    </row>
    <row r="51" spans="2:15" s="333" customFormat="1" ht="12" customHeight="1" x14ac:dyDescent="0.15">
      <c r="B51" s="333" t="s">
        <v>435</v>
      </c>
      <c r="E51" s="332"/>
      <c r="F51" s="332"/>
      <c r="G51" s="332"/>
      <c r="H51" s="332"/>
      <c r="I51" s="332"/>
      <c r="J51" s="332"/>
      <c r="K51" s="332"/>
      <c r="L51" s="332"/>
      <c r="M51" s="332"/>
      <c r="N51" s="332"/>
      <c r="O51" s="332"/>
    </row>
    <row r="52" spans="2:15" s="333" customFormat="1" ht="12" customHeight="1" x14ac:dyDescent="0.15">
      <c r="E52" s="332"/>
      <c r="F52" s="332"/>
      <c r="G52" s="332"/>
      <c r="H52" s="332"/>
      <c r="I52" s="332"/>
      <c r="J52" s="332"/>
      <c r="K52" s="332"/>
      <c r="L52" s="332"/>
      <c r="M52" s="332"/>
      <c r="N52" s="332"/>
      <c r="O52" s="332"/>
    </row>
    <row r="53" spans="2:15" s="333" customFormat="1" ht="12" customHeight="1" x14ac:dyDescent="0.15">
      <c r="B53" s="333" t="s">
        <v>436</v>
      </c>
      <c r="E53" s="332"/>
      <c r="F53" s="332"/>
      <c r="G53" s="332"/>
      <c r="H53" s="332"/>
      <c r="I53" s="332"/>
      <c r="J53" s="332"/>
      <c r="K53" s="332"/>
      <c r="L53" s="332"/>
      <c r="M53" s="332"/>
      <c r="N53" s="332"/>
      <c r="O53" s="332"/>
    </row>
    <row r="54" spans="2:15" ht="12" customHeight="1" x14ac:dyDescent="0.15">
      <c r="B54" s="324" t="s">
        <v>437</v>
      </c>
      <c r="D54" s="332"/>
      <c r="E54" s="332"/>
      <c r="F54" s="332"/>
      <c r="G54" s="332"/>
      <c r="H54" s="332"/>
      <c r="I54" s="332"/>
      <c r="J54" s="332"/>
      <c r="K54" s="332"/>
      <c r="L54" s="332"/>
      <c r="N54" s="354"/>
      <c r="O54" s="355"/>
    </row>
    <row r="55" spans="2:15" ht="12" customHeight="1" x14ac:dyDescent="0.15">
      <c r="B55" s="345" t="s">
        <v>421</v>
      </c>
      <c r="C55" s="356"/>
      <c r="D55" s="345" t="s">
        <v>422</v>
      </c>
      <c r="E55" s="357"/>
      <c r="F55" s="357"/>
      <c r="G55" s="357"/>
      <c r="H55" s="356"/>
      <c r="I55" s="345" t="s">
        <v>423</v>
      </c>
      <c r="J55" s="357"/>
      <c r="K55" s="357"/>
      <c r="L55" s="356"/>
      <c r="N55" s="358"/>
      <c r="O55" s="359"/>
    </row>
    <row r="56" spans="2:15" ht="12" customHeight="1" x14ac:dyDescent="0.15">
      <c r="B56" s="360" t="s">
        <v>424</v>
      </c>
      <c r="C56" s="361"/>
      <c r="D56" s="361"/>
      <c r="E56" s="361"/>
      <c r="F56" s="361"/>
      <c r="G56" s="361"/>
      <c r="H56" s="361"/>
      <c r="I56" s="361"/>
      <c r="J56" s="361"/>
      <c r="K56" s="361"/>
      <c r="L56" s="361"/>
      <c r="M56" s="361"/>
      <c r="N56" s="361"/>
      <c r="O56" s="359"/>
    </row>
    <row r="58" spans="2:15" s="333" customFormat="1" ht="12" customHeight="1" x14ac:dyDescent="0.15">
      <c r="B58" s="286" t="s">
        <v>438</v>
      </c>
      <c r="C58" s="332"/>
      <c r="D58" s="332"/>
      <c r="E58" s="332"/>
      <c r="F58" s="332"/>
      <c r="G58" s="332"/>
      <c r="H58" s="332"/>
      <c r="I58" s="332"/>
      <c r="J58" s="332"/>
    </row>
    <row r="59" spans="2:15" s="333" customFormat="1" ht="12" customHeight="1" x14ac:dyDescent="0.15">
      <c r="B59" s="333" t="s">
        <v>439</v>
      </c>
      <c r="C59" s="332"/>
      <c r="D59" s="332"/>
      <c r="E59" s="332"/>
      <c r="F59" s="332"/>
      <c r="G59" s="332"/>
      <c r="H59" s="332"/>
      <c r="I59" s="332"/>
      <c r="J59" s="332"/>
    </row>
    <row r="60" spans="2:15" s="333" customFormat="1" ht="12" customHeight="1" x14ac:dyDescent="0.15">
      <c r="B60" s="333" t="s">
        <v>440</v>
      </c>
      <c r="C60" s="332"/>
      <c r="D60" s="332"/>
      <c r="E60" s="332"/>
      <c r="F60" s="332"/>
      <c r="G60" s="332"/>
      <c r="H60" s="332"/>
      <c r="I60" s="332"/>
      <c r="J60" s="332"/>
    </row>
    <row r="61" spans="2:15" ht="12" customHeight="1" x14ac:dyDescent="0.15">
      <c r="B61" s="362" t="s">
        <v>441</v>
      </c>
      <c r="C61" s="335" t="s">
        <v>442</v>
      </c>
      <c r="D61" s="335" t="s">
        <v>443</v>
      </c>
      <c r="E61" s="338"/>
      <c r="F61" s="335" t="s">
        <v>442</v>
      </c>
      <c r="G61" s="363"/>
    </row>
    <row r="62" spans="2:15" ht="12" customHeight="1" x14ac:dyDescent="0.15">
      <c r="B62" s="364"/>
      <c r="C62" s="344">
        <v>137</v>
      </c>
      <c r="D62" s="346" t="s">
        <v>356</v>
      </c>
      <c r="E62" s="345" t="s">
        <v>356</v>
      </c>
      <c r="F62" s="345" t="s">
        <v>356</v>
      </c>
      <c r="G62" s="356"/>
    </row>
    <row r="63" spans="2:15" ht="12" customHeight="1" x14ac:dyDescent="0.15">
      <c r="B63" s="365"/>
      <c r="C63" s="345" t="s">
        <v>0</v>
      </c>
      <c r="D63" s="346" t="s">
        <v>356</v>
      </c>
      <c r="E63" s="345" t="s">
        <v>356</v>
      </c>
      <c r="F63" s="345" t="s">
        <v>356</v>
      </c>
      <c r="G63" s="356"/>
    </row>
    <row r="64" spans="2:15" ht="12" customHeight="1" x14ac:dyDescent="0.15">
      <c r="B64" s="351" t="s">
        <v>444</v>
      </c>
      <c r="C64" s="344">
        <v>134</v>
      </c>
      <c r="D64" s="346" t="s">
        <v>356</v>
      </c>
      <c r="E64" s="345" t="s">
        <v>356</v>
      </c>
      <c r="F64" s="345" t="s">
        <v>356</v>
      </c>
      <c r="G64" s="356"/>
    </row>
    <row r="65" spans="2:10" ht="12" customHeight="1" x14ac:dyDescent="0.15">
      <c r="B65" s="366"/>
      <c r="C65" s="344">
        <v>137</v>
      </c>
      <c r="D65" s="346" t="s">
        <v>356</v>
      </c>
      <c r="E65" s="345" t="s">
        <v>356</v>
      </c>
      <c r="F65" s="345" t="s">
        <v>356</v>
      </c>
      <c r="G65" s="356"/>
    </row>
    <row r="66" spans="2:10" ht="12" customHeight="1" x14ac:dyDescent="0.15">
      <c r="B66" s="367"/>
      <c r="C66" s="345" t="s">
        <v>0</v>
      </c>
      <c r="D66" s="346" t="s">
        <v>356</v>
      </c>
      <c r="E66" s="345" t="s">
        <v>356</v>
      </c>
      <c r="F66" s="345" t="s">
        <v>356</v>
      </c>
      <c r="G66" s="356"/>
    </row>
    <row r="67" spans="2:10" ht="12" customHeight="1" x14ac:dyDescent="0.15">
      <c r="B67" s="351" t="s">
        <v>445</v>
      </c>
      <c r="C67" s="344">
        <v>134</v>
      </c>
      <c r="D67" s="346" t="s">
        <v>356</v>
      </c>
      <c r="E67" s="345" t="s">
        <v>356</v>
      </c>
      <c r="F67" s="345" t="s">
        <v>356</v>
      </c>
      <c r="G67" s="356"/>
    </row>
    <row r="68" spans="2:10" ht="12" customHeight="1" x14ac:dyDescent="0.15">
      <c r="B68" s="366"/>
      <c r="C68" s="344">
        <v>137</v>
      </c>
      <c r="D68" s="346" t="s">
        <v>356</v>
      </c>
      <c r="E68" s="345" t="s">
        <v>356</v>
      </c>
      <c r="F68" s="345" t="s">
        <v>356</v>
      </c>
      <c r="G68" s="356"/>
    </row>
    <row r="69" spans="2:10" ht="12" customHeight="1" x14ac:dyDescent="0.15">
      <c r="B69" s="367"/>
      <c r="C69" s="345" t="s">
        <v>0</v>
      </c>
      <c r="D69" s="346" t="s">
        <v>356</v>
      </c>
      <c r="E69" s="345" t="s">
        <v>356</v>
      </c>
      <c r="F69" s="345" t="s">
        <v>356</v>
      </c>
      <c r="G69" s="356"/>
    </row>
    <row r="70" spans="2:10" ht="12" customHeight="1" x14ac:dyDescent="0.15">
      <c r="B70" s="351" t="s">
        <v>446</v>
      </c>
      <c r="C70" s="344">
        <v>134</v>
      </c>
      <c r="D70" s="346" t="s">
        <v>356</v>
      </c>
      <c r="E70" s="345" t="s">
        <v>356</v>
      </c>
      <c r="F70" s="345" t="s">
        <v>356</v>
      </c>
      <c r="G70" s="356"/>
    </row>
    <row r="71" spans="2:10" ht="12" customHeight="1" x14ac:dyDescent="0.15">
      <c r="B71" s="366"/>
      <c r="C71" s="344">
        <v>137</v>
      </c>
      <c r="D71" s="346" t="s">
        <v>356</v>
      </c>
      <c r="E71" s="345" t="s">
        <v>356</v>
      </c>
      <c r="F71" s="345" t="s">
        <v>356</v>
      </c>
      <c r="G71" s="356"/>
    </row>
    <row r="72" spans="2:10" ht="12" customHeight="1" x14ac:dyDescent="0.15">
      <c r="B72" s="367"/>
      <c r="C72" s="345" t="s">
        <v>0</v>
      </c>
      <c r="D72" s="346" t="s">
        <v>356</v>
      </c>
      <c r="E72" s="345" t="s">
        <v>356</v>
      </c>
      <c r="F72" s="345" t="s">
        <v>356</v>
      </c>
      <c r="G72" s="356"/>
    </row>
    <row r="73" spans="2:10" ht="12" customHeight="1" x14ac:dyDescent="0.15">
      <c r="B73" s="351" t="s">
        <v>447</v>
      </c>
      <c r="C73" s="344">
        <v>134</v>
      </c>
      <c r="D73" s="346" t="s">
        <v>356</v>
      </c>
      <c r="E73" s="345" t="s">
        <v>356</v>
      </c>
      <c r="F73" s="345" t="s">
        <v>356</v>
      </c>
      <c r="G73" s="356"/>
    </row>
    <row r="74" spans="2:10" ht="12" customHeight="1" x14ac:dyDescent="0.15">
      <c r="B74" s="366"/>
      <c r="C74" s="344">
        <v>137</v>
      </c>
      <c r="D74" s="346" t="s">
        <v>356</v>
      </c>
      <c r="E74" s="345" t="s">
        <v>356</v>
      </c>
      <c r="F74" s="345" t="s">
        <v>356</v>
      </c>
      <c r="G74" s="356"/>
    </row>
    <row r="75" spans="2:10" ht="12" customHeight="1" x14ac:dyDescent="0.15">
      <c r="B75" s="367"/>
      <c r="C75" s="345" t="s">
        <v>0</v>
      </c>
      <c r="D75" s="346" t="s">
        <v>356</v>
      </c>
      <c r="E75" s="345" t="s">
        <v>356</v>
      </c>
      <c r="F75" s="345" t="s">
        <v>356</v>
      </c>
      <c r="G75" s="356"/>
    </row>
    <row r="76" spans="2:10" ht="12" customHeight="1" x14ac:dyDescent="0.15">
      <c r="B76" s="351" t="s">
        <v>448</v>
      </c>
      <c r="C76" s="344">
        <v>134</v>
      </c>
      <c r="D76" s="346" t="s">
        <v>356</v>
      </c>
      <c r="E76" s="345" t="s">
        <v>356</v>
      </c>
      <c r="F76" s="345" t="s">
        <v>356</v>
      </c>
      <c r="G76" s="356"/>
    </row>
    <row r="77" spans="2:10" ht="12" customHeight="1" x14ac:dyDescent="0.15">
      <c r="B77" s="366"/>
      <c r="C77" s="344">
        <v>137</v>
      </c>
      <c r="D77" s="346" t="s">
        <v>356</v>
      </c>
      <c r="E77" s="345" t="s">
        <v>356</v>
      </c>
      <c r="F77" s="345" t="s">
        <v>356</v>
      </c>
      <c r="G77" s="356"/>
    </row>
    <row r="78" spans="2:10" ht="12" customHeight="1" x14ac:dyDescent="0.15">
      <c r="B78" s="366"/>
      <c r="C78" s="351" t="s">
        <v>0</v>
      </c>
      <c r="D78" s="348" t="s">
        <v>356</v>
      </c>
      <c r="E78" s="351" t="s">
        <v>356</v>
      </c>
      <c r="F78" s="351" t="s">
        <v>356</v>
      </c>
      <c r="G78" s="368"/>
    </row>
    <row r="79" spans="2:10" s="333" customFormat="1" ht="12" customHeight="1" x14ac:dyDescent="0.15">
      <c r="B79" s="286" t="s">
        <v>449</v>
      </c>
      <c r="C79" s="332"/>
      <c r="D79" s="332"/>
      <c r="E79" s="332"/>
      <c r="F79" s="332"/>
      <c r="G79" s="332"/>
      <c r="H79" s="332"/>
      <c r="I79" s="332"/>
      <c r="J79" s="332"/>
    </row>
    <row r="80" spans="2:10" s="333" customFormat="1" ht="12" customHeight="1" x14ac:dyDescent="0.15">
      <c r="B80" s="324" t="s">
        <v>450</v>
      </c>
      <c r="C80" s="324"/>
      <c r="D80" s="324"/>
      <c r="E80" s="332"/>
      <c r="F80" s="332"/>
      <c r="G80" s="332"/>
      <c r="H80" s="332"/>
      <c r="I80" s="332"/>
      <c r="J80" s="332"/>
    </row>
    <row r="81" spans="2:14" s="333" customFormat="1" ht="12" customHeight="1" x14ac:dyDescent="0.15">
      <c r="B81" s="333" t="s">
        <v>451</v>
      </c>
      <c r="E81" s="332"/>
      <c r="F81" s="332"/>
      <c r="G81" s="332"/>
      <c r="H81" s="332"/>
      <c r="I81" s="332"/>
      <c r="J81" s="332"/>
      <c r="M81" s="324"/>
      <c r="N81" s="324"/>
    </row>
    <row r="82" spans="2:14" s="333" customFormat="1" ht="12" customHeight="1" x14ac:dyDescent="0.15">
      <c r="B82" s="324" t="s">
        <v>452</v>
      </c>
      <c r="C82" s="324"/>
      <c r="E82" s="332"/>
      <c r="F82" s="332"/>
      <c r="G82" s="332"/>
      <c r="H82" s="332"/>
      <c r="I82" s="332"/>
      <c r="J82" s="332"/>
      <c r="N82" s="324"/>
    </row>
    <row r="83" spans="2:14" ht="12" customHeight="1" x14ac:dyDescent="0.15">
      <c r="B83" s="369"/>
      <c r="C83" s="335" t="s">
        <v>421</v>
      </c>
      <c r="D83" s="363"/>
      <c r="E83" s="335" t="s">
        <v>422</v>
      </c>
      <c r="F83" s="338"/>
      <c r="G83" s="363"/>
      <c r="H83" s="335" t="s">
        <v>423</v>
      </c>
      <c r="I83" s="363"/>
      <c r="J83" s="370"/>
    </row>
    <row r="84" spans="2:14" ht="12" customHeight="1" x14ac:dyDescent="0.15">
      <c r="B84" s="360" t="s">
        <v>453</v>
      </c>
      <c r="C84" s="361"/>
      <c r="D84" s="361"/>
      <c r="E84" s="361"/>
      <c r="F84" s="361"/>
      <c r="G84" s="361"/>
      <c r="H84" s="361"/>
      <c r="I84" s="361"/>
      <c r="J84" s="359"/>
    </row>
    <row r="86" spans="2:14" ht="12" customHeight="1" x14ac:dyDescent="0.15">
      <c r="B86" s="371"/>
      <c r="C86" s="372"/>
      <c r="D86" s="372"/>
      <c r="E86" s="372"/>
      <c r="F86" s="372"/>
      <c r="G86" s="372"/>
      <c r="H86" s="372"/>
      <c r="I86" s="372"/>
      <c r="J86" s="373"/>
    </row>
    <row r="87" spans="2:14" ht="12" customHeight="1" x14ac:dyDescent="0.15">
      <c r="B87" s="374" t="s">
        <v>454</v>
      </c>
      <c r="E87" s="375" t="s">
        <v>455</v>
      </c>
      <c r="F87" s="376" t="s">
        <v>456</v>
      </c>
      <c r="G87" s="376" t="s">
        <v>457</v>
      </c>
      <c r="H87" s="376" t="s">
        <v>458</v>
      </c>
      <c r="I87" s="376" t="s">
        <v>459</v>
      </c>
      <c r="J87" s="377" t="s">
        <v>460</v>
      </c>
      <c r="K87" s="378" t="s">
        <v>461</v>
      </c>
      <c r="L87" s="379" t="s">
        <v>462</v>
      </c>
    </row>
    <row r="88" spans="2:14" ht="12" customHeight="1" x14ac:dyDescent="0.15">
      <c r="B88" s="346" t="s">
        <v>463</v>
      </c>
      <c r="E88" s="346" t="s">
        <v>464</v>
      </c>
      <c r="F88" s="346" t="s">
        <v>465</v>
      </c>
      <c r="G88" s="346" t="s">
        <v>466</v>
      </c>
      <c r="H88" s="346" t="s">
        <v>467</v>
      </c>
      <c r="I88" s="346" t="s">
        <v>468</v>
      </c>
      <c r="J88" s="380">
        <v>7.3</v>
      </c>
      <c r="K88" s="381">
        <v>7.7</v>
      </c>
      <c r="L88" s="346" t="s">
        <v>469</v>
      </c>
    </row>
    <row r="89" spans="2:14" ht="12" customHeight="1" x14ac:dyDescent="0.15">
      <c r="B89" s="346" t="s">
        <v>470</v>
      </c>
      <c r="E89" s="346" t="s">
        <v>471</v>
      </c>
      <c r="F89" s="346" t="s">
        <v>472</v>
      </c>
      <c r="G89" s="346" t="s">
        <v>473</v>
      </c>
      <c r="H89" s="346" t="s">
        <v>474</v>
      </c>
      <c r="I89" s="346" t="s">
        <v>475</v>
      </c>
      <c r="J89" s="382">
        <v>8.8000000000000007</v>
      </c>
      <c r="K89" s="346" t="s">
        <v>476</v>
      </c>
      <c r="L89" s="346" t="s">
        <v>477</v>
      </c>
    </row>
    <row r="90" spans="2:14" ht="12" customHeight="1" x14ac:dyDescent="0.15">
      <c r="B90" s="346" t="s">
        <v>478</v>
      </c>
      <c r="E90" s="346" t="s">
        <v>479</v>
      </c>
      <c r="F90" s="346" t="s">
        <v>480</v>
      </c>
      <c r="G90" s="346" t="s">
        <v>481</v>
      </c>
      <c r="H90" s="346" t="s">
        <v>482</v>
      </c>
      <c r="I90" s="346" t="s">
        <v>483</v>
      </c>
      <c r="J90" s="380">
        <v>7.5</v>
      </c>
      <c r="K90" s="381">
        <v>4.3</v>
      </c>
      <c r="L90" s="346" t="s">
        <v>484</v>
      </c>
    </row>
    <row r="91" spans="2:14" ht="12" customHeight="1" x14ac:dyDescent="0.15">
      <c r="B91" s="346" t="s">
        <v>485</v>
      </c>
      <c r="E91" s="346" t="s">
        <v>486</v>
      </c>
      <c r="F91" s="346" t="s">
        <v>487</v>
      </c>
      <c r="G91" s="346" t="s">
        <v>488</v>
      </c>
      <c r="H91" s="346" t="s">
        <v>489</v>
      </c>
      <c r="I91" s="346" t="s">
        <v>490</v>
      </c>
      <c r="J91" s="380">
        <v>11</v>
      </c>
      <c r="K91" s="381">
        <v>1</v>
      </c>
      <c r="L91" s="346" t="s">
        <v>477</v>
      </c>
    </row>
    <row r="92" spans="2:14" ht="12" customHeight="1" x14ac:dyDescent="0.15">
      <c r="B92" s="346" t="s">
        <v>491</v>
      </c>
      <c r="E92" s="346" t="s">
        <v>492</v>
      </c>
      <c r="F92" s="346" t="s">
        <v>493</v>
      </c>
      <c r="G92" s="346" t="s">
        <v>494</v>
      </c>
      <c r="H92" s="346" t="s">
        <v>495</v>
      </c>
      <c r="I92" s="346" t="s">
        <v>496</v>
      </c>
      <c r="J92" s="383">
        <v>24</v>
      </c>
      <c r="K92" s="384">
        <v>0</v>
      </c>
      <c r="L92" s="346" t="s">
        <v>497</v>
      </c>
    </row>
    <row r="93" spans="2:14" ht="12" customHeight="1" x14ac:dyDescent="0.15">
      <c r="B93" s="346" t="s">
        <v>498</v>
      </c>
      <c r="E93" s="346" t="s">
        <v>499</v>
      </c>
      <c r="F93" s="346" t="s">
        <v>500</v>
      </c>
      <c r="G93" s="346" t="s">
        <v>500</v>
      </c>
      <c r="H93" s="346" t="s">
        <v>501</v>
      </c>
      <c r="I93" s="346" t="s">
        <v>502</v>
      </c>
      <c r="J93" s="380">
        <v>11</v>
      </c>
      <c r="K93" s="381">
        <v>8.4</v>
      </c>
      <c r="L93" s="346" t="s">
        <v>503</v>
      </c>
    </row>
    <row r="94" spans="2:14" ht="12" customHeight="1" x14ac:dyDescent="0.15">
      <c r="B94" s="385" t="s">
        <v>504</v>
      </c>
      <c r="E94" s="386"/>
      <c r="F94" s="386"/>
      <c r="G94" s="386"/>
      <c r="H94" s="386"/>
      <c r="I94" s="386"/>
      <c r="J94" s="386"/>
      <c r="K94" s="386"/>
      <c r="L94" s="387"/>
    </row>
    <row r="95" spans="2:14" ht="12" customHeight="1" x14ac:dyDescent="0.15">
      <c r="B95" s="376" t="s">
        <v>505</v>
      </c>
      <c r="E95" s="388">
        <v>91</v>
      </c>
      <c r="F95" s="376" t="s">
        <v>506</v>
      </c>
      <c r="G95" s="376" t="s">
        <v>507</v>
      </c>
      <c r="H95" s="376" t="s">
        <v>508</v>
      </c>
      <c r="I95" s="376" t="s">
        <v>509</v>
      </c>
      <c r="J95" s="377" t="s">
        <v>510</v>
      </c>
      <c r="K95" s="378" t="s">
        <v>511</v>
      </c>
      <c r="L95" s="379" t="s">
        <v>462</v>
      </c>
    </row>
    <row r="96" spans="2:14" ht="12" customHeight="1" x14ac:dyDescent="0.15">
      <c r="B96" s="346" t="s">
        <v>463</v>
      </c>
      <c r="E96" s="346" t="s">
        <v>512</v>
      </c>
      <c r="F96" s="346" t="s">
        <v>513</v>
      </c>
      <c r="G96" s="346" t="s">
        <v>514</v>
      </c>
      <c r="H96" s="346" t="s">
        <v>515</v>
      </c>
      <c r="I96" s="346" t="s">
        <v>516</v>
      </c>
      <c r="J96" s="380">
        <v>6.7</v>
      </c>
      <c r="K96" s="381">
        <v>6.4</v>
      </c>
      <c r="L96" s="346" t="s">
        <v>469</v>
      </c>
    </row>
    <row r="97" spans="2:12" ht="12" customHeight="1" x14ac:dyDescent="0.15">
      <c r="B97" s="346" t="s">
        <v>470</v>
      </c>
      <c r="E97" s="346" t="s">
        <v>517</v>
      </c>
      <c r="F97" s="346" t="s">
        <v>518</v>
      </c>
      <c r="G97" s="346" t="s">
        <v>518</v>
      </c>
      <c r="H97" s="346" t="s">
        <v>517</v>
      </c>
      <c r="I97" s="346" t="s">
        <v>518</v>
      </c>
      <c r="J97" s="389" t="s">
        <v>476</v>
      </c>
      <c r="K97" s="379" t="s">
        <v>476</v>
      </c>
      <c r="L97" s="346" t="s">
        <v>519</v>
      </c>
    </row>
    <row r="98" spans="2:12" ht="12" customHeight="1" x14ac:dyDescent="0.15">
      <c r="B98" s="346" t="s">
        <v>478</v>
      </c>
      <c r="E98" s="346" t="s">
        <v>520</v>
      </c>
      <c r="F98" s="346" t="s">
        <v>521</v>
      </c>
      <c r="G98" s="346" t="s">
        <v>522</v>
      </c>
      <c r="H98" s="346" t="s">
        <v>523</v>
      </c>
      <c r="I98" s="346" t="s">
        <v>524</v>
      </c>
      <c r="J98" s="382">
        <v>3</v>
      </c>
      <c r="K98" s="382">
        <v>3.1</v>
      </c>
      <c r="L98" s="346" t="s">
        <v>484</v>
      </c>
    </row>
    <row r="99" spans="2:12" ht="12" customHeight="1" x14ac:dyDescent="0.15">
      <c r="B99" s="346" t="s">
        <v>485</v>
      </c>
      <c r="E99" s="346" t="s">
        <v>525</v>
      </c>
      <c r="F99" s="346" t="s">
        <v>526</v>
      </c>
      <c r="G99" s="346" t="s">
        <v>527</v>
      </c>
      <c r="H99" s="346" t="s">
        <v>528</v>
      </c>
      <c r="I99" s="346" t="s">
        <v>529</v>
      </c>
      <c r="J99" s="380">
        <v>4.2</v>
      </c>
      <c r="K99" s="381">
        <v>1.8</v>
      </c>
      <c r="L99" s="346" t="s">
        <v>477</v>
      </c>
    </row>
    <row r="100" spans="2:12" ht="12" customHeight="1" x14ac:dyDescent="0.15">
      <c r="B100" s="346" t="s">
        <v>491</v>
      </c>
      <c r="E100" s="346" t="s">
        <v>530</v>
      </c>
      <c r="F100" s="346" t="s">
        <v>531</v>
      </c>
      <c r="G100" s="346" t="s">
        <v>531</v>
      </c>
      <c r="H100" s="346" t="s">
        <v>532</v>
      </c>
      <c r="I100" s="346" t="s">
        <v>531</v>
      </c>
      <c r="J100" s="383">
        <v>0</v>
      </c>
      <c r="K100" s="384">
        <v>0</v>
      </c>
      <c r="L100" s="346" t="s">
        <v>497</v>
      </c>
    </row>
    <row r="101" spans="2:12" ht="12" customHeight="1" x14ac:dyDescent="0.15">
      <c r="B101" s="346" t="s">
        <v>498</v>
      </c>
      <c r="E101" s="346" t="s">
        <v>533</v>
      </c>
      <c r="F101" s="346" t="s">
        <v>534</v>
      </c>
      <c r="G101" s="346" t="s">
        <v>535</v>
      </c>
      <c r="H101" s="346" t="s">
        <v>536</v>
      </c>
      <c r="I101" s="346" t="s">
        <v>537</v>
      </c>
      <c r="J101" s="380">
        <v>0.84</v>
      </c>
      <c r="K101" s="381">
        <v>5.8</v>
      </c>
      <c r="L101" s="346" t="s">
        <v>538</v>
      </c>
    </row>
    <row r="102" spans="2:12" ht="12" customHeight="1" x14ac:dyDescent="0.15">
      <c r="B102" s="385" t="s">
        <v>539</v>
      </c>
      <c r="E102" s="386"/>
      <c r="F102" s="386"/>
      <c r="G102" s="386"/>
      <c r="H102" s="386"/>
      <c r="I102" s="386"/>
      <c r="J102" s="386"/>
      <c r="K102" s="386"/>
      <c r="L102" s="387"/>
    </row>
    <row r="103" spans="2:12" ht="12" customHeight="1" x14ac:dyDescent="0.15">
      <c r="B103" s="374" t="s">
        <v>540</v>
      </c>
      <c r="E103" s="376" t="s">
        <v>541</v>
      </c>
      <c r="F103" s="376" t="s">
        <v>506</v>
      </c>
      <c r="G103" s="376" t="s">
        <v>542</v>
      </c>
      <c r="H103" s="376" t="s">
        <v>543</v>
      </c>
      <c r="I103" s="376" t="s">
        <v>509</v>
      </c>
      <c r="J103" s="377" t="s">
        <v>510</v>
      </c>
      <c r="K103" s="390" t="s">
        <v>544</v>
      </c>
      <c r="L103" s="391" t="s">
        <v>462</v>
      </c>
    </row>
    <row r="104" spans="2:12" ht="12" customHeight="1" x14ac:dyDescent="0.15">
      <c r="B104" s="346" t="s">
        <v>463</v>
      </c>
      <c r="E104" s="346" t="s">
        <v>545</v>
      </c>
      <c r="F104" s="346" t="s">
        <v>546</v>
      </c>
      <c r="G104" s="346" t="s">
        <v>547</v>
      </c>
      <c r="H104" s="346" t="s">
        <v>548</v>
      </c>
      <c r="I104" s="346" t="s">
        <v>549</v>
      </c>
      <c r="J104" s="380">
        <v>7.4</v>
      </c>
      <c r="K104" s="381">
        <v>7.8</v>
      </c>
      <c r="L104" s="346" t="s">
        <v>469</v>
      </c>
    </row>
    <row r="105" spans="2:12" ht="12" customHeight="1" x14ac:dyDescent="0.15">
      <c r="B105" s="346" t="s">
        <v>470</v>
      </c>
      <c r="E105" s="346" t="s">
        <v>550</v>
      </c>
      <c r="F105" s="346" t="s">
        <v>551</v>
      </c>
      <c r="G105" s="346" t="s">
        <v>551</v>
      </c>
      <c r="H105" s="346" t="s">
        <v>552</v>
      </c>
      <c r="I105" s="346" t="s">
        <v>551</v>
      </c>
      <c r="J105" s="389" t="s">
        <v>476</v>
      </c>
      <c r="K105" s="379" t="s">
        <v>476</v>
      </c>
      <c r="L105" s="346" t="s">
        <v>477</v>
      </c>
    </row>
    <row r="106" spans="2:12" ht="12" customHeight="1" x14ac:dyDescent="0.15">
      <c r="B106" s="346" t="s">
        <v>478</v>
      </c>
      <c r="E106" s="346" t="s">
        <v>553</v>
      </c>
      <c r="F106" s="346" t="s">
        <v>554</v>
      </c>
      <c r="G106" s="346" t="s">
        <v>555</v>
      </c>
      <c r="H106" s="346" t="s">
        <v>556</v>
      </c>
      <c r="I106" s="346" t="s">
        <v>557</v>
      </c>
      <c r="J106" s="380">
        <v>4</v>
      </c>
      <c r="K106" s="381">
        <v>3.2</v>
      </c>
      <c r="L106" s="346" t="s">
        <v>484</v>
      </c>
    </row>
    <row r="107" spans="2:12" ht="12" customHeight="1" x14ac:dyDescent="0.15">
      <c r="B107" s="346" t="s">
        <v>485</v>
      </c>
      <c r="E107" s="346" t="s">
        <v>558</v>
      </c>
      <c r="F107" s="346" t="s">
        <v>559</v>
      </c>
      <c r="G107" s="346" t="s">
        <v>560</v>
      </c>
      <c r="H107" s="346" t="s">
        <v>561</v>
      </c>
      <c r="I107" s="346" t="s">
        <v>562</v>
      </c>
      <c r="J107" s="380">
        <v>0.8</v>
      </c>
      <c r="K107" s="379" t="s">
        <v>476</v>
      </c>
      <c r="L107" s="346" t="s">
        <v>477</v>
      </c>
    </row>
    <row r="108" spans="2:12" ht="12" customHeight="1" x14ac:dyDescent="0.15">
      <c r="B108" s="346" t="s">
        <v>491</v>
      </c>
      <c r="E108" s="346" t="s">
        <v>563</v>
      </c>
      <c r="F108" s="346" t="s">
        <v>564</v>
      </c>
      <c r="G108" s="346" t="s">
        <v>565</v>
      </c>
      <c r="H108" s="346" t="s">
        <v>566</v>
      </c>
      <c r="I108" s="346" t="s">
        <v>567</v>
      </c>
      <c r="J108" s="383">
        <v>0</v>
      </c>
      <c r="K108" s="384">
        <v>1</v>
      </c>
      <c r="L108" s="346" t="s">
        <v>497</v>
      </c>
    </row>
    <row r="109" spans="2:12" ht="12" customHeight="1" x14ac:dyDescent="0.15">
      <c r="B109" s="346" t="s">
        <v>498</v>
      </c>
      <c r="E109" s="346" t="s">
        <v>568</v>
      </c>
      <c r="F109" s="346" t="s">
        <v>569</v>
      </c>
      <c r="G109" s="346" t="s">
        <v>570</v>
      </c>
      <c r="H109" s="346" t="s">
        <v>571</v>
      </c>
      <c r="I109" s="346" t="s">
        <v>572</v>
      </c>
      <c r="J109" s="380">
        <v>4</v>
      </c>
      <c r="K109" s="381">
        <v>3.6</v>
      </c>
      <c r="L109" s="346" t="s">
        <v>538</v>
      </c>
    </row>
    <row r="110" spans="2:12" ht="12" customHeight="1" x14ac:dyDescent="0.15">
      <c r="B110" s="392" t="s">
        <v>573</v>
      </c>
      <c r="E110" s="393"/>
      <c r="F110" s="393"/>
      <c r="G110" s="393"/>
      <c r="H110" s="393"/>
      <c r="I110" s="393"/>
      <c r="J110" s="393"/>
      <c r="K110" s="393"/>
      <c r="L110" s="394"/>
    </row>
    <row r="111" spans="2:12" ht="12" customHeight="1" x14ac:dyDescent="0.15">
      <c r="B111" s="324" t="s">
        <v>574</v>
      </c>
    </row>
    <row r="112" spans="2:12" ht="12" customHeight="1" x14ac:dyDescent="0.15">
      <c r="B112" s="324" t="s">
        <v>575</v>
      </c>
    </row>
    <row r="114" spans="2:12" ht="12" customHeight="1" x14ac:dyDescent="0.15">
      <c r="B114" s="395" t="s">
        <v>576</v>
      </c>
      <c r="E114" s="396"/>
      <c r="F114" s="396"/>
      <c r="G114" s="396"/>
      <c r="H114" s="396"/>
      <c r="I114" s="396"/>
      <c r="J114" s="396"/>
      <c r="K114" s="396"/>
      <c r="L114" s="397"/>
    </row>
    <row r="115" spans="2:12" ht="12" customHeight="1" x14ac:dyDescent="0.15">
      <c r="B115" s="398" t="s">
        <v>577</v>
      </c>
      <c r="E115" s="399">
        <v>99</v>
      </c>
      <c r="F115" s="400" t="s">
        <v>578</v>
      </c>
      <c r="G115" s="400" t="s">
        <v>579</v>
      </c>
      <c r="H115" s="400" t="s">
        <v>580</v>
      </c>
      <c r="I115" s="400" t="s">
        <v>581</v>
      </c>
      <c r="J115" s="401" t="s">
        <v>460</v>
      </c>
      <c r="K115" s="402" t="s">
        <v>582</v>
      </c>
      <c r="L115" s="403" t="s">
        <v>462</v>
      </c>
    </row>
    <row r="116" spans="2:12" ht="12" customHeight="1" x14ac:dyDescent="0.15">
      <c r="B116" s="346" t="s">
        <v>463</v>
      </c>
      <c r="E116" s="346" t="s">
        <v>583</v>
      </c>
      <c r="F116" s="346" t="s">
        <v>584</v>
      </c>
      <c r="G116" s="346" t="s">
        <v>585</v>
      </c>
      <c r="H116" s="346" t="s">
        <v>586</v>
      </c>
      <c r="I116" s="346" t="s">
        <v>587</v>
      </c>
      <c r="J116" s="404">
        <v>7.2</v>
      </c>
      <c r="K116" s="405">
        <v>8.1999999999999993</v>
      </c>
      <c r="L116" s="346" t="s">
        <v>469</v>
      </c>
    </row>
    <row r="117" spans="2:12" ht="12" customHeight="1" x14ac:dyDescent="0.15">
      <c r="B117" s="346" t="s">
        <v>470</v>
      </c>
      <c r="E117" s="346" t="s">
        <v>588</v>
      </c>
      <c r="F117" s="346" t="s">
        <v>589</v>
      </c>
      <c r="G117" s="346" t="s">
        <v>590</v>
      </c>
      <c r="H117" s="346" t="s">
        <v>591</v>
      </c>
      <c r="I117" s="346" t="s">
        <v>592</v>
      </c>
      <c r="J117" s="404">
        <v>8.5</v>
      </c>
      <c r="K117" s="406" t="s">
        <v>593</v>
      </c>
      <c r="L117" s="346" t="s">
        <v>594</v>
      </c>
    </row>
    <row r="118" spans="2:12" ht="12" customHeight="1" x14ac:dyDescent="0.15">
      <c r="B118" s="346" t="s">
        <v>478</v>
      </c>
      <c r="E118" s="346" t="s">
        <v>595</v>
      </c>
      <c r="F118" s="346" t="s">
        <v>596</v>
      </c>
      <c r="G118" s="346" t="s">
        <v>597</v>
      </c>
      <c r="H118" s="346" t="s">
        <v>598</v>
      </c>
      <c r="I118" s="346" t="s">
        <v>599</v>
      </c>
      <c r="J118" s="404">
        <v>6.1</v>
      </c>
      <c r="K118" s="405">
        <v>4</v>
      </c>
      <c r="L118" s="346" t="s">
        <v>600</v>
      </c>
    </row>
    <row r="119" spans="2:12" ht="12" customHeight="1" x14ac:dyDescent="0.15">
      <c r="B119" s="346" t="s">
        <v>485</v>
      </c>
      <c r="E119" s="346" t="s">
        <v>601</v>
      </c>
      <c r="F119" s="346" t="s">
        <v>602</v>
      </c>
      <c r="G119" s="346" t="s">
        <v>603</v>
      </c>
      <c r="H119" s="346" t="s">
        <v>604</v>
      </c>
      <c r="I119" s="346" t="s">
        <v>605</v>
      </c>
      <c r="J119" s="404">
        <v>2</v>
      </c>
      <c r="K119" s="406" t="s">
        <v>593</v>
      </c>
      <c r="L119" s="346" t="s">
        <v>606</v>
      </c>
    </row>
    <row r="120" spans="2:12" ht="12" customHeight="1" x14ac:dyDescent="0.15">
      <c r="B120" s="346" t="s">
        <v>491</v>
      </c>
      <c r="E120" s="346" t="s">
        <v>607</v>
      </c>
      <c r="F120" s="346" t="s">
        <v>608</v>
      </c>
      <c r="G120" s="346" t="s">
        <v>609</v>
      </c>
      <c r="H120" s="346" t="s">
        <v>610</v>
      </c>
      <c r="I120" s="346" t="s">
        <v>611</v>
      </c>
      <c r="J120" s="407">
        <v>220</v>
      </c>
      <c r="K120" s="408">
        <v>0</v>
      </c>
      <c r="L120" s="346" t="s">
        <v>497</v>
      </c>
    </row>
    <row r="121" spans="2:12" ht="12" customHeight="1" x14ac:dyDescent="0.15">
      <c r="B121" s="346" t="s">
        <v>498</v>
      </c>
      <c r="E121" s="346" t="s">
        <v>612</v>
      </c>
      <c r="F121" s="346" t="s">
        <v>613</v>
      </c>
      <c r="G121" s="346" t="s">
        <v>614</v>
      </c>
      <c r="H121" s="346" t="s">
        <v>615</v>
      </c>
      <c r="I121" s="346" t="s">
        <v>616</v>
      </c>
      <c r="J121" s="404">
        <v>11</v>
      </c>
      <c r="K121" s="405">
        <v>9.8000000000000007</v>
      </c>
      <c r="L121" s="346" t="s">
        <v>617</v>
      </c>
    </row>
    <row r="122" spans="2:12" ht="12" customHeight="1" x14ac:dyDescent="0.15">
      <c r="B122" s="409" t="s">
        <v>504</v>
      </c>
      <c r="E122" s="410"/>
      <c r="F122" s="410"/>
      <c r="G122" s="410"/>
      <c r="H122" s="410"/>
      <c r="I122" s="410"/>
      <c r="J122" s="410"/>
      <c r="K122" s="410"/>
      <c r="L122" s="411"/>
    </row>
    <row r="123" spans="2:12" ht="12" customHeight="1" x14ac:dyDescent="0.15">
      <c r="B123" s="398" t="s">
        <v>618</v>
      </c>
      <c r="E123" s="400" t="s">
        <v>619</v>
      </c>
      <c r="F123" s="400" t="s">
        <v>620</v>
      </c>
      <c r="G123" s="400" t="s">
        <v>621</v>
      </c>
      <c r="H123" s="399">
        <v>919</v>
      </c>
      <c r="I123" s="400" t="s">
        <v>622</v>
      </c>
      <c r="J123" s="401" t="s">
        <v>510</v>
      </c>
      <c r="K123" s="402" t="s">
        <v>623</v>
      </c>
      <c r="L123" s="403" t="s">
        <v>462</v>
      </c>
    </row>
    <row r="124" spans="2:12" ht="12" customHeight="1" x14ac:dyDescent="0.15">
      <c r="B124" s="346" t="s">
        <v>463</v>
      </c>
      <c r="E124" s="346" t="s">
        <v>624</v>
      </c>
      <c r="F124" s="346" t="s">
        <v>625</v>
      </c>
      <c r="G124" s="346" t="s">
        <v>626</v>
      </c>
      <c r="H124" s="346" t="s">
        <v>627</v>
      </c>
      <c r="I124" s="346" t="s">
        <v>628</v>
      </c>
      <c r="J124" s="404">
        <v>6.5</v>
      </c>
      <c r="K124" s="405">
        <v>7.3</v>
      </c>
      <c r="L124" s="346" t="s">
        <v>469</v>
      </c>
    </row>
    <row r="125" spans="2:12" ht="12" customHeight="1" x14ac:dyDescent="0.15">
      <c r="B125" s="346" t="s">
        <v>470</v>
      </c>
      <c r="E125" s="346" t="s">
        <v>629</v>
      </c>
      <c r="F125" s="346" t="s">
        <v>630</v>
      </c>
      <c r="G125" s="346" t="s">
        <v>631</v>
      </c>
      <c r="H125" s="346" t="s">
        <v>632</v>
      </c>
      <c r="I125" s="346" t="s">
        <v>630</v>
      </c>
      <c r="J125" s="412" t="s">
        <v>593</v>
      </c>
      <c r="K125" s="406" t="s">
        <v>593</v>
      </c>
      <c r="L125" s="346" t="s">
        <v>633</v>
      </c>
    </row>
    <row r="126" spans="2:12" ht="12" customHeight="1" x14ac:dyDescent="0.15">
      <c r="B126" s="346" t="s">
        <v>478</v>
      </c>
      <c r="E126" s="346" t="s">
        <v>634</v>
      </c>
      <c r="F126" s="346" t="s">
        <v>635</v>
      </c>
      <c r="G126" s="346" t="s">
        <v>636</v>
      </c>
      <c r="H126" s="346" t="s">
        <v>637</v>
      </c>
      <c r="I126" s="346" t="s">
        <v>638</v>
      </c>
      <c r="J126" s="404">
        <v>2.5</v>
      </c>
      <c r="K126" s="405">
        <v>4.3</v>
      </c>
      <c r="L126" s="346" t="s">
        <v>600</v>
      </c>
    </row>
    <row r="127" spans="2:12" ht="12" customHeight="1" x14ac:dyDescent="0.15">
      <c r="B127" s="346" t="s">
        <v>485</v>
      </c>
      <c r="E127" s="346" t="s">
        <v>639</v>
      </c>
      <c r="F127" s="346" t="s">
        <v>640</v>
      </c>
      <c r="G127" s="346" t="s">
        <v>641</v>
      </c>
      <c r="H127" s="346" t="s">
        <v>642</v>
      </c>
      <c r="I127" s="346" t="s">
        <v>643</v>
      </c>
      <c r="J127" s="404">
        <v>1.8</v>
      </c>
      <c r="K127" s="405">
        <v>0.8</v>
      </c>
      <c r="L127" s="346" t="s">
        <v>606</v>
      </c>
    </row>
    <row r="128" spans="2:12" ht="12" customHeight="1" x14ac:dyDescent="0.15">
      <c r="B128" s="346" t="s">
        <v>491</v>
      </c>
      <c r="E128" s="346" t="s">
        <v>531</v>
      </c>
      <c r="F128" s="346" t="s">
        <v>644</v>
      </c>
      <c r="G128" s="346" t="s">
        <v>644</v>
      </c>
      <c r="H128" s="346" t="s">
        <v>645</v>
      </c>
      <c r="I128" s="346" t="s">
        <v>644</v>
      </c>
      <c r="J128" s="407">
        <v>0</v>
      </c>
      <c r="K128" s="408">
        <v>0</v>
      </c>
      <c r="L128" s="346" t="s">
        <v>497</v>
      </c>
    </row>
    <row r="129" spans="2:12" ht="12" customHeight="1" x14ac:dyDescent="0.15">
      <c r="B129" s="346" t="s">
        <v>498</v>
      </c>
      <c r="E129" s="346" t="s">
        <v>646</v>
      </c>
      <c r="F129" s="346" t="s">
        <v>647</v>
      </c>
      <c r="G129" s="346" t="s">
        <v>648</v>
      </c>
      <c r="H129" s="346" t="s">
        <v>649</v>
      </c>
      <c r="I129" s="346" t="s">
        <v>650</v>
      </c>
      <c r="J129" s="404">
        <v>0.56000000000000005</v>
      </c>
      <c r="K129" s="405">
        <v>3.8</v>
      </c>
      <c r="L129" s="346" t="s">
        <v>651</v>
      </c>
    </row>
    <row r="130" spans="2:12" ht="12" customHeight="1" x14ac:dyDescent="0.15">
      <c r="B130" s="409" t="s">
        <v>539</v>
      </c>
      <c r="E130" s="410"/>
      <c r="F130" s="410"/>
      <c r="G130" s="410"/>
      <c r="H130" s="410"/>
      <c r="I130" s="410"/>
      <c r="J130" s="410"/>
      <c r="K130" s="410"/>
      <c r="L130" s="411"/>
    </row>
    <row r="131" spans="2:12" ht="12" customHeight="1" x14ac:dyDescent="0.15">
      <c r="B131" s="413" t="s">
        <v>618</v>
      </c>
      <c r="E131" s="400" t="s">
        <v>652</v>
      </c>
      <c r="F131" s="400" t="s">
        <v>653</v>
      </c>
      <c r="G131" s="400" t="s">
        <v>579</v>
      </c>
      <c r="H131" s="400" t="s">
        <v>654</v>
      </c>
      <c r="I131" s="400" t="s">
        <v>622</v>
      </c>
      <c r="J131" s="401" t="s">
        <v>510</v>
      </c>
      <c r="K131" s="402" t="s">
        <v>655</v>
      </c>
      <c r="L131" s="403" t="s">
        <v>462</v>
      </c>
    </row>
    <row r="132" spans="2:12" ht="12" customHeight="1" x14ac:dyDescent="0.15">
      <c r="B132" s="346" t="s">
        <v>463</v>
      </c>
      <c r="E132" s="346" t="s">
        <v>656</v>
      </c>
      <c r="F132" s="346" t="s">
        <v>657</v>
      </c>
      <c r="G132" s="346" t="s">
        <v>658</v>
      </c>
      <c r="H132" s="346" t="s">
        <v>659</v>
      </c>
      <c r="I132" s="346" t="s">
        <v>660</v>
      </c>
      <c r="J132" s="404">
        <v>8</v>
      </c>
      <c r="K132" s="405">
        <v>8.1999999999999993</v>
      </c>
      <c r="L132" s="346" t="s">
        <v>469</v>
      </c>
    </row>
    <row r="133" spans="2:12" ht="12" customHeight="1" x14ac:dyDescent="0.15">
      <c r="B133" s="346" t="s">
        <v>470</v>
      </c>
      <c r="E133" s="346" t="s">
        <v>661</v>
      </c>
      <c r="F133" s="346" t="s">
        <v>662</v>
      </c>
      <c r="G133" s="346" t="s">
        <v>663</v>
      </c>
      <c r="H133" s="346" t="s">
        <v>629</v>
      </c>
      <c r="I133" s="346" t="s">
        <v>664</v>
      </c>
      <c r="J133" s="412" t="s">
        <v>593</v>
      </c>
      <c r="K133" s="406" t="s">
        <v>593</v>
      </c>
      <c r="L133" s="346" t="s">
        <v>633</v>
      </c>
    </row>
    <row r="134" spans="2:12" ht="12" customHeight="1" x14ac:dyDescent="0.15">
      <c r="B134" s="346" t="s">
        <v>478</v>
      </c>
      <c r="E134" s="346" t="s">
        <v>665</v>
      </c>
      <c r="F134" s="346" t="s">
        <v>666</v>
      </c>
      <c r="G134" s="346" t="s">
        <v>667</v>
      </c>
      <c r="H134" s="346" t="s">
        <v>668</v>
      </c>
      <c r="I134" s="346" t="s">
        <v>669</v>
      </c>
      <c r="J134" s="404">
        <v>4.0999999999999996</v>
      </c>
      <c r="K134" s="405">
        <v>3.8</v>
      </c>
      <c r="L134" s="346" t="s">
        <v>600</v>
      </c>
    </row>
    <row r="135" spans="2:12" ht="12" customHeight="1" x14ac:dyDescent="0.15">
      <c r="B135" s="346" t="s">
        <v>485</v>
      </c>
      <c r="E135" s="346" t="s">
        <v>670</v>
      </c>
      <c r="F135" s="346" t="s">
        <v>671</v>
      </c>
      <c r="G135" s="346" t="s">
        <v>672</v>
      </c>
      <c r="H135" s="346" t="s">
        <v>673</v>
      </c>
      <c r="I135" s="346" t="s">
        <v>674</v>
      </c>
      <c r="J135" s="404">
        <v>3</v>
      </c>
      <c r="K135" s="406" t="s">
        <v>593</v>
      </c>
      <c r="L135" s="346" t="s">
        <v>633</v>
      </c>
    </row>
    <row r="136" spans="2:12" ht="12" customHeight="1" x14ac:dyDescent="0.15">
      <c r="B136" s="346" t="s">
        <v>491</v>
      </c>
      <c r="E136" s="346" t="s">
        <v>675</v>
      </c>
      <c r="F136" s="346" t="s">
        <v>676</v>
      </c>
      <c r="G136" s="346" t="s">
        <v>677</v>
      </c>
      <c r="H136" s="346" t="s">
        <v>678</v>
      </c>
      <c r="I136" s="346" t="s">
        <v>679</v>
      </c>
      <c r="J136" s="407">
        <v>76</v>
      </c>
      <c r="K136" s="408">
        <v>28</v>
      </c>
      <c r="L136" s="346" t="s">
        <v>497</v>
      </c>
    </row>
    <row r="137" spans="2:12" ht="12" customHeight="1" x14ac:dyDescent="0.15">
      <c r="B137" s="346" t="s">
        <v>498</v>
      </c>
      <c r="E137" s="346" t="s">
        <v>680</v>
      </c>
      <c r="F137" s="346" t="s">
        <v>681</v>
      </c>
      <c r="G137" s="346" t="s">
        <v>682</v>
      </c>
      <c r="H137" s="346" t="s">
        <v>683</v>
      </c>
      <c r="I137" s="346" t="s">
        <v>684</v>
      </c>
      <c r="J137" s="404">
        <v>2.1</v>
      </c>
      <c r="K137" s="405">
        <v>2</v>
      </c>
      <c r="L137" s="346" t="s">
        <v>651</v>
      </c>
    </row>
    <row r="138" spans="2:12" ht="12" customHeight="1" x14ac:dyDescent="0.15">
      <c r="B138" s="395" t="s">
        <v>685</v>
      </c>
      <c r="E138" s="393"/>
      <c r="F138" s="393"/>
      <c r="G138" s="393"/>
      <c r="H138" s="393"/>
      <c r="I138" s="393"/>
      <c r="J138" s="393"/>
      <c r="K138" s="393"/>
      <c r="L138" s="394"/>
    </row>
    <row r="139" spans="2:12" ht="12" customHeight="1" x14ac:dyDescent="0.15">
      <c r="B139" s="324" t="s">
        <v>686</v>
      </c>
    </row>
    <row r="140" spans="2:12" ht="12" customHeight="1" x14ac:dyDescent="0.15">
      <c r="B140" s="324" t="s">
        <v>575</v>
      </c>
    </row>
  </sheetData>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29</vt:i4>
      </vt:variant>
    </vt:vector>
  </HeadingPairs>
  <TitlesOfParts>
    <vt:vector size="35" baseType="lpstr">
      <vt:lpstr>まとめ</vt:lpstr>
      <vt:lpstr>焼却場</vt:lpstr>
      <vt:lpstr>月間量回帰式</vt:lpstr>
      <vt:lpstr>濃度回帰式</vt:lpstr>
      <vt:lpstr>一廃実調</vt:lpstr>
      <vt:lpstr>処分場</vt:lpstr>
      <vt:lpstr>Cs134Av</vt:lpstr>
      <vt:lpstr>Cs137Av</vt:lpstr>
      <vt:lpstr>濃度回帰式!下駄1</vt:lpstr>
      <vt:lpstr>下駄2</vt:lpstr>
      <vt:lpstr>月</vt:lpstr>
      <vt:lpstr>月値割合表</vt:lpstr>
      <vt:lpstr>月別割合</vt:lpstr>
      <vt:lpstr>混合灰発生率</vt:lpstr>
      <vt:lpstr>採取日1</vt:lpstr>
      <vt:lpstr>採取日2</vt:lpstr>
      <vt:lpstr>事故日</vt:lpstr>
      <vt:lpstr>濃度回帰式!事故日の濃度1</vt:lpstr>
      <vt:lpstr>事故日の濃度2</vt:lpstr>
      <vt:lpstr>主灰発生率</vt:lpstr>
      <vt:lpstr>濃度回帰式!除数11</vt:lpstr>
      <vt:lpstr>除数12</vt:lpstr>
      <vt:lpstr>除数21</vt:lpstr>
      <vt:lpstr>除数22</vt:lpstr>
      <vt:lpstr>焼却_t_年</vt:lpstr>
      <vt:lpstr>調査初日</vt:lpstr>
      <vt:lpstr>年度</vt:lpstr>
      <vt:lpstr>年度別焼却量</vt:lpstr>
      <vt:lpstr>濃度比</vt:lpstr>
      <vt:lpstr>濃度回帰式!半1</vt:lpstr>
      <vt:lpstr>半2</vt:lpstr>
      <vt:lpstr>半Cs134</vt:lpstr>
      <vt:lpstr>半Cs137</vt:lpstr>
      <vt:lpstr>半I131</vt:lpstr>
      <vt:lpstr>飛灰発生率</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dcterms:created xsi:type="dcterms:W3CDTF">2019-04-21T12:24:18Z</dcterms:created>
  <dcterms:modified xsi:type="dcterms:W3CDTF">2019-12-17T23:43:23Z</dcterms:modified>
</cp:coreProperties>
</file>